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feitura BM\081 - Revisão Ginásio Ano Bom - CE Caixa\PDF Arquibancada\"/>
    </mc:Choice>
  </mc:AlternateContent>
  <bookViews>
    <workbookView xWindow="0" yWindow="0" windowWidth="20490" windowHeight="7755" tabRatio="906" firstSheet="15" activeTab="17"/>
  </bookViews>
  <sheets>
    <sheet name="Armação Blocos 1" sheetId="14" r:id="rId1"/>
    <sheet name="Concreto Bloco 1" sheetId="22" r:id="rId2"/>
    <sheet name="Armação Vigas 1" sheetId="28" r:id="rId3"/>
    <sheet name="Vigas 1" sheetId="25" r:id="rId4"/>
    <sheet name="Armação Pilar 1" sheetId="29" r:id="rId5"/>
    <sheet name="Pilar 1" sheetId="30" r:id="rId6"/>
    <sheet name="Estaca 1" sheetId="26" r:id="rId7"/>
    <sheet name="Laje 1 " sheetId="24" r:id="rId8"/>
    <sheet name="Resumo arqui 01" sheetId="34" r:id="rId9"/>
    <sheet name="Armação Blocos (2)" sheetId="33" r:id="rId10"/>
    <sheet name="Concreto Bloco (2)" sheetId="31" r:id="rId11"/>
    <sheet name="Armação Pilar (2)" sheetId="39" r:id="rId12"/>
    <sheet name="Laje  (2)" sheetId="41" r:id="rId13"/>
    <sheet name="Vigas (2)" sheetId="40" r:id="rId14"/>
    <sheet name="Armação Vigas (2)" sheetId="37" r:id="rId15"/>
    <sheet name="Pilar (2)" sheetId="38" r:id="rId16"/>
    <sheet name="Estaca (2)" sheetId="32" r:id="rId17"/>
    <sheet name="Resumo arqui (2)" sheetId="36" r:id="rId18"/>
  </sheets>
  <calcPr calcId="152511"/>
</workbook>
</file>

<file path=xl/calcChain.xml><?xml version="1.0" encoding="utf-8"?>
<calcChain xmlns="http://schemas.openxmlformats.org/spreadsheetml/2006/main">
  <c r="D23" i="34" l="1"/>
  <c r="I20" i="26" l="1"/>
  <c r="I19" i="26"/>
  <c r="F21" i="26"/>
  <c r="H19" i="26"/>
  <c r="H18" i="26"/>
  <c r="G19" i="26"/>
  <c r="G18" i="26"/>
  <c r="G15" i="26"/>
  <c r="G14" i="26"/>
  <c r="G13" i="26"/>
  <c r="G12" i="26"/>
  <c r="G11" i="26"/>
  <c r="D11" i="26"/>
  <c r="D10" i="26"/>
  <c r="C21" i="14" l="1"/>
  <c r="C20" i="14"/>
  <c r="C19" i="14"/>
  <c r="G9" i="14"/>
  <c r="F31" i="22"/>
  <c r="F29" i="31" l="1"/>
  <c r="D7" i="41" l="1"/>
  <c r="F7" i="41" s="1"/>
  <c r="H7" i="41" s="1"/>
  <c r="G6" i="41"/>
  <c r="D6" i="41"/>
  <c r="H9" i="41" s="1"/>
  <c r="D5" i="41"/>
  <c r="F5" i="41" s="1"/>
  <c r="H5" i="41" s="1"/>
  <c r="G4" i="41"/>
  <c r="F4" i="41"/>
  <c r="H4" i="41" s="1"/>
  <c r="D4" i="41"/>
  <c r="L15" i="40"/>
  <c r="G3" i="40"/>
  <c r="G4" i="40" s="1"/>
  <c r="G5" i="40" s="1"/>
  <c r="F3" i="40"/>
  <c r="F4" i="40" s="1"/>
  <c r="F5" i="40" s="1"/>
  <c r="D3" i="40"/>
  <c r="D24" i="39"/>
  <c r="F9" i="39"/>
  <c r="G9" i="39" s="1"/>
  <c r="F8" i="39"/>
  <c r="G8" i="39" s="1"/>
  <c r="E8" i="39"/>
  <c r="E7" i="39"/>
  <c r="F7" i="39" s="1"/>
  <c r="G7" i="39" s="1"/>
  <c r="E6" i="39"/>
  <c r="F6" i="39" s="1"/>
  <c r="G6" i="39" s="1"/>
  <c r="E5" i="39"/>
  <c r="F5" i="39" s="1"/>
  <c r="G5" i="39" s="1"/>
  <c r="E4" i="39"/>
  <c r="F4" i="39" s="1"/>
  <c r="G4" i="39" s="1"/>
  <c r="E3" i="39"/>
  <c r="F3" i="39" s="1"/>
  <c r="G8" i="38"/>
  <c r="E8" i="38"/>
  <c r="D8" i="38"/>
  <c r="E7" i="38"/>
  <c r="F7" i="38" s="1"/>
  <c r="D7" i="38"/>
  <c r="E6" i="38"/>
  <c r="D6" i="38"/>
  <c r="G5" i="38"/>
  <c r="E5" i="38"/>
  <c r="F5" i="38" s="1"/>
  <c r="D5" i="38"/>
  <c r="E4" i="38"/>
  <c r="F4" i="38" s="1"/>
  <c r="D4" i="38"/>
  <c r="E3" i="38"/>
  <c r="D3" i="38"/>
  <c r="D20" i="37"/>
  <c r="E5" i="37"/>
  <c r="F5" i="37" s="1"/>
  <c r="G5" i="37" s="1"/>
  <c r="E4" i="37"/>
  <c r="F4" i="37" s="1"/>
  <c r="G4" i="37" s="1"/>
  <c r="E3" i="37"/>
  <c r="F3" i="37" s="1"/>
  <c r="G3" i="37" s="1"/>
  <c r="D30" i="36"/>
  <c r="E30" i="36" s="1"/>
  <c r="D24" i="36"/>
  <c r="E24" i="36" s="1"/>
  <c r="D23" i="36"/>
  <c r="E23" i="36" s="1"/>
  <c r="D22" i="36"/>
  <c r="E22" i="36" s="1"/>
  <c r="D18" i="36"/>
  <c r="E18" i="36" s="1"/>
  <c r="D17" i="36"/>
  <c r="E17" i="36" s="1"/>
  <c r="D15" i="36"/>
  <c r="D16" i="36" s="1"/>
  <c r="E32" i="36"/>
  <c r="E31" i="36"/>
  <c r="E28" i="36"/>
  <c r="E27" i="36"/>
  <c r="E26" i="36"/>
  <c r="E20" i="36"/>
  <c r="E19" i="36"/>
  <c r="E15" i="36"/>
  <c r="E13" i="36"/>
  <c r="E12" i="36"/>
  <c r="E11" i="36"/>
  <c r="E10" i="36"/>
  <c r="E9" i="36"/>
  <c r="E8" i="36"/>
  <c r="C7" i="36"/>
  <c r="E7" i="36" s="1"/>
  <c r="E6" i="36"/>
  <c r="E5" i="36"/>
  <c r="C40" i="34"/>
  <c r="D33" i="34"/>
  <c r="E33" i="34" s="1"/>
  <c r="E31" i="34"/>
  <c r="D30" i="34"/>
  <c r="E30" i="34" s="1"/>
  <c r="D24" i="34"/>
  <c r="E24" i="34" s="1"/>
  <c r="E23" i="34"/>
  <c r="D22" i="34"/>
  <c r="E22" i="34" s="1"/>
  <c r="D15" i="34"/>
  <c r="D16" i="34" s="1"/>
  <c r="E16" i="34" s="1"/>
  <c r="D9" i="34"/>
  <c r="C7" i="34"/>
  <c r="E7" i="34" s="1"/>
  <c r="E37" i="34"/>
  <c r="E36" i="34"/>
  <c r="E35" i="34"/>
  <c r="E28" i="34"/>
  <c r="E27" i="34"/>
  <c r="E26" i="34"/>
  <c r="E20" i="34"/>
  <c r="E19" i="34"/>
  <c r="E18" i="34"/>
  <c r="E17" i="34"/>
  <c r="E13" i="34"/>
  <c r="E12" i="34"/>
  <c r="E11" i="34"/>
  <c r="E10" i="34"/>
  <c r="E9" i="34"/>
  <c r="E8" i="34"/>
  <c r="E6" i="34"/>
  <c r="E5" i="34"/>
  <c r="G6" i="37" l="1"/>
  <c r="G7" i="37" s="1"/>
  <c r="D15" i="37" s="1"/>
  <c r="F3" i="38"/>
  <c r="G16" i="36"/>
  <c r="G4" i="38"/>
  <c r="G6" i="36"/>
  <c r="G3" i="38"/>
  <c r="F6" i="38"/>
  <c r="F8" i="38"/>
  <c r="F6" i="41"/>
  <c r="H6" i="41" s="1"/>
  <c r="H8" i="41" s="1"/>
  <c r="C16" i="39"/>
  <c r="E16" i="39" s="1"/>
  <c r="G3" i="39"/>
  <c r="G10" i="39" s="1"/>
  <c r="G11" i="39" s="1"/>
  <c r="D19" i="39" s="1"/>
  <c r="C15" i="39"/>
  <c r="E15" i="39" s="1"/>
  <c r="G6" i="38"/>
  <c r="G7" i="38"/>
  <c r="C11" i="37"/>
  <c r="E11" i="37" s="1"/>
  <c r="G12" i="37" s="1"/>
  <c r="G13" i="37" s="1"/>
  <c r="D16" i="37" s="1"/>
  <c r="C12" i="37"/>
  <c r="E12" i="37" s="1"/>
  <c r="C35" i="36"/>
  <c r="G27" i="36"/>
  <c r="G23" i="36"/>
  <c r="C36" i="36"/>
  <c r="C37" i="36"/>
  <c r="E16" i="36"/>
  <c r="G31" i="36"/>
  <c r="D32" i="34"/>
  <c r="E32" i="34" s="1"/>
  <c r="E15" i="34"/>
  <c r="G6" i="34"/>
  <c r="G27" i="34"/>
  <c r="G16" i="34"/>
  <c r="C41" i="34"/>
  <c r="G23" i="34"/>
  <c r="G36" i="34"/>
  <c r="C42" i="34"/>
  <c r="C44" i="34" s="1"/>
  <c r="G16" i="39" l="1"/>
  <c r="G17" i="39" s="1"/>
  <c r="D20" i="39" s="1"/>
  <c r="F9" i="38"/>
  <c r="F10" i="38" s="1"/>
  <c r="G9" i="38"/>
  <c r="G10" i="38" s="1"/>
  <c r="C39" i="36"/>
  <c r="G6" i="24"/>
  <c r="D6" i="24"/>
  <c r="F6" i="24" s="1"/>
  <c r="H6" i="24" s="1"/>
  <c r="D7" i="24"/>
  <c r="F7" i="24" s="1"/>
  <c r="H7" i="24" s="1"/>
  <c r="G4" i="24"/>
  <c r="L15" i="25"/>
  <c r="E8" i="30"/>
  <c r="G8" i="30" s="1"/>
  <c r="E7" i="30"/>
  <c r="G7" i="30" s="1"/>
  <c r="E6" i="30"/>
  <c r="E5" i="30"/>
  <c r="E4" i="30"/>
  <c r="E3" i="30"/>
  <c r="D7" i="30"/>
  <c r="D8" i="30"/>
  <c r="E8" i="29"/>
  <c r="E7" i="29"/>
  <c r="F7" i="29" s="1"/>
  <c r="G7" i="29" s="1"/>
  <c r="E6" i="29"/>
  <c r="E5" i="29"/>
  <c r="E4" i="29"/>
  <c r="E3" i="29"/>
  <c r="F8" i="29"/>
  <c r="G8" i="29" s="1"/>
  <c r="E4" i="28"/>
  <c r="E3" i="28"/>
  <c r="E5" i="28"/>
  <c r="C19" i="33"/>
  <c r="F13" i="33"/>
  <c r="G13" i="33" s="1"/>
  <c r="F12" i="33"/>
  <c r="G12" i="33" s="1"/>
  <c r="F11" i="33"/>
  <c r="G11" i="33" s="1"/>
  <c r="F10" i="33"/>
  <c r="G10" i="33" s="1"/>
  <c r="F7" i="33"/>
  <c r="G7" i="33" s="1"/>
  <c r="F6" i="33"/>
  <c r="G6" i="33" s="1"/>
  <c r="F5" i="33"/>
  <c r="C21" i="33" s="1"/>
  <c r="F4" i="33"/>
  <c r="G4" i="33" s="1"/>
  <c r="F3" i="33"/>
  <c r="C20" i="33" s="1"/>
  <c r="G4" i="14"/>
  <c r="F7" i="14"/>
  <c r="G7" i="14" s="1"/>
  <c r="F3" i="14"/>
  <c r="E20" i="14" s="1"/>
  <c r="F4" i="14"/>
  <c r="F5" i="14"/>
  <c r="G5" i="14" s="1"/>
  <c r="F6" i="14"/>
  <c r="G6" i="14" s="1"/>
  <c r="F13" i="14"/>
  <c r="G13" i="14" s="1"/>
  <c r="F12" i="14"/>
  <c r="G12" i="14" s="1"/>
  <c r="F11" i="14"/>
  <c r="G11" i="14" s="1"/>
  <c r="F10" i="14"/>
  <c r="E21" i="14" s="1"/>
  <c r="K5" i="32"/>
  <c r="J5" i="32"/>
  <c r="I26" i="31"/>
  <c r="H26" i="31"/>
  <c r="G26" i="31"/>
  <c r="D26" i="31"/>
  <c r="F26" i="31" s="1"/>
  <c r="I25" i="31"/>
  <c r="H25" i="31"/>
  <c r="G25" i="31"/>
  <c r="D25" i="31"/>
  <c r="F25" i="31" s="1"/>
  <c r="I24" i="31"/>
  <c r="H24" i="31"/>
  <c r="G24" i="31"/>
  <c r="D24" i="31"/>
  <c r="F24" i="31" s="1"/>
  <c r="I23" i="31"/>
  <c r="H23" i="31"/>
  <c r="G23" i="31"/>
  <c r="D23" i="31"/>
  <c r="F23" i="31" s="1"/>
  <c r="I22" i="31"/>
  <c r="H22" i="31"/>
  <c r="G22" i="31"/>
  <c r="D22" i="31"/>
  <c r="F22" i="31" s="1"/>
  <c r="I21" i="31"/>
  <c r="H21" i="31"/>
  <c r="G21" i="31"/>
  <c r="D21" i="31"/>
  <c r="F21" i="31" s="1"/>
  <c r="I20" i="31"/>
  <c r="H20" i="31"/>
  <c r="G20" i="31"/>
  <c r="D20" i="31"/>
  <c r="F20" i="31" s="1"/>
  <c r="I19" i="31"/>
  <c r="H19" i="31"/>
  <c r="G19" i="31"/>
  <c r="D19" i="31"/>
  <c r="F19" i="31" s="1"/>
  <c r="I18" i="31"/>
  <c r="H18" i="31"/>
  <c r="G18" i="31"/>
  <c r="D18" i="31"/>
  <c r="F18" i="31" s="1"/>
  <c r="I17" i="31"/>
  <c r="H17" i="31"/>
  <c r="G17" i="31"/>
  <c r="D17" i="31"/>
  <c r="F17" i="31" s="1"/>
  <c r="I16" i="31"/>
  <c r="H16" i="31"/>
  <c r="G16" i="31"/>
  <c r="D16" i="31"/>
  <c r="F16" i="31" s="1"/>
  <c r="I15" i="31"/>
  <c r="H15" i="31"/>
  <c r="G15" i="31"/>
  <c r="D15" i="31"/>
  <c r="F15" i="31" s="1"/>
  <c r="I14" i="31"/>
  <c r="H14" i="31"/>
  <c r="G14" i="31"/>
  <c r="D14" i="31"/>
  <c r="F14" i="31" s="1"/>
  <c r="I13" i="31"/>
  <c r="H13" i="31"/>
  <c r="G13" i="31"/>
  <c r="D13" i="31"/>
  <c r="F13" i="31" s="1"/>
  <c r="I12" i="31"/>
  <c r="H12" i="31"/>
  <c r="G12" i="31"/>
  <c r="D12" i="31"/>
  <c r="F12" i="31" s="1"/>
  <c r="I11" i="31"/>
  <c r="H11" i="31"/>
  <c r="G11" i="31"/>
  <c r="D11" i="31"/>
  <c r="F11" i="31" s="1"/>
  <c r="I10" i="31"/>
  <c r="H10" i="31"/>
  <c r="G10" i="31"/>
  <c r="D10" i="31"/>
  <c r="F10" i="31" s="1"/>
  <c r="I9" i="31"/>
  <c r="H9" i="31"/>
  <c r="G9" i="31"/>
  <c r="D9" i="31"/>
  <c r="F9" i="31" s="1"/>
  <c r="I8" i="31"/>
  <c r="H8" i="31"/>
  <c r="G8" i="31"/>
  <c r="D8" i="31"/>
  <c r="F8" i="31" s="1"/>
  <c r="I7" i="31"/>
  <c r="H7" i="31"/>
  <c r="G7" i="31"/>
  <c r="D7" i="31"/>
  <c r="F7" i="31" s="1"/>
  <c r="I6" i="31"/>
  <c r="H6" i="31"/>
  <c r="G6" i="31"/>
  <c r="D6" i="31"/>
  <c r="F6" i="31" s="1"/>
  <c r="I5" i="31"/>
  <c r="H5" i="31"/>
  <c r="G5" i="31"/>
  <c r="D5" i="31"/>
  <c r="F5" i="31" s="1"/>
  <c r="I4" i="31"/>
  <c r="H4" i="31"/>
  <c r="G4" i="31"/>
  <c r="D4" i="31"/>
  <c r="F4" i="31" s="1"/>
  <c r="I3" i="31"/>
  <c r="I27" i="31" s="1"/>
  <c r="H3" i="31"/>
  <c r="H27" i="31" s="1"/>
  <c r="G3" i="31"/>
  <c r="G27" i="31" s="1"/>
  <c r="D3" i="31"/>
  <c r="F3" i="31" s="1"/>
  <c r="D14" i="22"/>
  <c r="F14" i="22" s="1"/>
  <c r="G14" i="22"/>
  <c r="H14" i="22"/>
  <c r="I14" i="22"/>
  <c r="D15" i="22"/>
  <c r="F15" i="22" s="1"/>
  <c r="G15" i="22"/>
  <c r="H15" i="22"/>
  <c r="I15" i="22"/>
  <c r="D16" i="22"/>
  <c r="F16" i="22" s="1"/>
  <c r="G16" i="22"/>
  <c r="H16" i="22"/>
  <c r="I16" i="22"/>
  <c r="H26" i="22"/>
  <c r="H27" i="22"/>
  <c r="H28" i="22"/>
  <c r="H3" i="22"/>
  <c r="H4" i="22"/>
  <c r="H5" i="22"/>
  <c r="H6" i="22"/>
  <c r="H7" i="22"/>
  <c r="H8" i="22"/>
  <c r="H9" i="22"/>
  <c r="H10" i="22"/>
  <c r="H11" i="22"/>
  <c r="H12" i="22"/>
  <c r="H13" i="22"/>
  <c r="H17" i="22"/>
  <c r="H18" i="22"/>
  <c r="H19" i="22"/>
  <c r="H20" i="22"/>
  <c r="H21" i="22"/>
  <c r="H22" i="22"/>
  <c r="H23" i="22"/>
  <c r="H24" i="22"/>
  <c r="H25" i="22"/>
  <c r="D26" i="22"/>
  <c r="F26" i="22" s="1"/>
  <c r="G26" i="22"/>
  <c r="I26" i="22"/>
  <c r="D27" i="22"/>
  <c r="F27" i="22" s="1"/>
  <c r="G27" i="22"/>
  <c r="I27" i="22"/>
  <c r="D28" i="22"/>
  <c r="F28" i="22" s="1"/>
  <c r="G28" i="22"/>
  <c r="I28" i="22"/>
  <c r="D17" i="22"/>
  <c r="F17" i="22" s="1"/>
  <c r="G17" i="22"/>
  <c r="I17" i="22"/>
  <c r="D18" i="22"/>
  <c r="F18" i="22" s="1"/>
  <c r="G18" i="22"/>
  <c r="I18" i="22"/>
  <c r="D19" i="22"/>
  <c r="F19" i="22" s="1"/>
  <c r="G19" i="22"/>
  <c r="I19" i="22"/>
  <c r="D20" i="22"/>
  <c r="F20" i="22" s="1"/>
  <c r="G20" i="22"/>
  <c r="I20" i="22"/>
  <c r="D21" i="22"/>
  <c r="F21" i="22" s="1"/>
  <c r="G21" i="22"/>
  <c r="I21" i="22"/>
  <c r="D22" i="22"/>
  <c r="F22" i="22" s="1"/>
  <c r="G22" i="22"/>
  <c r="I22" i="22"/>
  <c r="D23" i="22"/>
  <c r="F23" i="22" s="1"/>
  <c r="G23" i="22"/>
  <c r="I23" i="22"/>
  <c r="D24" i="22"/>
  <c r="F24" i="22" s="1"/>
  <c r="G24" i="22"/>
  <c r="I24" i="22"/>
  <c r="D25" i="22"/>
  <c r="F25" i="22" s="1"/>
  <c r="G25" i="22"/>
  <c r="I25" i="22"/>
  <c r="K5" i="26"/>
  <c r="J5" i="26"/>
  <c r="G14" i="14" l="1"/>
  <c r="G15" i="14" s="1"/>
  <c r="F4" i="30"/>
  <c r="E19" i="14"/>
  <c r="G3" i="14"/>
  <c r="G8" i="14" s="1"/>
  <c r="C25" i="14" s="1"/>
  <c r="G14" i="33"/>
  <c r="G15" i="33" s="1"/>
  <c r="G3" i="30"/>
  <c r="G10" i="14"/>
  <c r="J27" i="31"/>
  <c r="J4" i="31"/>
  <c r="J5" i="31"/>
  <c r="J6" i="31"/>
  <c r="J7" i="31"/>
  <c r="J8" i="31"/>
  <c r="J9" i="31"/>
  <c r="J10" i="31"/>
  <c r="J11" i="31"/>
  <c r="J12" i="31"/>
  <c r="J13" i="31"/>
  <c r="J15" i="31"/>
  <c r="J16" i="31"/>
  <c r="J17" i="31"/>
  <c r="J18" i="31"/>
  <c r="J19" i="31"/>
  <c r="J20" i="31"/>
  <c r="J21" i="31"/>
  <c r="J22" i="31"/>
  <c r="J23" i="31"/>
  <c r="F7" i="30"/>
  <c r="J16" i="22"/>
  <c r="J15" i="22"/>
  <c r="J14" i="22"/>
  <c r="F8" i="30"/>
  <c r="E21" i="33"/>
  <c r="E20" i="33"/>
  <c r="G3" i="33"/>
  <c r="G5" i="33"/>
  <c r="E19" i="33"/>
  <c r="G21" i="33" s="1"/>
  <c r="G22" i="33" s="1"/>
  <c r="C26" i="33" s="1"/>
  <c r="J14" i="31"/>
  <c r="J24" i="31"/>
  <c r="J26" i="31"/>
  <c r="J25" i="31"/>
  <c r="J3" i="31"/>
  <c r="J26" i="22"/>
  <c r="J19" i="22"/>
  <c r="J24" i="22"/>
  <c r="J23" i="22"/>
  <c r="J18" i="22"/>
  <c r="J28" i="22"/>
  <c r="J22" i="22"/>
  <c r="J20" i="22"/>
  <c r="J27" i="22"/>
  <c r="J25" i="22"/>
  <c r="J21" i="22"/>
  <c r="J17" i="22"/>
  <c r="D5" i="24"/>
  <c r="F5" i="24" s="1"/>
  <c r="H5" i="24" s="1"/>
  <c r="D5" i="30"/>
  <c r="F5" i="30" s="1"/>
  <c r="G5" i="30"/>
  <c r="G6" i="30"/>
  <c r="D6" i="30"/>
  <c r="F6" i="30" s="1"/>
  <c r="G4" i="30"/>
  <c r="D4" i="30"/>
  <c r="D3" i="30"/>
  <c r="F3" i="30" s="1"/>
  <c r="F9" i="30" s="1"/>
  <c r="F10" i="30" s="1"/>
  <c r="F5" i="29"/>
  <c r="G5" i="29" s="1"/>
  <c r="F9" i="29"/>
  <c r="D24" i="29"/>
  <c r="F6" i="29"/>
  <c r="G6" i="29" s="1"/>
  <c r="F4" i="29"/>
  <c r="G4" i="29" s="1"/>
  <c r="F3" i="29"/>
  <c r="F3" i="28"/>
  <c r="D20" i="28"/>
  <c r="F5" i="28"/>
  <c r="F4" i="28"/>
  <c r="G4" i="28" s="1"/>
  <c r="G3" i="25"/>
  <c r="C12" i="28" l="1"/>
  <c r="G9" i="30"/>
  <c r="G10" i="30" s="1"/>
  <c r="E11" i="28"/>
  <c r="C11" i="28"/>
  <c r="J29" i="31"/>
  <c r="G8" i="33"/>
  <c r="C16" i="29"/>
  <c r="E16" i="29" s="1"/>
  <c r="G9" i="29"/>
  <c r="C15" i="29"/>
  <c r="E15" i="29" s="1"/>
  <c r="G3" i="29"/>
  <c r="G3" i="28"/>
  <c r="E12" i="28"/>
  <c r="G5" i="28"/>
  <c r="G9" i="33" l="1"/>
  <c r="C25" i="33" s="1"/>
  <c r="G6" i="28"/>
  <c r="G7" i="28" s="1"/>
  <c r="D15" i="28" s="1"/>
  <c r="G10" i="29"/>
  <c r="G11" i="29" s="1"/>
  <c r="D19" i="29" s="1"/>
  <c r="G12" i="28"/>
  <c r="G13" i="28" s="1"/>
  <c r="D16" i="28" s="1"/>
  <c r="G16" i="29"/>
  <c r="G17" i="29" s="1"/>
  <c r="D20" i="29" s="1"/>
  <c r="I3" i="22"/>
  <c r="I4" i="22"/>
  <c r="I5" i="22"/>
  <c r="I6" i="22"/>
  <c r="I7" i="22"/>
  <c r="I8" i="22"/>
  <c r="I9" i="22"/>
  <c r="I10" i="22"/>
  <c r="I11" i="22"/>
  <c r="I12" i="22"/>
  <c r="I13" i="22"/>
  <c r="D3" i="25" l="1"/>
  <c r="F3" i="25" s="1"/>
  <c r="G4" i="25" l="1"/>
  <c r="G5" i="25" s="1"/>
  <c r="F4" i="25"/>
  <c r="F5" i="25" s="1"/>
  <c r="D4" i="24" l="1"/>
  <c r="H9" i="24" s="1"/>
  <c r="F4" i="24" l="1"/>
  <c r="H4" i="24" s="1"/>
  <c r="H8" i="24" s="1"/>
  <c r="H29" i="22"/>
  <c r="G3" i="22"/>
  <c r="G4" i="22"/>
  <c r="G5" i="22"/>
  <c r="G6" i="22"/>
  <c r="G7" i="22"/>
  <c r="G8" i="22"/>
  <c r="G9" i="22"/>
  <c r="G10" i="22"/>
  <c r="G11" i="22"/>
  <c r="G12" i="22"/>
  <c r="G13" i="22"/>
  <c r="D3" i="22"/>
  <c r="F3" i="22" s="1"/>
  <c r="D4" i="22"/>
  <c r="F4" i="22" s="1"/>
  <c r="J4" i="22" s="1"/>
  <c r="D5" i="22"/>
  <c r="F5" i="22" s="1"/>
  <c r="D6" i="22"/>
  <c r="F6" i="22" s="1"/>
  <c r="J6" i="22" s="1"/>
  <c r="D7" i="22"/>
  <c r="F7" i="22" s="1"/>
  <c r="D8" i="22"/>
  <c r="F8" i="22" s="1"/>
  <c r="J8" i="22" s="1"/>
  <c r="D9" i="22"/>
  <c r="F9" i="22" s="1"/>
  <c r="D10" i="22"/>
  <c r="F10" i="22" s="1"/>
  <c r="J10" i="22" s="1"/>
  <c r="D11" i="22"/>
  <c r="F11" i="22" s="1"/>
  <c r="D12" i="22"/>
  <c r="F12" i="22" s="1"/>
  <c r="J12" i="22" s="1"/>
  <c r="D13" i="22"/>
  <c r="F13" i="22" s="1"/>
  <c r="G29" i="22" l="1"/>
  <c r="J13" i="22"/>
  <c r="J9" i="22"/>
  <c r="J5" i="22"/>
  <c r="J11" i="22"/>
  <c r="J7" i="22"/>
  <c r="J3" i="22"/>
  <c r="I29" i="22"/>
  <c r="J29" i="22" l="1"/>
  <c r="G21" i="14" l="1"/>
  <c r="G22" i="14" s="1"/>
  <c r="C26" i="14" s="1"/>
</calcChain>
</file>

<file path=xl/sharedStrings.xml><?xml version="1.0" encoding="utf-8"?>
<sst xmlns="http://schemas.openxmlformats.org/spreadsheetml/2006/main" count="512" uniqueCount="168">
  <si>
    <t>Quantidade</t>
  </si>
  <si>
    <t>Total:</t>
  </si>
  <si>
    <t>Área (m²)</t>
  </si>
  <si>
    <t>V1</t>
  </si>
  <si>
    <t>Item</t>
  </si>
  <si>
    <t>Área da seção (m²)</t>
  </si>
  <si>
    <t>b(m)</t>
  </si>
  <si>
    <t>h(m)</t>
  </si>
  <si>
    <t>a(m)</t>
  </si>
  <si>
    <t>bw(m)</t>
  </si>
  <si>
    <t>Comprimento (m)</t>
  </si>
  <si>
    <t>h1 retangular (m)</t>
  </si>
  <si>
    <t>Altura h (m)</t>
  </si>
  <si>
    <t xml:space="preserve">Total </t>
  </si>
  <si>
    <t>Total=</t>
  </si>
  <si>
    <t>Forma (m²)</t>
  </si>
  <si>
    <t>Concreto (m³)</t>
  </si>
  <si>
    <t>Itens</t>
  </si>
  <si>
    <t>Lastro de Concreto  fck 15MPa h=0,05m</t>
  </si>
  <si>
    <t>Bloco de Fundação fck = 30MPa</t>
  </si>
  <si>
    <r>
      <t xml:space="preserve">N1 </t>
    </r>
    <r>
      <rPr>
        <sz val="8"/>
        <color theme="1"/>
        <rFont val="Arial"/>
        <family val="2"/>
      </rPr>
      <t>Bloco</t>
    </r>
  </si>
  <si>
    <r>
      <t xml:space="preserve">N2 </t>
    </r>
    <r>
      <rPr>
        <sz val="8"/>
        <color theme="1"/>
        <rFont val="Arial"/>
        <family val="2"/>
      </rPr>
      <t>Bloco</t>
    </r>
  </si>
  <si>
    <r>
      <t xml:space="preserve">N3 </t>
    </r>
    <r>
      <rPr>
        <sz val="8"/>
        <color theme="1"/>
        <rFont val="Arial"/>
        <family val="2"/>
      </rPr>
      <t>Bloco</t>
    </r>
  </si>
  <si>
    <r>
      <t xml:space="preserve">N4 </t>
    </r>
    <r>
      <rPr>
        <sz val="8"/>
        <color theme="1"/>
        <rFont val="Arial"/>
        <family val="2"/>
      </rPr>
      <t>Bloco</t>
    </r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</si>
  <si>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</si>
  <si>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</si>
  <si>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</si>
  <si>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</si>
  <si>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</si>
  <si>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</si>
  <si>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</si>
  <si>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</si>
  <si>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</si>
  <si>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</si>
  <si>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Elemento</t>
  </si>
  <si>
    <t>Posição</t>
  </si>
  <si>
    <t>Diam.</t>
  </si>
  <si>
    <t>Q.</t>
  </si>
  <si>
    <t>Comp. (cm)</t>
  </si>
  <si>
    <t>Total
 (cm)</t>
  </si>
  <si>
    <t>CA - 50 (kg)</t>
  </si>
  <si>
    <t>CA - 60 (kg)</t>
  </si>
  <si>
    <t>Total +10%:</t>
  </si>
  <si>
    <t>Resumo Aço Desenho Blocos</t>
  </si>
  <si>
    <t>Comp. Total (m)</t>
  </si>
  <si>
    <t>Peso + 10% (kg)</t>
  </si>
  <si>
    <t>CA-50</t>
  </si>
  <si>
    <t>Ø8</t>
  </si>
  <si>
    <t>Ø10</t>
  </si>
  <si>
    <t>Total (kg)</t>
  </si>
  <si>
    <t>B11</t>
  </si>
  <si>
    <t>B12</t>
  </si>
  <si>
    <t>B13</t>
  </si>
  <si>
    <t>B14</t>
  </si>
  <si>
    <t>B15</t>
  </si>
  <si>
    <t>B16</t>
  </si>
  <si>
    <t>A (m)</t>
  </si>
  <si>
    <t>B (m)</t>
  </si>
  <si>
    <t>Total Concreto (m³) =</t>
  </si>
  <si>
    <t>Volume por laje (m³)</t>
  </si>
  <si>
    <t>Escavação (m³)</t>
  </si>
  <si>
    <t>Reaterro (m³)</t>
  </si>
  <si>
    <t xml:space="preserve">Laje pré-moldada concreto fck = 30MPa </t>
  </si>
  <si>
    <t>Ø6.3</t>
  </si>
  <si>
    <r>
      <t xml:space="preserve">N1 </t>
    </r>
    <r>
      <rPr>
        <sz val="8"/>
        <color theme="1"/>
        <rFont val="Arial"/>
        <family val="2"/>
      </rPr>
      <t>Pilar</t>
    </r>
  </si>
  <si>
    <r>
      <t xml:space="preserve">N2 </t>
    </r>
    <r>
      <rPr>
        <sz val="8"/>
        <color theme="1"/>
        <rFont val="Arial"/>
        <family val="2"/>
      </rPr>
      <t>Pilar</t>
    </r>
  </si>
  <si>
    <r>
      <t xml:space="preserve">N3 </t>
    </r>
    <r>
      <rPr>
        <sz val="8"/>
        <color theme="1"/>
        <rFont val="Arial"/>
        <family val="2"/>
      </rPr>
      <t>Pilar</t>
    </r>
  </si>
  <si>
    <r>
      <t xml:space="preserve">N4 </t>
    </r>
    <r>
      <rPr>
        <sz val="8"/>
        <color theme="1"/>
        <rFont val="Arial"/>
        <family val="2"/>
      </rPr>
      <t>Pilar</t>
    </r>
  </si>
  <si>
    <t xml:space="preserve">P1 </t>
  </si>
  <si>
    <t>P2</t>
  </si>
  <si>
    <t>P3</t>
  </si>
  <si>
    <t>P4</t>
  </si>
  <si>
    <t xml:space="preserve"> P1 = P2 = P3 = P4</t>
  </si>
  <si>
    <t>Vigas fck = 30MPa</t>
  </si>
  <si>
    <t>P1</t>
  </si>
  <si>
    <t>Pilares fck = 30MPa</t>
  </si>
  <si>
    <t xml:space="preserve">Total da Área de laje Pré-moldada H 12 (12+4)  (m²) = </t>
  </si>
  <si>
    <t>TABELA DE ESTACAS</t>
  </si>
  <si>
    <t>Estacas</t>
  </si>
  <si>
    <t>Tipo</t>
  </si>
  <si>
    <t>Ø (mm)</t>
  </si>
  <si>
    <t>Cargas Atuantes</t>
  </si>
  <si>
    <t>Cota de Arrasamento + (m)</t>
  </si>
  <si>
    <t>Comprimento médio por estaca  (m)</t>
  </si>
  <si>
    <t>Comprimento total (m)</t>
  </si>
  <si>
    <t>Emendas metálicas (unidade)</t>
  </si>
  <si>
    <t>Compressão Máxima (kN)</t>
  </si>
  <si>
    <t xml:space="preserve">Serviço </t>
  </si>
  <si>
    <t xml:space="preserve">Atrito Negativo </t>
  </si>
  <si>
    <t>Total</t>
  </si>
  <si>
    <t>Estaca Pré-Moldada em Concreto Armado</t>
  </si>
  <si>
    <t>(+1.30)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</si>
  <si>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</si>
  <si>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</si>
  <si>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</si>
  <si>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</si>
  <si>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</si>
  <si>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</si>
  <si>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</si>
  <si>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</si>
  <si>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</si>
  <si>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</si>
  <si>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E1 a E36</t>
  </si>
  <si>
    <t>(x12):</t>
  </si>
  <si>
    <r>
      <t xml:space="preserve">N5 </t>
    </r>
    <r>
      <rPr>
        <sz val="8"/>
        <color theme="1"/>
        <rFont val="Arial"/>
        <family val="2"/>
      </rPr>
      <t>Bloco</t>
    </r>
  </si>
  <si>
    <t>Ø12.5</t>
  </si>
  <si>
    <t xml:space="preserve">B1 3 = B14 = B15 = B16 = B17 = B18 = B19 = B20 = B21 =B22 =B23 =B24 </t>
  </si>
  <si>
    <t>B1  = B2 = B3 = B4 = B5 = B6 = B7 = B8 = B9 =B10 =B11 =B12</t>
  </si>
  <si>
    <r>
      <t xml:space="preserve">N1 </t>
    </r>
    <r>
      <rPr>
        <sz val="8"/>
        <color theme="1"/>
        <rFont val="Arial"/>
        <family val="2"/>
      </rPr>
      <t>Viga arquibancada</t>
    </r>
  </si>
  <si>
    <r>
      <t xml:space="preserve">N2 </t>
    </r>
    <r>
      <rPr>
        <sz val="8"/>
        <color theme="1"/>
        <rFont val="Arial"/>
        <family val="2"/>
      </rPr>
      <t>Viga arquibancada</t>
    </r>
  </si>
  <si>
    <r>
      <t xml:space="preserve">N3 </t>
    </r>
    <r>
      <rPr>
        <sz val="8"/>
        <color theme="1"/>
        <rFont val="Arial"/>
        <family val="2"/>
      </rPr>
      <t>Viga arquibancada</t>
    </r>
  </si>
  <si>
    <t>(x72):</t>
  </si>
  <si>
    <t>V1 = V2 = V3 = V4 = V5 = V5 = V6</t>
  </si>
  <si>
    <t>P5</t>
  </si>
  <si>
    <t>P6</t>
  </si>
  <si>
    <r>
      <t xml:space="preserve">N5 </t>
    </r>
    <r>
      <rPr>
        <sz val="8"/>
        <color theme="1"/>
        <rFont val="Arial"/>
        <family val="2"/>
      </rPr>
      <t>Pilar</t>
    </r>
  </si>
  <si>
    <r>
      <t xml:space="preserve">N6 </t>
    </r>
    <r>
      <rPr>
        <sz val="8"/>
        <color theme="1"/>
        <rFont val="Arial"/>
        <family val="2"/>
      </rPr>
      <t>Pilar</t>
    </r>
  </si>
  <si>
    <r>
      <t>N7</t>
    </r>
    <r>
      <rPr>
        <sz val="8"/>
        <color theme="1"/>
        <rFont val="Arial"/>
        <family val="2"/>
      </rPr>
      <t>Pilar</t>
    </r>
  </si>
  <si>
    <t>Total (x12)=</t>
  </si>
  <si>
    <t>Total (x72)=</t>
  </si>
  <si>
    <t>L1 a L6</t>
  </si>
  <si>
    <t>L7 a L11</t>
  </si>
  <si>
    <t>L17 = L12</t>
  </si>
  <si>
    <t>L23 = L16</t>
  </si>
  <si>
    <t>Descrição</t>
  </si>
  <si>
    <t>Cd.</t>
  </si>
  <si>
    <t>Unidade</t>
  </si>
  <si>
    <t>Fundação</t>
  </si>
  <si>
    <t>m</t>
  </si>
  <si>
    <t>Índice kg/m</t>
  </si>
  <si>
    <t>Emenda metálica - Estaqueamento</t>
  </si>
  <si>
    <t>uni.</t>
  </si>
  <si>
    <t>Demolição  arrasamento de estaca Ø25 - 60cm</t>
  </si>
  <si>
    <t>m³</t>
  </si>
  <si>
    <t>Escavação Blocos (adotou-se 0.5m p/ cd. Lado)</t>
  </si>
  <si>
    <t>Reaterro blocos</t>
  </si>
  <si>
    <t>Lastro de concreto 15MPa h=5cm</t>
  </si>
  <si>
    <t>Forma (blocos)</t>
  </si>
  <si>
    <t>Concreto 30MPa - Blocos</t>
  </si>
  <si>
    <t>Armação - 24 Blocos</t>
  </si>
  <si>
    <t>kg</t>
  </si>
  <si>
    <t>m²</t>
  </si>
  <si>
    <t>Cintamento - 30MPa</t>
  </si>
  <si>
    <t>Escavação</t>
  </si>
  <si>
    <t>Reaterro</t>
  </si>
  <si>
    <t xml:space="preserve">Forma </t>
  </si>
  <si>
    <t>Lastro de concreto 15MPa</t>
  </si>
  <si>
    <t>Concreto 30MPa</t>
  </si>
  <si>
    <t>Armação</t>
  </si>
  <si>
    <t>Pilares - 30MPa</t>
  </si>
  <si>
    <t>Laje H16 - 30Mpa</t>
  </si>
  <si>
    <t>Malha Q92</t>
  </si>
  <si>
    <t>Laje H16 treliçada</t>
  </si>
  <si>
    <t>Vigas Fechamento Último Pavimento - 30Mpa</t>
  </si>
  <si>
    <t>forma total vigas</t>
  </si>
  <si>
    <t>concreto total vigas</t>
  </si>
  <si>
    <t>barras total vigas</t>
  </si>
  <si>
    <t xml:space="preserve">Estacas concreto armado Ø30 - Solicitação 600KN </t>
  </si>
  <si>
    <t>Vigas intermediaria - 30Mpa</t>
  </si>
  <si>
    <t xml:space="preserve">Resumo Quantitativo parede 01 </t>
  </si>
  <si>
    <t>Demolição  arrasamento de estaca Ø30 - 60cm</t>
  </si>
  <si>
    <t>Resumo Quantitativo parede 02</t>
  </si>
  <si>
    <t xml:space="preserve">B1  = B2 = B3 = B4 = B5 = B6 = B7 = B8 = B9 =B10 =B11 =B12 = B13 = B14 =B14 </t>
  </si>
  <si>
    <t xml:space="preserve">B15 =B16  = B17 = B18 = B19 = B20 = B21 = B22 = B23 = B24 =B25 =B26 </t>
  </si>
  <si>
    <t>(x14):</t>
  </si>
  <si>
    <t>E1 a E38</t>
  </si>
  <si>
    <t>12.5</t>
  </si>
  <si>
    <t>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</si>
</sst>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/>
    <xf numFmtId="2" fontId="1" fillId="0" borderId="1" xfId="1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1" fontId="0" fillId="0" borderId="0" xfId="0" applyNumberFormat="1" applyFill="1"/>
    <xf numFmtId="2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6" fontId="6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topLeftCell="A6" zoomScale="90" zoomScaleNormal="90" workbookViewId="0">
      <selection sqref="A1:H22"/>
    </sheetView>
  </sheetViews>
  <sheetFormatPr defaultRowHeight="15" x14ac:dyDescent="0.25"/>
  <cols>
    <col min="1" max="1" width="12.42578125" customWidth="1"/>
    <col min="2" max="2" width="11.85546875" customWidth="1"/>
    <col min="3" max="3" width="8.85546875" customWidth="1"/>
    <col min="4" max="4" width="8.42578125" customWidth="1"/>
    <col min="5" max="5" width="9" customWidth="1"/>
    <col min="6" max="6" width="9.85546875" customWidth="1"/>
    <col min="13" max="13" width="15.28515625" customWidth="1"/>
  </cols>
  <sheetData>
    <row r="1" spans="1:17" ht="15" customHeight="1" x14ac:dyDescent="0.25">
      <c r="A1" s="61" t="s">
        <v>34</v>
      </c>
      <c r="B1" s="61" t="s">
        <v>35</v>
      </c>
      <c r="C1" s="61" t="s">
        <v>36</v>
      </c>
      <c r="D1" s="61" t="s">
        <v>37</v>
      </c>
      <c r="E1" s="56" t="s">
        <v>38</v>
      </c>
      <c r="F1" s="61" t="s">
        <v>39</v>
      </c>
      <c r="G1" s="61" t="s">
        <v>40</v>
      </c>
      <c r="H1" s="61" t="s">
        <v>41</v>
      </c>
    </row>
    <row r="2" spans="1:17" x14ac:dyDescent="0.25">
      <c r="A2" s="61"/>
      <c r="B2" s="61"/>
      <c r="C2" s="61"/>
      <c r="D2" s="61"/>
      <c r="E2" s="58"/>
      <c r="F2" s="61"/>
      <c r="G2" s="61"/>
      <c r="H2" s="61"/>
      <c r="M2">
        <v>5</v>
      </c>
      <c r="N2">
        <v>0.154</v>
      </c>
    </row>
    <row r="3" spans="1:17" ht="22.5" customHeight="1" x14ac:dyDescent="0.25">
      <c r="A3" s="66" t="s">
        <v>162</v>
      </c>
      <c r="B3" s="25" t="s">
        <v>20</v>
      </c>
      <c r="C3" s="18">
        <v>10</v>
      </c>
      <c r="D3" s="18">
        <v>5</v>
      </c>
      <c r="E3" s="18">
        <v>292</v>
      </c>
      <c r="F3" s="21">
        <f t="shared" ref="F3:F7" si="0">(D3*E3)</f>
        <v>1460</v>
      </c>
      <c r="G3" s="21">
        <f>0.617*(F3/100)</f>
        <v>9.0082000000000004</v>
      </c>
      <c r="H3" s="21"/>
      <c r="M3">
        <v>6.3</v>
      </c>
      <c r="N3">
        <v>0.245</v>
      </c>
    </row>
    <row r="4" spans="1:17" ht="22.5" customHeight="1" x14ac:dyDescent="0.25">
      <c r="A4" s="67"/>
      <c r="B4" s="25" t="s">
        <v>21</v>
      </c>
      <c r="C4" s="18">
        <v>10</v>
      </c>
      <c r="D4" s="18">
        <v>3</v>
      </c>
      <c r="E4" s="18">
        <v>295</v>
      </c>
      <c r="F4" s="21">
        <f t="shared" si="0"/>
        <v>885</v>
      </c>
      <c r="G4" s="21">
        <f>0.617*F4/100</f>
        <v>5.4604499999999998</v>
      </c>
      <c r="H4" s="21"/>
      <c r="M4">
        <v>8</v>
      </c>
      <c r="N4">
        <v>0.39500000000000002</v>
      </c>
    </row>
    <row r="5" spans="1:17" ht="22.5" customHeight="1" x14ac:dyDescent="0.25">
      <c r="A5" s="67"/>
      <c r="B5" s="25" t="s">
        <v>22</v>
      </c>
      <c r="C5" s="18">
        <v>12.5</v>
      </c>
      <c r="D5" s="18">
        <v>5</v>
      </c>
      <c r="E5" s="18">
        <v>292</v>
      </c>
      <c r="F5" s="21">
        <f t="shared" si="0"/>
        <v>1460</v>
      </c>
      <c r="G5" s="21">
        <f>0.963*F5/100</f>
        <v>14.059800000000001</v>
      </c>
      <c r="H5" s="21"/>
      <c r="J5" s="9"/>
      <c r="M5">
        <v>10</v>
      </c>
      <c r="N5">
        <v>0.61699999999999999</v>
      </c>
    </row>
    <row r="6" spans="1:17" ht="22.5" customHeight="1" x14ac:dyDescent="0.25">
      <c r="A6" s="67"/>
      <c r="B6" s="25" t="s">
        <v>23</v>
      </c>
      <c r="C6" s="18">
        <v>8</v>
      </c>
      <c r="D6" s="18">
        <v>1</v>
      </c>
      <c r="E6" s="18">
        <v>327</v>
      </c>
      <c r="F6" s="21">
        <f t="shared" si="0"/>
        <v>327</v>
      </c>
      <c r="G6" s="21">
        <f>0.395*F6/100</f>
        <v>1.29165</v>
      </c>
      <c r="H6" s="21"/>
      <c r="J6" s="9"/>
      <c r="M6">
        <v>12</v>
      </c>
      <c r="N6">
        <v>0.96299999999999997</v>
      </c>
    </row>
    <row r="7" spans="1:17" ht="22.5" customHeight="1" x14ac:dyDescent="0.25">
      <c r="A7" s="68"/>
      <c r="B7" s="25" t="s">
        <v>104</v>
      </c>
      <c r="C7" s="18">
        <v>8</v>
      </c>
      <c r="D7" s="18">
        <v>1</v>
      </c>
      <c r="E7" s="18">
        <v>324</v>
      </c>
      <c r="F7" s="21">
        <f t="shared" si="0"/>
        <v>324</v>
      </c>
      <c r="G7" s="21">
        <f>0.395*F7/100</f>
        <v>1.2798</v>
      </c>
      <c r="H7" s="21"/>
      <c r="J7" s="9"/>
    </row>
    <row r="8" spans="1:17" x14ac:dyDescent="0.25">
      <c r="A8" s="65" t="s">
        <v>42</v>
      </c>
      <c r="B8" s="65"/>
      <c r="C8" s="65"/>
      <c r="D8" s="65"/>
      <c r="E8" s="65"/>
      <c r="F8" s="65"/>
      <c r="G8" s="21">
        <f>SUM(G3:G7)*1.1</f>
        <v>34.209890000000001</v>
      </c>
      <c r="H8" s="21">
        <v>0</v>
      </c>
      <c r="I8" s="12"/>
      <c r="J8" s="10"/>
      <c r="K8" s="10"/>
      <c r="L8" s="10"/>
      <c r="M8" s="10"/>
      <c r="N8" s="10"/>
      <c r="O8" s="10"/>
      <c r="P8" s="10"/>
      <c r="Q8" s="10"/>
    </row>
    <row r="9" spans="1:17" x14ac:dyDescent="0.25">
      <c r="A9" s="53" t="s">
        <v>164</v>
      </c>
      <c r="B9" s="54"/>
      <c r="C9" s="54"/>
      <c r="D9" s="54"/>
      <c r="E9" s="54"/>
      <c r="F9" s="55"/>
      <c r="G9" s="21">
        <f>G8*14</f>
        <v>478.93846000000002</v>
      </c>
      <c r="H9" s="21"/>
      <c r="I9" s="12"/>
      <c r="J9" s="10"/>
      <c r="K9" s="10"/>
      <c r="L9" s="10"/>
      <c r="M9" s="10"/>
      <c r="N9" s="10"/>
      <c r="O9" s="10"/>
      <c r="P9" s="10"/>
      <c r="Q9" s="10"/>
    </row>
    <row r="10" spans="1:17" ht="22.5" customHeight="1" x14ac:dyDescent="0.25">
      <c r="A10" s="66" t="s">
        <v>163</v>
      </c>
      <c r="B10" s="25" t="s">
        <v>20</v>
      </c>
      <c r="C10" s="18">
        <v>12.5</v>
      </c>
      <c r="D10" s="18">
        <v>10</v>
      </c>
      <c r="E10" s="18">
        <v>571</v>
      </c>
      <c r="F10" s="21">
        <f t="shared" ref="F10:F13" si="1">(D10*E10)</f>
        <v>5710</v>
      </c>
      <c r="G10" s="21">
        <f>0.963*(F10/100)</f>
        <v>54.987299999999998</v>
      </c>
      <c r="H10" s="21"/>
      <c r="M10">
        <v>6.3</v>
      </c>
      <c r="N10">
        <v>0.245</v>
      </c>
    </row>
    <row r="11" spans="1:17" ht="22.5" customHeight="1" x14ac:dyDescent="0.25">
      <c r="A11" s="67"/>
      <c r="B11" s="25" t="s">
        <v>21</v>
      </c>
      <c r="C11" s="18">
        <v>12.5</v>
      </c>
      <c r="D11" s="18">
        <v>10</v>
      </c>
      <c r="E11" s="18">
        <v>571</v>
      </c>
      <c r="F11" s="21">
        <f t="shared" si="1"/>
        <v>5710</v>
      </c>
      <c r="G11" s="21">
        <f>0.963*F11/100</f>
        <v>54.987299999999998</v>
      </c>
      <c r="H11" s="21"/>
      <c r="M11">
        <v>8</v>
      </c>
      <c r="N11">
        <v>0.39500000000000002</v>
      </c>
    </row>
    <row r="12" spans="1:17" ht="22.5" customHeight="1" x14ac:dyDescent="0.25">
      <c r="A12" s="67"/>
      <c r="B12" s="25" t="s">
        <v>22</v>
      </c>
      <c r="C12" s="18">
        <v>10</v>
      </c>
      <c r="D12" s="18">
        <v>20</v>
      </c>
      <c r="E12" s="18">
        <v>606</v>
      </c>
      <c r="F12" s="21">
        <f t="shared" si="1"/>
        <v>12120</v>
      </c>
      <c r="G12" s="21">
        <f>0.617*F12/100</f>
        <v>74.7804</v>
      </c>
      <c r="H12" s="21"/>
      <c r="J12" s="9"/>
      <c r="M12">
        <v>10</v>
      </c>
      <c r="N12">
        <v>0.61699999999999999</v>
      </c>
    </row>
    <row r="13" spans="1:17" ht="22.5" customHeight="1" x14ac:dyDescent="0.25">
      <c r="A13" s="68"/>
      <c r="B13" s="25" t="s">
        <v>23</v>
      </c>
      <c r="C13" s="18">
        <v>8</v>
      </c>
      <c r="D13" s="18">
        <v>25</v>
      </c>
      <c r="E13" s="18">
        <v>269</v>
      </c>
      <c r="F13" s="21">
        <f t="shared" si="1"/>
        <v>6725</v>
      </c>
      <c r="G13" s="21">
        <f>0.395*F13/100</f>
        <v>26.563749999999999</v>
      </c>
      <c r="H13" s="21"/>
      <c r="J13" s="9"/>
      <c r="M13">
        <v>12</v>
      </c>
      <c r="N13">
        <v>0.96299999999999997</v>
      </c>
    </row>
    <row r="14" spans="1:17" x14ac:dyDescent="0.25">
      <c r="A14" s="65" t="s">
        <v>42</v>
      </c>
      <c r="B14" s="65"/>
      <c r="C14" s="65"/>
      <c r="D14" s="65"/>
      <c r="E14" s="65"/>
      <c r="F14" s="65"/>
      <c r="G14" s="21">
        <f>SUM(G10:G13)*1.1</f>
        <v>232.450625</v>
      </c>
      <c r="H14" s="21">
        <v>0</v>
      </c>
      <c r="I14" s="12"/>
      <c r="J14" s="10"/>
      <c r="K14" s="10"/>
      <c r="L14" s="10"/>
      <c r="M14" s="10"/>
      <c r="N14" s="10"/>
      <c r="O14" s="10"/>
      <c r="P14" s="10"/>
      <c r="Q14" s="10"/>
    </row>
    <row r="15" spans="1:17" x14ac:dyDescent="0.25">
      <c r="A15" s="53" t="s">
        <v>103</v>
      </c>
      <c r="B15" s="54"/>
      <c r="C15" s="54"/>
      <c r="D15" s="54"/>
      <c r="E15" s="54"/>
      <c r="F15" s="55"/>
      <c r="G15" s="21">
        <f>G14*12</f>
        <v>2789.4075000000003</v>
      </c>
      <c r="H15" s="21"/>
      <c r="I15" s="12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50"/>
      <c r="B16" s="50"/>
      <c r="C16" s="50"/>
      <c r="D16" s="50"/>
      <c r="E16" s="50"/>
      <c r="F16" s="50"/>
      <c r="G16" s="50"/>
      <c r="H16" s="50"/>
    </row>
    <row r="17" spans="1:12" x14ac:dyDescent="0.25">
      <c r="A17" s="56" t="s">
        <v>43</v>
      </c>
      <c r="B17" s="57"/>
      <c r="C17" s="56" t="s">
        <v>44</v>
      </c>
      <c r="D17" s="57"/>
      <c r="E17" s="56" t="s">
        <v>45</v>
      </c>
      <c r="F17" s="57"/>
      <c r="G17" s="61" t="s">
        <v>49</v>
      </c>
      <c r="H17" s="61"/>
    </row>
    <row r="18" spans="1:12" x14ac:dyDescent="0.25">
      <c r="A18" s="58"/>
      <c r="B18" s="59"/>
      <c r="C18" s="58"/>
      <c r="D18" s="59"/>
      <c r="E18" s="58"/>
      <c r="F18" s="59"/>
      <c r="G18" s="61"/>
      <c r="H18" s="61"/>
    </row>
    <row r="19" spans="1:12" x14ac:dyDescent="0.25">
      <c r="A19" s="62" t="s">
        <v>46</v>
      </c>
      <c r="B19" s="25" t="s">
        <v>47</v>
      </c>
      <c r="C19" s="51">
        <f>(((F6+F7)*14)+((F13*12)))/100</f>
        <v>898.14</v>
      </c>
      <c r="D19" s="49"/>
      <c r="E19" s="48">
        <f>C19*0.395*1.1</f>
        <v>390.24183000000005</v>
      </c>
      <c r="F19" s="52"/>
      <c r="G19" s="51"/>
      <c r="H19" s="49"/>
    </row>
    <row r="20" spans="1:12" x14ac:dyDescent="0.25">
      <c r="A20" s="63"/>
      <c r="B20" s="25" t="s">
        <v>48</v>
      </c>
      <c r="C20" s="51">
        <f>(((F3+F4)*14)+((F12*12)))/100</f>
        <v>1782.7</v>
      </c>
      <c r="D20" s="49"/>
      <c r="E20" s="48">
        <f>C20*0.617*1.1</f>
        <v>1209.91849</v>
      </c>
      <c r="F20" s="52"/>
      <c r="G20" s="51"/>
      <c r="H20" s="49"/>
    </row>
    <row r="21" spans="1:12" x14ac:dyDescent="0.25">
      <c r="A21" s="64"/>
      <c r="B21" s="25" t="s">
        <v>105</v>
      </c>
      <c r="C21" s="51">
        <f>((F5*14)+((F10+F11)*12))/100</f>
        <v>1574.8</v>
      </c>
      <c r="D21" s="49"/>
      <c r="E21" s="48">
        <f>C21*0.963*1.1</f>
        <v>1668.1856399999999</v>
      </c>
      <c r="F21" s="52"/>
      <c r="G21" s="48">
        <f>E19+E20+E21</f>
        <v>3268.3459599999996</v>
      </c>
      <c r="H21" s="52"/>
      <c r="L21" s="9"/>
    </row>
    <row r="22" spans="1:12" x14ac:dyDescent="0.25">
      <c r="A22" s="53" t="s">
        <v>1</v>
      </c>
      <c r="B22" s="54"/>
      <c r="C22" s="54"/>
      <c r="D22" s="54"/>
      <c r="E22" s="54"/>
      <c r="F22" s="55"/>
      <c r="G22" s="48">
        <f>G21</f>
        <v>3268.3459599999996</v>
      </c>
      <c r="H22" s="49"/>
    </row>
    <row r="23" spans="1:12" x14ac:dyDescent="0.25">
      <c r="A23" s="26"/>
      <c r="B23" s="26"/>
      <c r="C23" s="26"/>
      <c r="D23" s="26"/>
      <c r="E23" s="26"/>
      <c r="F23" s="26"/>
      <c r="G23" s="26"/>
      <c r="H23" s="26"/>
    </row>
    <row r="24" spans="1:12" x14ac:dyDescent="0.25">
      <c r="A24" s="26"/>
      <c r="B24" s="26"/>
      <c r="C24" s="26"/>
      <c r="D24" s="26"/>
      <c r="E24" s="26"/>
      <c r="F24" s="26"/>
      <c r="G24" s="26"/>
      <c r="H24" s="26"/>
    </row>
    <row r="25" spans="1:12" x14ac:dyDescent="0.25">
      <c r="A25" s="26"/>
      <c r="B25" s="26"/>
      <c r="C25" s="60">
        <f>G9+G15</f>
        <v>3268.3459600000001</v>
      </c>
      <c r="D25" s="49"/>
      <c r="E25" s="26"/>
      <c r="F25" s="26"/>
      <c r="G25" s="26"/>
      <c r="H25" s="26"/>
      <c r="L25" s="9"/>
    </row>
    <row r="26" spans="1:12" x14ac:dyDescent="0.25">
      <c r="A26" s="26"/>
      <c r="B26" s="26"/>
      <c r="C26" s="48">
        <f>G22</f>
        <v>3268.3459599999996</v>
      </c>
      <c r="D26" s="49"/>
      <c r="E26" s="26"/>
      <c r="F26" s="26"/>
      <c r="G26" s="26"/>
      <c r="H26" s="26"/>
    </row>
    <row r="27" spans="1:12" x14ac:dyDescent="0.25">
      <c r="A27" s="26"/>
      <c r="B27" s="26"/>
      <c r="C27" s="26"/>
      <c r="D27" s="26"/>
      <c r="E27" s="26"/>
      <c r="F27" s="26"/>
      <c r="G27" s="26"/>
      <c r="H27" s="26"/>
    </row>
    <row r="28" spans="1:12" x14ac:dyDescent="0.25">
      <c r="A28" s="26"/>
      <c r="B28" s="26"/>
      <c r="C28" s="26"/>
      <c r="D28" s="26"/>
      <c r="E28" s="26"/>
      <c r="F28" s="26"/>
      <c r="G28" s="26"/>
      <c r="H28" s="26"/>
    </row>
  </sheetData>
  <mergeCells count="33">
    <mergeCell ref="C20:D20"/>
    <mergeCell ref="A9:F9"/>
    <mergeCell ref="A8:F8"/>
    <mergeCell ref="G1:G2"/>
    <mergeCell ref="C17:D18"/>
    <mergeCell ref="E17:F18"/>
    <mergeCell ref="A10:A13"/>
    <mergeCell ref="A14:F14"/>
    <mergeCell ref="A15:F15"/>
    <mergeCell ref="A3:A7"/>
    <mergeCell ref="H1:H2"/>
    <mergeCell ref="B1:B2"/>
    <mergeCell ref="C1:C2"/>
    <mergeCell ref="D1:D2"/>
    <mergeCell ref="A1:A2"/>
    <mergeCell ref="E1:E2"/>
    <mergeCell ref="F1:F2"/>
    <mergeCell ref="C26:D26"/>
    <mergeCell ref="A16:H16"/>
    <mergeCell ref="G19:H19"/>
    <mergeCell ref="G20:H20"/>
    <mergeCell ref="G21:H21"/>
    <mergeCell ref="G22:H22"/>
    <mergeCell ref="A22:F22"/>
    <mergeCell ref="E19:F19"/>
    <mergeCell ref="E20:F20"/>
    <mergeCell ref="C21:D21"/>
    <mergeCell ref="A17:B18"/>
    <mergeCell ref="E21:F21"/>
    <mergeCell ref="C19:D19"/>
    <mergeCell ref="C25:D25"/>
    <mergeCell ref="G17:H18"/>
    <mergeCell ref="A19:A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zoomScale="90" zoomScaleNormal="90" workbookViewId="0">
      <selection activeCell="H10" sqref="H10"/>
    </sheetView>
  </sheetViews>
  <sheetFormatPr defaultRowHeight="15" x14ac:dyDescent="0.25"/>
  <cols>
    <col min="1" max="1" width="12.42578125" customWidth="1"/>
    <col min="2" max="2" width="11.85546875" customWidth="1"/>
    <col min="3" max="3" width="8.85546875" customWidth="1"/>
    <col min="4" max="4" width="8.42578125" customWidth="1"/>
    <col min="5" max="5" width="9" customWidth="1"/>
    <col min="6" max="6" width="9.85546875" customWidth="1"/>
    <col min="13" max="13" width="15.28515625" customWidth="1"/>
  </cols>
  <sheetData>
    <row r="1" spans="1:17" ht="15" customHeight="1" x14ac:dyDescent="0.25">
      <c r="A1" s="61" t="s">
        <v>34</v>
      </c>
      <c r="B1" s="61" t="s">
        <v>35</v>
      </c>
      <c r="C1" s="61" t="s">
        <v>36</v>
      </c>
      <c r="D1" s="61" t="s">
        <v>37</v>
      </c>
      <c r="E1" s="56" t="s">
        <v>38</v>
      </c>
      <c r="F1" s="61" t="s">
        <v>39</v>
      </c>
      <c r="G1" s="61" t="s">
        <v>40</v>
      </c>
      <c r="H1" s="61" t="s">
        <v>41</v>
      </c>
    </row>
    <row r="2" spans="1:17" x14ac:dyDescent="0.25">
      <c r="A2" s="61"/>
      <c r="B2" s="61"/>
      <c r="C2" s="61"/>
      <c r="D2" s="61"/>
      <c r="E2" s="58"/>
      <c r="F2" s="61"/>
      <c r="G2" s="61"/>
      <c r="H2" s="61"/>
      <c r="M2">
        <v>5</v>
      </c>
      <c r="N2">
        <v>0.154</v>
      </c>
    </row>
    <row r="3" spans="1:17" ht="22.5" customHeight="1" x14ac:dyDescent="0.25">
      <c r="A3" s="66" t="s">
        <v>106</v>
      </c>
      <c r="B3" s="25" t="s">
        <v>20</v>
      </c>
      <c r="C3" s="18">
        <v>10</v>
      </c>
      <c r="D3" s="18">
        <v>5</v>
      </c>
      <c r="E3" s="18">
        <v>292</v>
      </c>
      <c r="F3" s="21">
        <f t="shared" ref="F3:F7" si="0">(D3*E3)</f>
        <v>1460</v>
      </c>
      <c r="G3" s="21">
        <f>0.617*(F3/100)</f>
        <v>9.0082000000000004</v>
      </c>
      <c r="H3" s="21"/>
      <c r="M3">
        <v>6.3</v>
      </c>
      <c r="N3">
        <v>0.245</v>
      </c>
    </row>
    <row r="4" spans="1:17" ht="22.5" customHeight="1" x14ac:dyDescent="0.25">
      <c r="A4" s="67"/>
      <c r="B4" s="25" t="s">
        <v>21</v>
      </c>
      <c r="C4" s="18">
        <v>10</v>
      </c>
      <c r="D4" s="18">
        <v>3</v>
      </c>
      <c r="E4" s="18">
        <v>295</v>
      </c>
      <c r="F4" s="21">
        <f t="shared" si="0"/>
        <v>885</v>
      </c>
      <c r="G4" s="21">
        <f>0.617*F4/100</f>
        <v>5.4604499999999998</v>
      </c>
      <c r="H4" s="21"/>
      <c r="M4">
        <v>8</v>
      </c>
      <c r="N4">
        <v>0.39500000000000002</v>
      </c>
    </row>
    <row r="5" spans="1:17" ht="22.5" customHeight="1" x14ac:dyDescent="0.25">
      <c r="A5" s="67"/>
      <c r="B5" s="25" t="s">
        <v>22</v>
      </c>
      <c r="C5" s="18">
        <v>12.5</v>
      </c>
      <c r="D5" s="18">
        <v>5</v>
      </c>
      <c r="E5" s="18">
        <v>292</v>
      </c>
      <c r="F5" s="21">
        <f t="shared" si="0"/>
        <v>1460</v>
      </c>
      <c r="G5" s="21">
        <f>0.963*F5/100</f>
        <v>14.059800000000001</v>
      </c>
      <c r="H5" s="21"/>
      <c r="J5" s="9"/>
      <c r="M5">
        <v>10</v>
      </c>
      <c r="N5">
        <v>0.61699999999999999</v>
      </c>
    </row>
    <row r="6" spans="1:17" ht="22.5" customHeight="1" x14ac:dyDescent="0.25">
      <c r="A6" s="67"/>
      <c r="B6" s="25" t="s">
        <v>23</v>
      </c>
      <c r="C6" s="18">
        <v>8</v>
      </c>
      <c r="D6" s="18">
        <v>1</v>
      </c>
      <c r="E6" s="18">
        <v>327</v>
      </c>
      <c r="F6" s="21">
        <f t="shared" si="0"/>
        <v>327</v>
      </c>
      <c r="G6" s="21">
        <f>0.395*F6/100</f>
        <v>1.29165</v>
      </c>
      <c r="H6" s="21"/>
      <c r="J6" s="9"/>
      <c r="M6">
        <v>12</v>
      </c>
      <c r="N6">
        <v>0.96299999999999997</v>
      </c>
    </row>
    <row r="7" spans="1:17" ht="22.5" customHeight="1" x14ac:dyDescent="0.25">
      <c r="A7" s="68"/>
      <c r="B7" s="25" t="s">
        <v>104</v>
      </c>
      <c r="C7" s="18">
        <v>8</v>
      </c>
      <c r="D7" s="18">
        <v>1</v>
      </c>
      <c r="E7" s="18">
        <v>324</v>
      </c>
      <c r="F7" s="21">
        <f t="shared" si="0"/>
        <v>324</v>
      </c>
      <c r="G7" s="21">
        <f>0.395*F7/100</f>
        <v>1.2798</v>
      </c>
      <c r="H7" s="21"/>
      <c r="J7" s="9"/>
    </row>
    <row r="8" spans="1:17" x14ac:dyDescent="0.25">
      <c r="A8" s="65" t="s">
        <v>42</v>
      </c>
      <c r="B8" s="65"/>
      <c r="C8" s="65"/>
      <c r="D8" s="65"/>
      <c r="E8" s="65"/>
      <c r="F8" s="65"/>
      <c r="G8" s="21">
        <f>SUM(G3:G7)*1.1</f>
        <v>34.209890000000001</v>
      </c>
      <c r="H8" s="21">
        <v>0</v>
      </c>
      <c r="I8" s="12"/>
      <c r="J8" s="10"/>
      <c r="K8" s="10"/>
      <c r="L8" s="10"/>
      <c r="M8" s="10"/>
      <c r="N8" s="10"/>
      <c r="O8" s="10"/>
      <c r="P8" s="10"/>
      <c r="Q8" s="10"/>
    </row>
    <row r="9" spans="1:17" x14ac:dyDescent="0.25">
      <c r="A9" s="53" t="s">
        <v>103</v>
      </c>
      <c r="B9" s="54"/>
      <c r="C9" s="54"/>
      <c r="D9" s="54"/>
      <c r="E9" s="54"/>
      <c r="F9" s="55"/>
      <c r="G9" s="21">
        <f>G8*12</f>
        <v>410.51868000000002</v>
      </c>
      <c r="H9" s="21"/>
      <c r="I9" s="12"/>
      <c r="J9" s="10"/>
      <c r="K9" s="10"/>
      <c r="L9" s="10"/>
      <c r="M9" s="10"/>
      <c r="N9" s="10"/>
      <c r="O9" s="10"/>
      <c r="P9" s="10"/>
      <c r="Q9" s="10"/>
    </row>
    <row r="10" spans="1:17" ht="22.5" customHeight="1" x14ac:dyDescent="0.25">
      <c r="A10" s="66" t="s">
        <v>107</v>
      </c>
      <c r="B10" s="25" t="s">
        <v>20</v>
      </c>
      <c r="C10" s="18">
        <v>12.5</v>
      </c>
      <c r="D10" s="18">
        <v>10</v>
      </c>
      <c r="E10" s="18">
        <v>571</v>
      </c>
      <c r="F10" s="21">
        <f t="shared" ref="F10:F13" si="1">(D10*E10)</f>
        <v>5710</v>
      </c>
      <c r="G10" s="21">
        <f>0.963*(F10/100)</f>
        <v>54.987299999999998</v>
      </c>
      <c r="H10" s="21"/>
      <c r="M10">
        <v>6.3</v>
      </c>
      <c r="N10">
        <v>0.245</v>
      </c>
    </row>
    <row r="11" spans="1:17" ht="22.5" customHeight="1" x14ac:dyDescent="0.25">
      <c r="A11" s="67"/>
      <c r="B11" s="25" t="s">
        <v>21</v>
      </c>
      <c r="C11" s="18">
        <v>12.5</v>
      </c>
      <c r="D11" s="18">
        <v>10</v>
      </c>
      <c r="E11" s="18">
        <v>571</v>
      </c>
      <c r="F11" s="21">
        <f t="shared" si="1"/>
        <v>5710</v>
      </c>
      <c r="G11" s="21">
        <f>0.963*F11/100</f>
        <v>54.987299999999998</v>
      </c>
      <c r="H11" s="21"/>
      <c r="M11">
        <v>8</v>
      </c>
      <c r="N11">
        <v>0.39500000000000002</v>
      </c>
    </row>
    <row r="12" spans="1:17" ht="22.5" customHeight="1" x14ac:dyDescent="0.25">
      <c r="A12" s="67"/>
      <c r="B12" s="25" t="s">
        <v>22</v>
      </c>
      <c r="C12" s="18">
        <v>10</v>
      </c>
      <c r="D12" s="18">
        <v>20</v>
      </c>
      <c r="E12" s="18">
        <v>606</v>
      </c>
      <c r="F12" s="21">
        <f t="shared" si="1"/>
        <v>12120</v>
      </c>
      <c r="G12" s="21">
        <f>0.617*F12/100</f>
        <v>74.7804</v>
      </c>
      <c r="H12" s="21"/>
      <c r="J12" s="9"/>
      <c r="M12">
        <v>10</v>
      </c>
      <c r="N12">
        <v>0.61699999999999999</v>
      </c>
    </row>
    <row r="13" spans="1:17" ht="22.5" customHeight="1" x14ac:dyDescent="0.25">
      <c r="A13" s="68"/>
      <c r="B13" s="25" t="s">
        <v>23</v>
      </c>
      <c r="C13" s="18">
        <v>8</v>
      </c>
      <c r="D13" s="18">
        <v>25</v>
      </c>
      <c r="E13" s="18">
        <v>269</v>
      </c>
      <c r="F13" s="21">
        <f t="shared" si="1"/>
        <v>6725</v>
      </c>
      <c r="G13" s="21">
        <f>0.395*F13/100</f>
        <v>26.563749999999999</v>
      </c>
      <c r="H13" s="21"/>
      <c r="J13" s="9"/>
      <c r="M13">
        <v>12</v>
      </c>
      <c r="N13">
        <v>0.96299999999999997</v>
      </c>
    </row>
    <row r="14" spans="1:17" x14ac:dyDescent="0.25">
      <c r="A14" s="65" t="s">
        <v>42</v>
      </c>
      <c r="B14" s="65"/>
      <c r="C14" s="65"/>
      <c r="D14" s="65"/>
      <c r="E14" s="65"/>
      <c r="F14" s="65"/>
      <c r="G14" s="21">
        <f>SUM(G10:G13)*1.1</f>
        <v>232.450625</v>
      </c>
      <c r="H14" s="21">
        <v>0</v>
      </c>
      <c r="I14" s="12"/>
      <c r="J14" s="10"/>
      <c r="K14" s="10"/>
      <c r="L14" s="10"/>
      <c r="M14" s="10"/>
      <c r="N14" s="10"/>
      <c r="O14" s="10"/>
      <c r="P14" s="10"/>
      <c r="Q14" s="10"/>
    </row>
    <row r="15" spans="1:17" x14ac:dyDescent="0.25">
      <c r="A15" s="53" t="s">
        <v>103</v>
      </c>
      <c r="B15" s="54"/>
      <c r="C15" s="54"/>
      <c r="D15" s="54"/>
      <c r="E15" s="54"/>
      <c r="F15" s="55"/>
      <c r="G15" s="21">
        <f>G14*12</f>
        <v>2789.4075000000003</v>
      </c>
      <c r="H15" s="21"/>
      <c r="I15" s="12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50"/>
      <c r="B16" s="50"/>
      <c r="C16" s="50"/>
      <c r="D16" s="50"/>
      <c r="E16" s="50"/>
      <c r="F16" s="50"/>
      <c r="G16" s="50"/>
      <c r="H16" s="50"/>
    </row>
    <row r="17" spans="1:12" x14ac:dyDescent="0.25">
      <c r="A17" s="56" t="s">
        <v>43</v>
      </c>
      <c r="B17" s="57"/>
      <c r="C17" s="56" t="s">
        <v>44</v>
      </c>
      <c r="D17" s="57"/>
      <c r="E17" s="56" t="s">
        <v>45</v>
      </c>
      <c r="F17" s="57"/>
      <c r="G17" s="61" t="s">
        <v>49</v>
      </c>
      <c r="H17" s="61"/>
    </row>
    <row r="18" spans="1:12" x14ac:dyDescent="0.25">
      <c r="A18" s="58"/>
      <c r="B18" s="59"/>
      <c r="C18" s="58"/>
      <c r="D18" s="59"/>
      <c r="E18" s="58"/>
      <c r="F18" s="59"/>
      <c r="G18" s="61"/>
      <c r="H18" s="61"/>
    </row>
    <row r="19" spans="1:12" x14ac:dyDescent="0.25">
      <c r="A19" s="62" t="s">
        <v>46</v>
      </c>
      <c r="B19" s="25" t="s">
        <v>47</v>
      </c>
      <c r="C19" s="51">
        <f>(((F6+F7)*12)+((F13*12)))/100</f>
        <v>885.12</v>
      </c>
      <c r="D19" s="49"/>
      <c r="E19" s="48">
        <f>C19*0.395*1.1</f>
        <v>384.58464000000004</v>
      </c>
      <c r="F19" s="52"/>
      <c r="G19" s="51"/>
      <c r="H19" s="49"/>
    </row>
    <row r="20" spans="1:12" x14ac:dyDescent="0.25">
      <c r="A20" s="63"/>
      <c r="B20" s="25" t="s">
        <v>48</v>
      </c>
      <c r="C20" s="51">
        <f>(((F3+F4)*12)+((F12*12)))/100</f>
        <v>1735.8</v>
      </c>
      <c r="D20" s="49"/>
      <c r="E20" s="48">
        <f>C20*0.617*1.1</f>
        <v>1178.08746</v>
      </c>
      <c r="F20" s="52"/>
      <c r="G20" s="51"/>
      <c r="H20" s="49"/>
    </row>
    <row r="21" spans="1:12" x14ac:dyDescent="0.25">
      <c r="A21" s="64"/>
      <c r="B21" s="25" t="s">
        <v>105</v>
      </c>
      <c r="C21" s="51">
        <f>((F5*12)+((F10+F11)*12))/100</f>
        <v>1545.6</v>
      </c>
      <c r="D21" s="49"/>
      <c r="E21" s="48">
        <f>C21*0.963*1.1</f>
        <v>1637.2540799999999</v>
      </c>
      <c r="F21" s="52"/>
      <c r="G21" s="48">
        <f>E19+E20+E21</f>
        <v>3199.9261799999999</v>
      </c>
      <c r="H21" s="52"/>
      <c r="L21" s="9"/>
    </row>
    <row r="22" spans="1:12" x14ac:dyDescent="0.25">
      <c r="A22" s="53" t="s">
        <v>1</v>
      </c>
      <c r="B22" s="54"/>
      <c r="C22" s="54"/>
      <c r="D22" s="54"/>
      <c r="E22" s="54"/>
      <c r="F22" s="55"/>
      <c r="G22" s="48">
        <f>G21</f>
        <v>3199.9261799999999</v>
      </c>
      <c r="H22" s="49"/>
    </row>
    <row r="23" spans="1:12" x14ac:dyDescent="0.25">
      <c r="A23" s="26"/>
      <c r="B23" s="26"/>
      <c r="C23" s="26"/>
      <c r="D23" s="26"/>
      <c r="E23" s="26"/>
      <c r="F23" s="26"/>
      <c r="G23" s="26"/>
      <c r="H23" s="26"/>
    </row>
    <row r="24" spans="1:12" x14ac:dyDescent="0.25">
      <c r="A24" s="26"/>
      <c r="B24" s="26"/>
      <c r="C24" s="26"/>
      <c r="D24" s="26"/>
      <c r="E24" s="26"/>
      <c r="F24" s="26"/>
      <c r="G24" s="26"/>
      <c r="H24" s="26"/>
    </row>
    <row r="25" spans="1:12" x14ac:dyDescent="0.25">
      <c r="A25" s="26"/>
      <c r="B25" s="26"/>
      <c r="C25" s="60">
        <f>G9+G15</f>
        <v>3199.9261800000004</v>
      </c>
      <c r="D25" s="49"/>
      <c r="E25" s="26"/>
      <c r="F25" s="26"/>
      <c r="G25" s="26"/>
      <c r="H25" s="26"/>
      <c r="L25" s="9"/>
    </row>
    <row r="26" spans="1:12" x14ac:dyDescent="0.25">
      <c r="A26" s="26"/>
      <c r="B26" s="26"/>
      <c r="C26" s="48">
        <f>G22</f>
        <v>3199.9261799999999</v>
      </c>
      <c r="D26" s="49"/>
      <c r="E26" s="26"/>
      <c r="F26" s="26"/>
      <c r="G26" s="26"/>
      <c r="H26" s="26"/>
    </row>
    <row r="27" spans="1:12" x14ac:dyDescent="0.25">
      <c r="A27" s="26"/>
      <c r="B27" s="26"/>
      <c r="C27" s="26"/>
      <c r="D27" s="26"/>
      <c r="E27" s="26"/>
      <c r="F27" s="26"/>
      <c r="G27" s="26"/>
      <c r="H27" s="26"/>
    </row>
    <row r="28" spans="1:12" x14ac:dyDescent="0.25">
      <c r="A28" s="26"/>
      <c r="B28" s="26"/>
      <c r="C28" s="26"/>
      <c r="D28" s="26"/>
      <c r="E28" s="26"/>
      <c r="F28" s="26"/>
      <c r="G28" s="26"/>
      <c r="H28" s="26"/>
    </row>
  </sheetData>
  <mergeCells count="33">
    <mergeCell ref="A22:F22"/>
    <mergeCell ref="G22:H22"/>
    <mergeCell ref="C25:D25"/>
    <mergeCell ref="C26:D26"/>
    <mergeCell ref="A19:A21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A14:F14"/>
    <mergeCell ref="A15:F15"/>
    <mergeCell ref="A16:H16"/>
    <mergeCell ref="A17:B18"/>
    <mergeCell ref="C17:D18"/>
    <mergeCell ref="E17:F18"/>
    <mergeCell ref="G17:H18"/>
    <mergeCell ref="G1:G2"/>
    <mergeCell ref="H1:H2"/>
    <mergeCell ref="A3:A7"/>
    <mergeCell ref="A8:F8"/>
    <mergeCell ref="A9:F9"/>
    <mergeCell ref="E1:E2"/>
    <mergeCell ref="F1:F2"/>
    <mergeCell ref="A10:A13"/>
    <mergeCell ref="A1:A2"/>
    <mergeCell ref="B1:B2"/>
    <mergeCell ref="C1:C2"/>
    <mergeCell ref="D1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3"/>
  <sheetViews>
    <sheetView topLeftCell="A4" zoomScale="90" zoomScaleNormal="90" workbookViewId="0">
      <selection activeCell="F32" sqref="F32"/>
    </sheetView>
  </sheetViews>
  <sheetFormatPr defaultRowHeight="12.75" x14ac:dyDescent="0.25"/>
  <cols>
    <col min="1" max="1" width="9.28515625" style="15" customWidth="1"/>
    <col min="2" max="2" width="10" style="15" customWidth="1"/>
    <col min="3" max="3" width="11.5703125" style="15" customWidth="1"/>
    <col min="4" max="4" width="18.140625" style="15" customWidth="1"/>
    <col min="5" max="5" width="16.5703125" style="15" customWidth="1"/>
    <col min="6" max="6" width="13.7109375" style="15" customWidth="1"/>
    <col min="7" max="7" width="14.28515625" style="15" customWidth="1"/>
    <col min="8" max="8" width="15.140625" style="15" customWidth="1"/>
    <col min="9" max="9" width="13.5703125" style="15" customWidth="1"/>
    <col min="10" max="10" width="12.5703125" style="15" customWidth="1"/>
    <col min="11" max="11" width="31.7109375" style="15" customWidth="1"/>
    <col min="12" max="16384" width="9.140625" style="15"/>
  </cols>
  <sheetData>
    <row r="1" spans="1:10" ht="20.25" customHeight="1" x14ac:dyDescent="0.25">
      <c r="A1" s="69" t="s">
        <v>19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51" x14ac:dyDescent="0.25">
      <c r="A2" s="27" t="s">
        <v>4</v>
      </c>
      <c r="B2" s="27" t="s">
        <v>6</v>
      </c>
      <c r="C2" s="27" t="s">
        <v>8</v>
      </c>
      <c r="D2" s="27" t="s">
        <v>5</v>
      </c>
      <c r="E2" s="27" t="s">
        <v>11</v>
      </c>
      <c r="F2" s="27" t="s">
        <v>16</v>
      </c>
      <c r="G2" s="27" t="s">
        <v>15</v>
      </c>
      <c r="H2" s="27" t="s">
        <v>18</v>
      </c>
      <c r="I2" s="28" t="s">
        <v>60</v>
      </c>
      <c r="J2" s="28" t="s">
        <v>61</v>
      </c>
    </row>
    <row r="3" spans="1:10" x14ac:dyDescent="0.25">
      <c r="A3" s="6" t="s">
        <v>24</v>
      </c>
      <c r="B3" s="11">
        <v>0.8</v>
      </c>
      <c r="C3" s="11">
        <v>4.75</v>
      </c>
      <c r="D3" s="29">
        <f>B3*C3</f>
        <v>3.8000000000000003</v>
      </c>
      <c r="E3" s="11">
        <v>0.7</v>
      </c>
      <c r="F3" s="30">
        <f>(E3*D3)</f>
        <v>2.66</v>
      </c>
      <c r="G3" s="30">
        <f>((B3+C3)*2)*E3</f>
        <v>7.77</v>
      </c>
      <c r="H3" s="30">
        <f>((B3)*(C3))*0.05</f>
        <v>0.19000000000000003</v>
      </c>
      <c r="I3" s="6">
        <f>(C3+0.5)*(B3+0.5)*(E3+0.1)</f>
        <v>5.46</v>
      </c>
      <c r="J3" s="30">
        <f>I3-H3-F3</f>
        <v>2.6099999999999994</v>
      </c>
    </row>
    <row r="4" spans="1:10" x14ac:dyDescent="0.25">
      <c r="A4" s="6" t="s">
        <v>25</v>
      </c>
      <c r="B4" s="11">
        <v>0.8</v>
      </c>
      <c r="C4" s="11">
        <v>4.75</v>
      </c>
      <c r="D4" s="29">
        <f t="shared" ref="D4:D26" si="0">B4*C4</f>
        <v>3.8000000000000003</v>
      </c>
      <c r="E4" s="11">
        <v>0.7</v>
      </c>
      <c r="F4" s="30">
        <f t="shared" ref="F4:F26" si="1">(E4*D4)</f>
        <v>2.66</v>
      </c>
      <c r="G4" s="30">
        <f t="shared" ref="G4:G26" si="2">((B4+C4)*2)*E4</f>
        <v>7.77</v>
      </c>
      <c r="H4" s="30">
        <f t="shared" ref="H4:H26" si="3">((B4)*(C4))*0.05</f>
        <v>0.19000000000000003</v>
      </c>
      <c r="I4" s="6">
        <f t="shared" ref="I4:I26" si="4">(C4+0.5)*(B4+0.5)*(E4+0.1)</f>
        <v>5.46</v>
      </c>
      <c r="J4" s="30">
        <f t="shared" ref="J4:J26" si="5">I4-H4-F4</f>
        <v>2.6099999999999994</v>
      </c>
    </row>
    <row r="5" spans="1:10" x14ac:dyDescent="0.25">
      <c r="A5" s="6" t="s">
        <v>26</v>
      </c>
      <c r="B5" s="11">
        <v>0.8</v>
      </c>
      <c r="C5" s="11">
        <v>4.75</v>
      </c>
      <c r="D5" s="8">
        <f t="shared" si="0"/>
        <v>3.8000000000000003</v>
      </c>
      <c r="E5" s="11">
        <v>0.7</v>
      </c>
      <c r="F5" s="17">
        <f t="shared" si="1"/>
        <v>2.66</v>
      </c>
      <c r="G5" s="17">
        <f t="shared" si="2"/>
        <v>7.77</v>
      </c>
      <c r="H5" s="30">
        <f t="shared" si="3"/>
        <v>0.19000000000000003</v>
      </c>
      <c r="I5" s="16">
        <f t="shared" si="4"/>
        <v>5.46</v>
      </c>
      <c r="J5" s="17">
        <f t="shared" si="5"/>
        <v>2.6099999999999994</v>
      </c>
    </row>
    <row r="6" spans="1:10" x14ac:dyDescent="0.25">
      <c r="A6" s="6" t="s">
        <v>27</v>
      </c>
      <c r="B6" s="11">
        <v>0.8</v>
      </c>
      <c r="C6" s="11">
        <v>4.75</v>
      </c>
      <c r="D6" s="8">
        <f t="shared" si="0"/>
        <v>3.8000000000000003</v>
      </c>
      <c r="E6" s="11">
        <v>0.7</v>
      </c>
      <c r="F6" s="17">
        <f t="shared" si="1"/>
        <v>2.66</v>
      </c>
      <c r="G6" s="17">
        <f t="shared" si="2"/>
        <v>7.77</v>
      </c>
      <c r="H6" s="30">
        <f t="shared" si="3"/>
        <v>0.19000000000000003</v>
      </c>
      <c r="I6" s="16">
        <f t="shared" si="4"/>
        <v>5.46</v>
      </c>
      <c r="J6" s="17">
        <f t="shared" si="5"/>
        <v>2.6099999999999994</v>
      </c>
    </row>
    <row r="7" spans="1:10" x14ac:dyDescent="0.25">
      <c r="A7" s="6" t="s">
        <v>28</v>
      </c>
      <c r="B7" s="11">
        <v>0.8</v>
      </c>
      <c r="C7" s="11">
        <v>4.75</v>
      </c>
      <c r="D7" s="8">
        <f t="shared" si="0"/>
        <v>3.8000000000000003</v>
      </c>
      <c r="E7" s="11">
        <v>0.7</v>
      </c>
      <c r="F7" s="17">
        <f t="shared" si="1"/>
        <v>2.66</v>
      </c>
      <c r="G7" s="17">
        <f t="shared" si="2"/>
        <v>7.77</v>
      </c>
      <c r="H7" s="30">
        <f t="shared" si="3"/>
        <v>0.19000000000000003</v>
      </c>
      <c r="I7" s="16">
        <f t="shared" si="4"/>
        <v>5.46</v>
      </c>
      <c r="J7" s="17">
        <f t="shared" si="5"/>
        <v>2.6099999999999994</v>
      </c>
    </row>
    <row r="8" spans="1:10" x14ac:dyDescent="0.25">
      <c r="A8" s="6" t="s">
        <v>29</v>
      </c>
      <c r="B8" s="11">
        <v>0.8</v>
      </c>
      <c r="C8" s="11">
        <v>4.75</v>
      </c>
      <c r="D8" s="8">
        <f t="shared" si="0"/>
        <v>3.8000000000000003</v>
      </c>
      <c r="E8" s="11">
        <v>0.7</v>
      </c>
      <c r="F8" s="17">
        <f t="shared" si="1"/>
        <v>2.66</v>
      </c>
      <c r="G8" s="17">
        <f t="shared" si="2"/>
        <v>7.77</v>
      </c>
      <c r="H8" s="30">
        <f t="shared" si="3"/>
        <v>0.19000000000000003</v>
      </c>
      <c r="I8" s="16">
        <f t="shared" si="4"/>
        <v>5.46</v>
      </c>
      <c r="J8" s="17">
        <f t="shared" si="5"/>
        <v>2.6099999999999994</v>
      </c>
    </row>
    <row r="9" spans="1:10" x14ac:dyDescent="0.25">
      <c r="A9" s="6" t="s">
        <v>30</v>
      </c>
      <c r="B9" s="11">
        <v>0.8</v>
      </c>
      <c r="C9" s="11">
        <v>4.75</v>
      </c>
      <c r="D9" s="8">
        <f t="shared" si="0"/>
        <v>3.8000000000000003</v>
      </c>
      <c r="E9" s="11">
        <v>0.7</v>
      </c>
      <c r="F9" s="17">
        <f t="shared" si="1"/>
        <v>2.66</v>
      </c>
      <c r="G9" s="17">
        <f t="shared" si="2"/>
        <v>7.77</v>
      </c>
      <c r="H9" s="30">
        <f t="shared" si="3"/>
        <v>0.19000000000000003</v>
      </c>
      <c r="I9" s="16">
        <f t="shared" si="4"/>
        <v>5.46</v>
      </c>
      <c r="J9" s="17">
        <f t="shared" si="5"/>
        <v>2.6099999999999994</v>
      </c>
    </row>
    <row r="10" spans="1:10" x14ac:dyDescent="0.25">
      <c r="A10" s="6" t="s">
        <v>31</v>
      </c>
      <c r="B10" s="11">
        <v>0.8</v>
      </c>
      <c r="C10" s="11">
        <v>4.75</v>
      </c>
      <c r="D10" s="8">
        <f t="shared" si="0"/>
        <v>3.8000000000000003</v>
      </c>
      <c r="E10" s="11">
        <v>0.7</v>
      </c>
      <c r="F10" s="17">
        <f t="shared" si="1"/>
        <v>2.66</v>
      </c>
      <c r="G10" s="17">
        <f t="shared" si="2"/>
        <v>7.77</v>
      </c>
      <c r="H10" s="30">
        <f t="shared" si="3"/>
        <v>0.19000000000000003</v>
      </c>
      <c r="I10" s="16">
        <f t="shared" si="4"/>
        <v>5.46</v>
      </c>
      <c r="J10" s="17">
        <f t="shared" si="5"/>
        <v>2.6099999999999994</v>
      </c>
    </row>
    <row r="11" spans="1:10" x14ac:dyDescent="0.25">
      <c r="A11" s="6" t="s">
        <v>32</v>
      </c>
      <c r="B11" s="11">
        <v>0.8</v>
      </c>
      <c r="C11" s="11">
        <v>4.75</v>
      </c>
      <c r="D11" s="8">
        <f t="shared" si="0"/>
        <v>3.8000000000000003</v>
      </c>
      <c r="E11" s="11">
        <v>0.7</v>
      </c>
      <c r="F11" s="17">
        <f t="shared" si="1"/>
        <v>2.66</v>
      </c>
      <c r="G11" s="17">
        <f t="shared" si="2"/>
        <v>7.77</v>
      </c>
      <c r="H11" s="30">
        <f t="shared" si="3"/>
        <v>0.19000000000000003</v>
      </c>
      <c r="I11" s="16">
        <f t="shared" si="4"/>
        <v>5.46</v>
      </c>
      <c r="J11" s="17">
        <f t="shared" si="5"/>
        <v>2.6099999999999994</v>
      </c>
    </row>
    <row r="12" spans="1:10" x14ac:dyDescent="0.25">
      <c r="A12" s="6" t="s">
        <v>33</v>
      </c>
      <c r="B12" s="11">
        <v>0.8</v>
      </c>
      <c r="C12" s="11">
        <v>4.75</v>
      </c>
      <c r="D12" s="8">
        <f t="shared" si="0"/>
        <v>3.8000000000000003</v>
      </c>
      <c r="E12" s="11">
        <v>0.7</v>
      </c>
      <c r="F12" s="17">
        <f t="shared" si="1"/>
        <v>2.66</v>
      </c>
      <c r="G12" s="17">
        <f t="shared" si="2"/>
        <v>7.77</v>
      </c>
      <c r="H12" s="30">
        <f t="shared" si="3"/>
        <v>0.19000000000000003</v>
      </c>
      <c r="I12" s="16">
        <f t="shared" si="4"/>
        <v>5.46</v>
      </c>
      <c r="J12" s="17">
        <f t="shared" si="5"/>
        <v>2.6099999999999994</v>
      </c>
    </row>
    <row r="13" spans="1:10" x14ac:dyDescent="0.25">
      <c r="A13" s="6" t="s">
        <v>50</v>
      </c>
      <c r="B13" s="11">
        <v>0.8</v>
      </c>
      <c r="C13" s="11">
        <v>4.75</v>
      </c>
      <c r="D13" s="8">
        <f t="shared" si="0"/>
        <v>3.8000000000000003</v>
      </c>
      <c r="E13" s="11">
        <v>0.7</v>
      </c>
      <c r="F13" s="17">
        <f t="shared" si="1"/>
        <v>2.66</v>
      </c>
      <c r="G13" s="17">
        <f t="shared" si="2"/>
        <v>7.77</v>
      </c>
      <c r="H13" s="30">
        <f t="shared" si="3"/>
        <v>0.19000000000000003</v>
      </c>
      <c r="I13" s="16">
        <f t="shared" si="4"/>
        <v>5.46</v>
      </c>
      <c r="J13" s="17">
        <f t="shared" si="5"/>
        <v>2.6099999999999994</v>
      </c>
    </row>
    <row r="14" spans="1:10" x14ac:dyDescent="0.25">
      <c r="A14" s="6" t="s">
        <v>51</v>
      </c>
      <c r="B14" s="11">
        <v>0.8</v>
      </c>
      <c r="C14" s="11">
        <v>4.75</v>
      </c>
      <c r="D14" s="8">
        <f t="shared" si="0"/>
        <v>3.8000000000000003</v>
      </c>
      <c r="E14" s="11">
        <v>0.7</v>
      </c>
      <c r="F14" s="17">
        <f t="shared" si="1"/>
        <v>2.66</v>
      </c>
      <c r="G14" s="17">
        <f t="shared" si="2"/>
        <v>7.77</v>
      </c>
      <c r="H14" s="30">
        <f t="shared" si="3"/>
        <v>0.19000000000000003</v>
      </c>
      <c r="I14" s="16">
        <f t="shared" si="4"/>
        <v>5.46</v>
      </c>
      <c r="J14" s="17">
        <f t="shared" si="5"/>
        <v>2.6099999999999994</v>
      </c>
    </row>
    <row r="15" spans="1:10" x14ac:dyDescent="0.25">
      <c r="A15" s="6" t="s">
        <v>52</v>
      </c>
      <c r="B15" s="11">
        <v>0.8</v>
      </c>
      <c r="C15" s="11">
        <v>0.8</v>
      </c>
      <c r="D15" s="8">
        <f t="shared" si="0"/>
        <v>0.64000000000000012</v>
      </c>
      <c r="E15" s="11">
        <v>0.8</v>
      </c>
      <c r="F15" s="17">
        <f t="shared" si="1"/>
        <v>0.51200000000000012</v>
      </c>
      <c r="G15" s="17">
        <f t="shared" si="2"/>
        <v>2.5600000000000005</v>
      </c>
      <c r="H15" s="30">
        <f t="shared" si="3"/>
        <v>3.2000000000000008E-2</v>
      </c>
      <c r="I15" s="16">
        <f t="shared" si="4"/>
        <v>1.5210000000000001</v>
      </c>
      <c r="J15" s="17">
        <f t="shared" si="5"/>
        <v>0.97699999999999998</v>
      </c>
    </row>
    <row r="16" spans="1:10" x14ac:dyDescent="0.25">
      <c r="A16" s="6" t="s">
        <v>53</v>
      </c>
      <c r="B16" s="11">
        <v>0.8</v>
      </c>
      <c r="C16" s="11">
        <v>0.8</v>
      </c>
      <c r="D16" s="8">
        <f t="shared" si="0"/>
        <v>0.64000000000000012</v>
      </c>
      <c r="E16" s="11">
        <v>0.8</v>
      </c>
      <c r="F16" s="17">
        <f t="shared" si="1"/>
        <v>0.51200000000000012</v>
      </c>
      <c r="G16" s="17">
        <f t="shared" si="2"/>
        <v>2.5600000000000005</v>
      </c>
      <c r="H16" s="30">
        <f t="shared" si="3"/>
        <v>3.2000000000000008E-2</v>
      </c>
      <c r="I16" s="16">
        <f t="shared" si="4"/>
        <v>1.5210000000000001</v>
      </c>
      <c r="J16" s="17">
        <f t="shared" si="5"/>
        <v>0.97699999999999998</v>
      </c>
    </row>
    <row r="17" spans="1:11" x14ac:dyDescent="0.25">
      <c r="A17" s="6" t="s">
        <v>54</v>
      </c>
      <c r="B17" s="11">
        <v>0.8</v>
      </c>
      <c r="C17" s="11">
        <v>0.8</v>
      </c>
      <c r="D17" s="8">
        <f t="shared" si="0"/>
        <v>0.64000000000000012</v>
      </c>
      <c r="E17" s="11">
        <v>0.8</v>
      </c>
      <c r="F17" s="17">
        <f t="shared" si="1"/>
        <v>0.51200000000000012</v>
      </c>
      <c r="G17" s="17">
        <f t="shared" si="2"/>
        <v>2.5600000000000005</v>
      </c>
      <c r="H17" s="30">
        <f t="shared" si="3"/>
        <v>3.2000000000000008E-2</v>
      </c>
      <c r="I17" s="16">
        <f t="shared" si="4"/>
        <v>1.5210000000000001</v>
      </c>
      <c r="J17" s="17">
        <f t="shared" si="5"/>
        <v>0.97699999999999998</v>
      </c>
    </row>
    <row r="18" spans="1:11" x14ac:dyDescent="0.25">
      <c r="A18" s="6" t="s">
        <v>55</v>
      </c>
      <c r="B18" s="11">
        <v>0.8</v>
      </c>
      <c r="C18" s="11">
        <v>0.8</v>
      </c>
      <c r="D18" s="8">
        <f t="shared" si="0"/>
        <v>0.64000000000000012</v>
      </c>
      <c r="E18" s="11">
        <v>0.8</v>
      </c>
      <c r="F18" s="17">
        <f t="shared" si="1"/>
        <v>0.51200000000000012</v>
      </c>
      <c r="G18" s="17">
        <f t="shared" si="2"/>
        <v>2.5600000000000005</v>
      </c>
      <c r="H18" s="30">
        <f t="shared" si="3"/>
        <v>3.2000000000000008E-2</v>
      </c>
      <c r="I18" s="16">
        <f t="shared" si="4"/>
        <v>1.5210000000000001</v>
      </c>
      <c r="J18" s="17">
        <f t="shared" si="5"/>
        <v>0.97699999999999998</v>
      </c>
    </row>
    <row r="19" spans="1:11" x14ac:dyDescent="0.25">
      <c r="A19" s="6" t="s">
        <v>92</v>
      </c>
      <c r="B19" s="11">
        <v>0.8</v>
      </c>
      <c r="C19" s="11">
        <v>0.8</v>
      </c>
      <c r="D19" s="8">
        <f t="shared" si="0"/>
        <v>0.64000000000000012</v>
      </c>
      <c r="E19" s="11">
        <v>0.8</v>
      </c>
      <c r="F19" s="17">
        <f t="shared" si="1"/>
        <v>0.51200000000000012</v>
      </c>
      <c r="G19" s="17">
        <f t="shared" si="2"/>
        <v>2.5600000000000005</v>
      </c>
      <c r="H19" s="30">
        <f t="shared" si="3"/>
        <v>3.2000000000000008E-2</v>
      </c>
      <c r="I19" s="16">
        <f t="shared" si="4"/>
        <v>1.5210000000000001</v>
      </c>
      <c r="J19" s="17">
        <f t="shared" si="5"/>
        <v>0.97699999999999998</v>
      </c>
    </row>
    <row r="20" spans="1:11" x14ac:dyDescent="0.25">
      <c r="A20" s="6" t="s">
        <v>93</v>
      </c>
      <c r="B20" s="11">
        <v>0.8</v>
      </c>
      <c r="C20" s="11">
        <v>0.8</v>
      </c>
      <c r="D20" s="8">
        <f t="shared" si="0"/>
        <v>0.64000000000000012</v>
      </c>
      <c r="E20" s="11">
        <v>0.8</v>
      </c>
      <c r="F20" s="17">
        <f t="shared" si="1"/>
        <v>0.51200000000000012</v>
      </c>
      <c r="G20" s="17">
        <f t="shared" si="2"/>
        <v>2.5600000000000005</v>
      </c>
      <c r="H20" s="30">
        <f t="shared" si="3"/>
        <v>3.2000000000000008E-2</v>
      </c>
      <c r="I20" s="16">
        <f t="shared" si="4"/>
        <v>1.5210000000000001</v>
      </c>
      <c r="J20" s="17">
        <f t="shared" si="5"/>
        <v>0.97699999999999998</v>
      </c>
    </row>
    <row r="21" spans="1:11" x14ac:dyDescent="0.25">
      <c r="A21" s="6" t="s">
        <v>94</v>
      </c>
      <c r="B21" s="11">
        <v>0.8</v>
      </c>
      <c r="C21" s="11">
        <v>0.8</v>
      </c>
      <c r="D21" s="8">
        <f t="shared" si="0"/>
        <v>0.64000000000000012</v>
      </c>
      <c r="E21" s="11">
        <v>0.8</v>
      </c>
      <c r="F21" s="17">
        <f t="shared" si="1"/>
        <v>0.51200000000000012</v>
      </c>
      <c r="G21" s="17">
        <f t="shared" si="2"/>
        <v>2.5600000000000005</v>
      </c>
      <c r="H21" s="30">
        <f t="shared" si="3"/>
        <v>3.2000000000000008E-2</v>
      </c>
      <c r="I21" s="16">
        <f t="shared" si="4"/>
        <v>1.5210000000000001</v>
      </c>
      <c r="J21" s="17">
        <f t="shared" si="5"/>
        <v>0.97699999999999998</v>
      </c>
    </row>
    <row r="22" spans="1:11" x14ac:dyDescent="0.25">
      <c r="A22" s="6" t="s">
        <v>95</v>
      </c>
      <c r="B22" s="11">
        <v>0.8</v>
      </c>
      <c r="C22" s="11">
        <v>0.8</v>
      </c>
      <c r="D22" s="8">
        <f t="shared" si="0"/>
        <v>0.64000000000000012</v>
      </c>
      <c r="E22" s="11">
        <v>0.8</v>
      </c>
      <c r="F22" s="17">
        <f t="shared" si="1"/>
        <v>0.51200000000000012</v>
      </c>
      <c r="G22" s="17">
        <f t="shared" si="2"/>
        <v>2.5600000000000005</v>
      </c>
      <c r="H22" s="30">
        <f t="shared" si="3"/>
        <v>3.2000000000000008E-2</v>
      </c>
      <c r="I22" s="16">
        <f t="shared" si="4"/>
        <v>1.5210000000000001</v>
      </c>
      <c r="J22" s="17">
        <f t="shared" si="5"/>
        <v>0.97699999999999998</v>
      </c>
    </row>
    <row r="23" spans="1:11" x14ac:dyDescent="0.25">
      <c r="A23" s="6" t="s">
        <v>96</v>
      </c>
      <c r="B23" s="11">
        <v>0.8</v>
      </c>
      <c r="C23" s="11">
        <v>0.8</v>
      </c>
      <c r="D23" s="8">
        <f t="shared" si="0"/>
        <v>0.64000000000000012</v>
      </c>
      <c r="E23" s="11">
        <v>0.8</v>
      </c>
      <c r="F23" s="17">
        <f t="shared" si="1"/>
        <v>0.51200000000000012</v>
      </c>
      <c r="G23" s="17">
        <f t="shared" si="2"/>
        <v>2.5600000000000005</v>
      </c>
      <c r="H23" s="30">
        <f t="shared" si="3"/>
        <v>3.2000000000000008E-2</v>
      </c>
      <c r="I23" s="16">
        <f t="shared" si="4"/>
        <v>1.5210000000000001</v>
      </c>
      <c r="J23" s="17">
        <f t="shared" si="5"/>
        <v>0.97699999999999998</v>
      </c>
    </row>
    <row r="24" spans="1:11" x14ac:dyDescent="0.25">
      <c r="A24" s="6" t="s">
        <v>97</v>
      </c>
      <c r="B24" s="11">
        <v>0.8</v>
      </c>
      <c r="C24" s="11">
        <v>0.8</v>
      </c>
      <c r="D24" s="8">
        <f t="shared" si="0"/>
        <v>0.64000000000000012</v>
      </c>
      <c r="E24" s="11">
        <v>0.8</v>
      </c>
      <c r="F24" s="17">
        <f t="shared" si="1"/>
        <v>0.51200000000000012</v>
      </c>
      <c r="G24" s="17">
        <f t="shared" si="2"/>
        <v>2.5600000000000005</v>
      </c>
      <c r="H24" s="30">
        <f>((B24)*(C24))*0.05</f>
        <v>3.2000000000000008E-2</v>
      </c>
      <c r="I24" s="16">
        <f t="shared" si="4"/>
        <v>1.5210000000000001</v>
      </c>
      <c r="J24" s="17">
        <f t="shared" si="5"/>
        <v>0.97699999999999998</v>
      </c>
    </row>
    <row r="25" spans="1:11" x14ac:dyDescent="0.25">
      <c r="A25" s="6" t="s">
        <v>98</v>
      </c>
      <c r="B25" s="11">
        <v>0.8</v>
      </c>
      <c r="C25" s="11">
        <v>0.8</v>
      </c>
      <c r="D25" s="8">
        <f t="shared" si="0"/>
        <v>0.64000000000000012</v>
      </c>
      <c r="E25" s="11">
        <v>0.8</v>
      </c>
      <c r="F25" s="17">
        <f t="shared" si="1"/>
        <v>0.51200000000000012</v>
      </c>
      <c r="G25" s="17">
        <f t="shared" si="2"/>
        <v>2.5600000000000005</v>
      </c>
      <c r="H25" s="30">
        <f t="shared" si="3"/>
        <v>3.2000000000000008E-2</v>
      </c>
      <c r="I25" s="16">
        <f t="shared" si="4"/>
        <v>1.5210000000000001</v>
      </c>
      <c r="J25" s="17">
        <f t="shared" si="5"/>
        <v>0.97699999999999998</v>
      </c>
    </row>
    <row r="26" spans="1:11" x14ac:dyDescent="0.25">
      <c r="A26" s="6" t="s">
        <v>99</v>
      </c>
      <c r="B26" s="11">
        <v>0.8</v>
      </c>
      <c r="C26" s="11">
        <v>0.8</v>
      </c>
      <c r="D26" s="8">
        <f t="shared" si="0"/>
        <v>0.64000000000000012</v>
      </c>
      <c r="E26" s="11">
        <v>0.8</v>
      </c>
      <c r="F26" s="17">
        <f t="shared" si="1"/>
        <v>0.51200000000000012</v>
      </c>
      <c r="G26" s="17">
        <f t="shared" si="2"/>
        <v>2.5600000000000005</v>
      </c>
      <c r="H26" s="30">
        <f t="shared" si="3"/>
        <v>3.2000000000000008E-2</v>
      </c>
      <c r="I26" s="16">
        <f t="shared" si="4"/>
        <v>1.5210000000000001</v>
      </c>
      <c r="J26" s="17">
        <f t="shared" si="5"/>
        <v>0.97699999999999998</v>
      </c>
    </row>
    <row r="27" spans="1:11" x14ac:dyDescent="0.25">
      <c r="A27" s="16"/>
      <c r="B27" s="7"/>
      <c r="C27" s="7"/>
      <c r="D27" s="8"/>
      <c r="E27" s="3" t="s">
        <v>14</v>
      </c>
      <c r="F27" s="4">
        <v>38.04</v>
      </c>
      <c r="G27" s="4">
        <f>SUM(G3:G26)</f>
        <v>123.96</v>
      </c>
      <c r="H27" s="4">
        <f>SUM(H3:H26)</f>
        <v>2.6640000000000001</v>
      </c>
      <c r="I27" s="13">
        <f>SUM(I3:I26)</f>
        <v>83.772000000000006</v>
      </c>
      <c r="J27" s="4">
        <f>I27-H27-F27</f>
        <v>43.068000000000005</v>
      </c>
      <c r="K27" s="14"/>
    </row>
    <row r="29" spans="1:11" x14ac:dyDescent="0.25">
      <c r="F29" s="15">
        <f>(12*2.66)+(0.51*12)</f>
        <v>38.04</v>
      </c>
      <c r="J29" s="5">
        <f>SUM(J3:J26)</f>
        <v>43.043999999999954</v>
      </c>
    </row>
    <row r="31" spans="1:11" x14ac:dyDescent="0.25">
      <c r="F31" s="5"/>
    </row>
    <row r="32" spans="1:11" x14ac:dyDescent="0.25">
      <c r="F32" s="5"/>
    </row>
    <row r="68" spans="3:3" x14ac:dyDescent="0.25">
      <c r="C68" s="5"/>
    </row>
    <row r="73" spans="3:3" x14ac:dyDescent="0.25">
      <c r="C73" s="5"/>
    </row>
  </sheetData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zoomScale="90" zoomScaleNormal="90" workbookViewId="0">
      <selection activeCell="F23" sqref="F23"/>
    </sheetView>
  </sheetViews>
  <sheetFormatPr defaultRowHeight="15" x14ac:dyDescent="0.25"/>
  <cols>
    <col min="1" max="1" width="20.85546875" customWidth="1"/>
    <col min="2" max="2" width="8.85546875" customWidth="1"/>
    <col min="3" max="3" width="7.42578125" customWidth="1"/>
    <col min="4" max="4" width="11.85546875" customWidth="1"/>
    <col min="5" max="5" width="12.140625" customWidth="1"/>
    <col min="6" max="6" width="10" customWidth="1"/>
    <col min="7" max="7" width="8" customWidth="1"/>
    <col min="8" max="8" width="7.42578125" customWidth="1"/>
  </cols>
  <sheetData>
    <row r="1" spans="1:14" ht="15" customHeight="1" x14ac:dyDescent="0.25">
      <c r="A1" s="61" t="s">
        <v>34</v>
      </c>
      <c r="B1" s="61" t="s">
        <v>35</v>
      </c>
      <c r="C1" s="61" t="s">
        <v>36</v>
      </c>
      <c r="D1" s="61" t="s">
        <v>0</v>
      </c>
      <c r="E1" s="56" t="s">
        <v>38</v>
      </c>
      <c r="F1" s="61" t="s">
        <v>39</v>
      </c>
      <c r="G1" s="61" t="s">
        <v>40</v>
      </c>
      <c r="H1" s="61" t="s">
        <v>41</v>
      </c>
      <c r="I1" s="26"/>
    </row>
    <row r="2" spans="1:14" x14ac:dyDescent="0.25">
      <c r="A2" s="61"/>
      <c r="B2" s="61"/>
      <c r="C2" s="61"/>
      <c r="D2" s="61"/>
      <c r="E2" s="58"/>
      <c r="F2" s="61"/>
      <c r="G2" s="61"/>
      <c r="H2" s="61"/>
      <c r="I2" s="26"/>
    </row>
    <row r="3" spans="1:14" ht="18" customHeight="1" x14ac:dyDescent="0.25">
      <c r="A3" s="25" t="s">
        <v>68</v>
      </c>
      <c r="B3" s="25" t="s">
        <v>64</v>
      </c>
      <c r="C3" s="18">
        <v>12.5</v>
      </c>
      <c r="D3" s="18">
        <v>4</v>
      </c>
      <c r="E3" s="18">
        <f>(3.4-0.03+0.3)*100</f>
        <v>367</v>
      </c>
      <c r="F3" s="21">
        <f t="shared" ref="F3:F9" si="0">(D3*E3)</f>
        <v>1468</v>
      </c>
      <c r="G3" s="21">
        <f>0.963*(F3/100)</f>
        <v>14.136839999999999</v>
      </c>
      <c r="H3" s="21"/>
      <c r="I3" s="26"/>
      <c r="M3">
        <v>5</v>
      </c>
      <c r="N3">
        <v>0.154</v>
      </c>
    </row>
    <row r="4" spans="1:14" x14ac:dyDescent="0.25">
      <c r="A4" s="25" t="s">
        <v>69</v>
      </c>
      <c r="B4" s="25" t="s">
        <v>65</v>
      </c>
      <c r="C4" s="18">
        <v>12.5</v>
      </c>
      <c r="D4" s="18">
        <v>4</v>
      </c>
      <c r="E4" s="18">
        <f>(2.95-0.03+0.3)*100</f>
        <v>322</v>
      </c>
      <c r="F4" s="21">
        <f t="shared" si="0"/>
        <v>1288</v>
      </c>
      <c r="G4" s="21">
        <f t="shared" ref="G4:G8" si="1">0.963*(F4/100)</f>
        <v>12.40344</v>
      </c>
      <c r="H4" s="21"/>
      <c r="I4" s="26"/>
      <c r="M4">
        <v>6.3</v>
      </c>
      <c r="N4">
        <v>0.245</v>
      </c>
    </row>
    <row r="5" spans="1:14" x14ac:dyDescent="0.25">
      <c r="A5" s="25" t="s">
        <v>70</v>
      </c>
      <c r="B5" s="25" t="s">
        <v>66</v>
      </c>
      <c r="C5" s="18">
        <v>12.5</v>
      </c>
      <c r="D5" s="18">
        <v>4</v>
      </c>
      <c r="E5" s="18">
        <f>(2.5-0.03+0.3)*100</f>
        <v>277</v>
      </c>
      <c r="F5" s="21">
        <f t="shared" si="0"/>
        <v>1108</v>
      </c>
      <c r="G5" s="21">
        <f t="shared" si="1"/>
        <v>10.67004</v>
      </c>
      <c r="H5" s="21"/>
      <c r="I5" s="26"/>
      <c r="M5">
        <v>8</v>
      </c>
      <c r="N5">
        <v>0.39500000000000002</v>
      </c>
    </row>
    <row r="6" spans="1:14" ht="15" customHeight="1" x14ac:dyDescent="0.25">
      <c r="A6" s="25" t="s">
        <v>71</v>
      </c>
      <c r="B6" s="25" t="s">
        <v>67</v>
      </c>
      <c r="C6" s="18">
        <v>12.5</v>
      </c>
      <c r="D6" s="18">
        <v>4</v>
      </c>
      <c r="E6" s="18">
        <f>(2.05-0.03+0.3)*100</f>
        <v>231.99999999999997</v>
      </c>
      <c r="F6" s="21">
        <f t="shared" si="0"/>
        <v>927.99999999999989</v>
      </c>
      <c r="G6" s="21">
        <f t="shared" si="1"/>
        <v>8.9366399999999988</v>
      </c>
      <c r="H6" s="21"/>
      <c r="I6" s="26"/>
      <c r="M6">
        <v>10</v>
      </c>
      <c r="N6">
        <v>0.61699999999999999</v>
      </c>
    </row>
    <row r="7" spans="1:14" ht="15" customHeight="1" x14ac:dyDescent="0.25">
      <c r="A7" s="25" t="s">
        <v>113</v>
      </c>
      <c r="B7" s="25" t="s">
        <v>115</v>
      </c>
      <c r="C7" s="18">
        <v>12.5</v>
      </c>
      <c r="D7" s="18">
        <v>4</v>
      </c>
      <c r="E7" s="18">
        <f>(1.6-0.03+0.3)*100</f>
        <v>187</v>
      </c>
      <c r="F7" s="21">
        <f t="shared" si="0"/>
        <v>748</v>
      </c>
      <c r="G7" s="21">
        <f t="shared" si="1"/>
        <v>7.2032400000000001</v>
      </c>
      <c r="H7" s="21"/>
      <c r="I7" s="26"/>
    </row>
    <row r="8" spans="1:14" ht="15" customHeight="1" x14ac:dyDescent="0.25">
      <c r="A8" s="25" t="s">
        <v>114</v>
      </c>
      <c r="B8" s="25" t="s">
        <v>116</v>
      </c>
      <c r="C8" s="18">
        <v>12.5</v>
      </c>
      <c r="D8" s="18">
        <v>4</v>
      </c>
      <c r="E8" s="18">
        <f>(1.15-0.03+0.3)*100</f>
        <v>142</v>
      </c>
      <c r="F8" s="21">
        <f t="shared" si="0"/>
        <v>568</v>
      </c>
      <c r="G8" s="21">
        <f t="shared" si="1"/>
        <v>5.4698399999999996</v>
      </c>
      <c r="H8" s="21"/>
      <c r="I8" s="26"/>
    </row>
    <row r="9" spans="1:14" ht="19.5" customHeight="1" x14ac:dyDescent="0.25">
      <c r="A9" s="25" t="s">
        <v>72</v>
      </c>
      <c r="B9" s="25" t="s">
        <v>117</v>
      </c>
      <c r="C9" s="18">
        <v>6.3</v>
      </c>
      <c r="D9" s="18">
        <v>138</v>
      </c>
      <c r="E9" s="18">
        <v>74</v>
      </c>
      <c r="F9" s="21">
        <f t="shared" si="0"/>
        <v>10212</v>
      </c>
      <c r="G9" s="21">
        <f>0.245*F9/100</f>
        <v>25.019400000000001</v>
      </c>
      <c r="H9" s="21"/>
      <c r="I9" s="26"/>
    </row>
    <row r="10" spans="1:14" x14ac:dyDescent="0.25">
      <c r="A10" s="65" t="s">
        <v>42</v>
      </c>
      <c r="B10" s="65"/>
      <c r="C10" s="65"/>
      <c r="D10" s="65"/>
      <c r="E10" s="65"/>
      <c r="F10" s="65"/>
      <c r="G10" s="21">
        <f>SUM(G3:G9)*1.1</f>
        <v>92.22338400000001</v>
      </c>
      <c r="H10" s="21">
        <v>0</v>
      </c>
      <c r="I10" s="26"/>
    </row>
    <row r="11" spans="1:14" x14ac:dyDescent="0.25">
      <c r="A11" s="53" t="s">
        <v>103</v>
      </c>
      <c r="B11" s="54"/>
      <c r="C11" s="54"/>
      <c r="D11" s="54"/>
      <c r="E11" s="54"/>
      <c r="F11" s="55"/>
      <c r="G11" s="21">
        <f>G10*12</f>
        <v>1106.6806080000001</v>
      </c>
      <c r="H11" s="21"/>
      <c r="I11" s="26"/>
    </row>
    <row r="12" spans="1:14" x14ac:dyDescent="0.25">
      <c r="A12" s="50"/>
      <c r="B12" s="50"/>
      <c r="C12" s="50"/>
      <c r="D12" s="50"/>
      <c r="E12" s="50"/>
      <c r="F12" s="50"/>
      <c r="G12" s="50"/>
      <c r="H12" s="50"/>
      <c r="I12" s="26"/>
    </row>
    <row r="13" spans="1:14" x14ac:dyDescent="0.25">
      <c r="A13" s="56" t="s">
        <v>43</v>
      </c>
      <c r="B13" s="57"/>
      <c r="C13" s="56" t="s">
        <v>44</v>
      </c>
      <c r="D13" s="57"/>
      <c r="E13" s="56" t="s">
        <v>45</v>
      </c>
      <c r="F13" s="57"/>
      <c r="G13" s="61" t="s">
        <v>49</v>
      </c>
      <c r="H13" s="61"/>
      <c r="I13" s="26"/>
    </row>
    <row r="14" spans="1:14" x14ac:dyDescent="0.25">
      <c r="A14" s="58"/>
      <c r="B14" s="59"/>
      <c r="C14" s="58"/>
      <c r="D14" s="59"/>
      <c r="E14" s="58"/>
      <c r="F14" s="59"/>
      <c r="G14" s="61"/>
      <c r="H14" s="61"/>
      <c r="I14" s="26"/>
    </row>
    <row r="15" spans="1:14" x14ac:dyDescent="0.25">
      <c r="A15" s="62" t="s">
        <v>46</v>
      </c>
      <c r="B15" s="25" t="s">
        <v>63</v>
      </c>
      <c r="C15" s="51">
        <f>((F9*12))/100</f>
        <v>1225.44</v>
      </c>
      <c r="D15" s="49"/>
      <c r="E15" s="48">
        <f>C15*0.245*1.1</f>
        <v>330.25608</v>
      </c>
      <c r="F15" s="52"/>
      <c r="G15" s="51"/>
      <c r="H15" s="49"/>
      <c r="I15" s="26"/>
    </row>
    <row r="16" spans="1:14" x14ac:dyDescent="0.25">
      <c r="A16" s="64"/>
      <c r="B16" s="25" t="s">
        <v>105</v>
      </c>
      <c r="C16" s="51">
        <f>((F3+F4+F5+F6+F7+F8)*12)/100</f>
        <v>732.96</v>
      </c>
      <c r="D16" s="49"/>
      <c r="E16" s="48">
        <f>C16*0.963*1.1</f>
        <v>776.42452800000001</v>
      </c>
      <c r="F16" s="52"/>
      <c r="G16" s="48">
        <f>E15+E16</f>
        <v>1106.6806080000001</v>
      </c>
      <c r="H16" s="52"/>
      <c r="I16" s="26"/>
    </row>
    <row r="17" spans="1:9" x14ac:dyDescent="0.25">
      <c r="A17" s="53" t="s">
        <v>1</v>
      </c>
      <c r="B17" s="54"/>
      <c r="C17" s="54"/>
      <c r="D17" s="54"/>
      <c r="E17" s="54"/>
      <c r="F17" s="55"/>
      <c r="G17" s="48">
        <f>G16</f>
        <v>1106.6806080000001</v>
      </c>
      <c r="H17" s="49"/>
      <c r="I17" s="26"/>
    </row>
    <row r="18" spans="1:9" x14ac:dyDescent="0.25">
      <c r="A18" s="26"/>
      <c r="B18" s="26"/>
      <c r="C18" s="26"/>
      <c r="D18" s="26"/>
      <c r="E18" s="26"/>
      <c r="F18" s="26"/>
      <c r="G18" s="26"/>
      <c r="H18" s="26"/>
      <c r="I18" s="26"/>
    </row>
    <row r="19" spans="1:9" x14ac:dyDescent="0.25">
      <c r="A19" s="26"/>
      <c r="B19" s="26"/>
      <c r="C19" s="26"/>
      <c r="D19" s="31">
        <f>G11</f>
        <v>1106.6806080000001</v>
      </c>
      <c r="E19" s="26"/>
      <c r="F19" s="26"/>
      <c r="G19" s="26"/>
      <c r="H19" s="26"/>
      <c r="I19" s="26"/>
    </row>
    <row r="20" spans="1:9" x14ac:dyDescent="0.25">
      <c r="A20" s="26"/>
      <c r="B20" s="26"/>
      <c r="C20" s="26"/>
      <c r="D20" s="32">
        <f>G17</f>
        <v>1106.6806080000001</v>
      </c>
      <c r="E20" s="26"/>
      <c r="F20" s="26"/>
      <c r="G20" s="26"/>
      <c r="H20" s="26"/>
      <c r="I20" s="26"/>
    </row>
    <row r="21" spans="1:9" x14ac:dyDescent="0.25">
      <c r="A21" s="26"/>
      <c r="B21" s="26"/>
      <c r="C21" s="26"/>
      <c r="D21" s="26"/>
      <c r="E21" s="26"/>
      <c r="F21" s="26"/>
      <c r="G21" s="26"/>
      <c r="H21" s="26"/>
      <c r="I21" s="26"/>
    </row>
    <row r="22" spans="1:9" x14ac:dyDescent="0.25">
      <c r="A22" s="26"/>
      <c r="B22" s="26"/>
      <c r="C22" s="26"/>
      <c r="D22" s="26"/>
      <c r="E22" s="26"/>
      <c r="F22" s="26"/>
      <c r="G22" s="26"/>
      <c r="H22" s="26"/>
      <c r="I22" s="26"/>
    </row>
    <row r="23" spans="1:9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9" x14ac:dyDescent="0.25">
      <c r="D24">
        <f>90-2-2</f>
        <v>86</v>
      </c>
    </row>
  </sheetData>
  <mergeCells count="24">
    <mergeCell ref="A17:F17"/>
    <mergeCell ref="G17:H17"/>
    <mergeCell ref="A15:A16"/>
    <mergeCell ref="C15:D15"/>
    <mergeCell ref="E15:F15"/>
    <mergeCell ref="G15:H15"/>
    <mergeCell ref="C16:D16"/>
    <mergeCell ref="E16:F16"/>
    <mergeCell ref="G16:H16"/>
    <mergeCell ref="A13:B14"/>
    <mergeCell ref="C13:D14"/>
    <mergeCell ref="E13:F14"/>
    <mergeCell ref="G13:H14"/>
    <mergeCell ref="A1:A2"/>
    <mergeCell ref="B1:B2"/>
    <mergeCell ref="C1:C2"/>
    <mergeCell ref="D1:D2"/>
    <mergeCell ref="E1:E2"/>
    <mergeCell ref="F1:F2"/>
    <mergeCell ref="G1:G2"/>
    <mergeCell ref="H1:H2"/>
    <mergeCell ref="A10:F10"/>
    <mergeCell ref="A11:F11"/>
    <mergeCell ref="A12:H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0"/>
  <sheetViews>
    <sheetView zoomScale="90" zoomScaleNormal="90" workbookViewId="0">
      <selection activeCell="K18" sqref="K18"/>
    </sheetView>
  </sheetViews>
  <sheetFormatPr defaultRowHeight="15" x14ac:dyDescent="0.25"/>
  <cols>
    <col min="1" max="1" width="18.42578125" customWidth="1"/>
    <col min="2" max="2" width="7.5703125" customWidth="1"/>
    <col min="3" max="3" width="7.42578125" customWidth="1"/>
    <col min="4" max="4" width="9.5703125" customWidth="1"/>
    <col min="5" max="5" width="11.42578125" customWidth="1"/>
    <col min="6" max="6" width="13.140625" customWidth="1"/>
    <col min="7" max="7" width="14.140625" customWidth="1"/>
    <col min="8" max="8" width="12.7109375" customWidth="1"/>
  </cols>
  <sheetData>
    <row r="2" spans="1:8" x14ac:dyDescent="0.25">
      <c r="A2" s="84" t="s">
        <v>62</v>
      </c>
      <c r="B2" s="84"/>
      <c r="C2" s="84"/>
      <c r="D2" s="84"/>
      <c r="E2" s="84"/>
      <c r="F2" s="84"/>
      <c r="G2" s="84"/>
      <c r="H2" s="84"/>
    </row>
    <row r="3" spans="1:8" ht="29.25" customHeight="1" x14ac:dyDescent="0.25">
      <c r="A3" s="27" t="s">
        <v>17</v>
      </c>
      <c r="B3" s="27" t="s">
        <v>56</v>
      </c>
      <c r="C3" s="27" t="s">
        <v>57</v>
      </c>
      <c r="D3" s="27" t="s">
        <v>2</v>
      </c>
      <c r="E3" s="27" t="s">
        <v>12</v>
      </c>
      <c r="F3" s="27" t="s">
        <v>59</v>
      </c>
      <c r="G3" s="27" t="s">
        <v>0</v>
      </c>
      <c r="H3" s="27" t="s">
        <v>13</v>
      </c>
    </row>
    <row r="4" spans="1:8" ht="28.5" customHeight="1" x14ac:dyDescent="0.25">
      <c r="A4" s="18" t="s">
        <v>120</v>
      </c>
      <c r="B4" s="30">
        <v>0.85</v>
      </c>
      <c r="C4" s="30">
        <v>4.0999999999999996</v>
      </c>
      <c r="D4" s="6">
        <f>B4*C4</f>
        <v>3.4849999999999994</v>
      </c>
      <c r="E4" s="6">
        <v>0.04</v>
      </c>
      <c r="F4" s="35">
        <f>D4*E4</f>
        <v>0.13939999999999997</v>
      </c>
      <c r="G4" s="6">
        <f>6*6</f>
        <v>36</v>
      </c>
      <c r="H4" s="30">
        <f>F4*G4</f>
        <v>5.0183999999999989</v>
      </c>
    </row>
    <row r="5" spans="1:8" ht="28.5" customHeight="1" x14ac:dyDescent="0.25">
      <c r="A5" s="18" t="s">
        <v>121</v>
      </c>
      <c r="B5" s="30">
        <v>0.85</v>
      </c>
      <c r="C5" s="30">
        <v>2</v>
      </c>
      <c r="D5" s="30">
        <f>B5*C5</f>
        <v>1.7</v>
      </c>
      <c r="E5" s="6">
        <v>0.04</v>
      </c>
      <c r="F5" s="30">
        <f>D5*E5</f>
        <v>6.8000000000000005E-2</v>
      </c>
      <c r="G5" s="6">
        <v>10</v>
      </c>
      <c r="H5" s="30">
        <f>F5*G5</f>
        <v>0.68</v>
      </c>
    </row>
    <row r="6" spans="1:8" ht="28.5" customHeight="1" x14ac:dyDescent="0.25">
      <c r="A6" s="18" t="s">
        <v>122</v>
      </c>
      <c r="B6" s="30">
        <v>0.5</v>
      </c>
      <c r="C6" s="30">
        <v>4.45</v>
      </c>
      <c r="D6" s="30">
        <f t="shared" ref="D6:D7" si="0">B6*C6</f>
        <v>2.2250000000000001</v>
      </c>
      <c r="E6" s="6">
        <v>0.04</v>
      </c>
      <c r="F6" s="30">
        <f t="shared" ref="F6:F7" si="1">D6*E6</f>
        <v>8.900000000000001E-2</v>
      </c>
      <c r="G6" s="6">
        <f>12</f>
        <v>12</v>
      </c>
      <c r="H6" s="30">
        <f t="shared" ref="H6:H7" si="2">F6*G6</f>
        <v>1.0680000000000001</v>
      </c>
    </row>
    <row r="7" spans="1:8" ht="28.5" customHeight="1" x14ac:dyDescent="0.25">
      <c r="A7" s="18" t="s">
        <v>123</v>
      </c>
      <c r="B7" s="30">
        <v>0.85</v>
      </c>
      <c r="C7" s="30">
        <v>5.0999999999999996</v>
      </c>
      <c r="D7" s="30">
        <f t="shared" si="0"/>
        <v>4.335</v>
      </c>
      <c r="E7" s="6">
        <v>0.04</v>
      </c>
      <c r="F7" s="30">
        <f t="shared" si="1"/>
        <v>0.1734</v>
      </c>
      <c r="G7" s="6">
        <v>6</v>
      </c>
      <c r="H7" s="30">
        <f t="shared" si="2"/>
        <v>1.0404</v>
      </c>
    </row>
    <row r="8" spans="1:8" x14ac:dyDescent="0.25">
      <c r="A8" s="85" t="s">
        <v>58</v>
      </c>
      <c r="B8" s="86"/>
      <c r="C8" s="86"/>
      <c r="D8" s="86"/>
      <c r="E8" s="86"/>
      <c r="F8" s="86"/>
      <c r="G8" s="87"/>
      <c r="H8" s="33">
        <f>SUM(H4:H7)</f>
        <v>7.8067999999999991</v>
      </c>
    </row>
    <row r="9" spans="1:8" ht="17.25" customHeight="1" x14ac:dyDescent="0.25">
      <c r="A9" s="81" t="s">
        <v>76</v>
      </c>
      <c r="B9" s="82"/>
      <c r="C9" s="82"/>
      <c r="D9" s="82"/>
      <c r="E9" s="82"/>
      <c r="F9" s="82"/>
      <c r="G9" s="83"/>
      <c r="H9" s="33">
        <f>(D4*G4)+(D5*G5)+(D6*G6)+(D7*G7)</f>
        <v>195.16999999999996</v>
      </c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</sheetData>
  <mergeCells count="3">
    <mergeCell ref="A2:H2"/>
    <mergeCell ref="A8:G8"/>
    <mergeCell ref="A9:G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zoomScale="80" zoomScaleNormal="80" workbookViewId="0">
      <selection activeCell="M24" sqref="M24"/>
    </sheetView>
  </sheetViews>
  <sheetFormatPr defaultRowHeight="15" x14ac:dyDescent="0.25"/>
  <cols>
    <col min="1" max="1" width="6.28515625" bestFit="1" customWidth="1"/>
    <col min="2" max="2" width="9.140625" customWidth="1"/>
    <col min="3" max="3" width="9.42578125" customWidth="1"/>
    <col min="4" max="4" width="15.28515625" bestFit="1" customWidth="1"/>
    <col min="5" max="5" width="15.140625" bestFit="1" customWidth="1"/>
    <col min="6" max="6" width="11.42578125" customWidth="1"/>
    <col min="7" max="7" width="10.42578125" customWidth="1"/>
    <col min="17" max="17" width="9.140625" customWidth="1"/>
  </cols>
  <sheetData>
    <row r="1" spans="1:12" ht="21.75" customHeight="1" x14ac:dyDescent="0.25">
      <c r="A1" s="72" t="s">
        <v>73</v>
      </c>
      <c r="B1" s="73"/>
      <c r="C1" s="73"/>
      <c r="D1" s="73"/>
      <c r="E1" s="73"/>
      <c r="F1" s="73"/>
      <c r="G1" s="73"/>
    </row>
    <row r="2" spans="1:12" ht="38.25" customHeight="1" x14ac:dyDescent="0.25">
      <c r="A2" s="27" t="s">
        <v>17</v>
      </c>
      <c r="B2" s="27" t="s">
        <v>9</v>
      </c>
      <c r="C2" s="27" t="s">
        <v>7</v>
      </c>
      <c r="D2" s="27" t="s">
        <v>5</v>
      </c>
      <c r="E2" s="27" t="s">
        <v>10</v>
      </c>
      <c r="F2" s="27" t="s">
        <v>16</v>
      </c>
      <c r="G2" s="27" t="s">
        <v>15</v>
      </c>
    </row>
    <row r="3" spans="1:12" x14ac:dyDescent="0.25">
      <c r="A3" s="18" t="s">
        <v>3</v>
      </c>
      <c r="B3" s="19">
        <v>0.2</v>
      </c>
      <c r="C3" s="19">
        <v>0.3</v>
      </c>
      <c r="D3" s="20">
        <f>B3*C3</f>
        <v>0.06</v>
      </c>
      <c r="E3" s="19">
        <v>0.65</v>
      </c>
      <c r="F3" s="21">
        <f>E3*D3</f>
        <v>3.9E-2</v>
      </c>
      <c r="G3" s="21">
        <f>(B3+C3+C3)*E3</f>
        <v>0.52</v>
      </c>
    </row>
    <row r="4" spans="1:12" x14ac:dyDescent="0.25">
      <c r="A4" s="74"/>
      <c r="B4" s="75"/>
      <c r="C4" s="75"/>
      <c r="D4" s="76"/>
      <c r="E4" s="22" t="s">
        <v>14</v>
      </c>
      <c r="F4" s="23">
        <f>SUM(F3:F3)</f>
        <v>3.9E-2</v>
      </c>
      <c r="G4" s="23">
        <f>SUM(G3:G3)</f>
        <v>0.52</v>
      </c>
    </row>
    <row r="5" spans="1:12" x14ac:dyDescent="0.25">
      <c r="A5" s="77"/>
      <c r="B5" s="78"/>
      <c r="C5" s="78"/>
      <c r="D5" s="79"/>
      <c r="E5" s="22" t="s">
        <v>119</v>
      </c>
      <c r="F5" s="23">
        <f>F4*72</f>
        <v>2.8079999999999998</v>
      </c>
      <c r="G5" s="23">
        <f>G4*72</f>
        <v>37.44</v>
      </c>
    </row>
    <row r="6" spans="1:12" x14ac:dyDescent="0.25">
      <c r="A6" s="26"/>
      <c r="B6" s="26"/>
      <c r="C6" s="26"/>
      <c r="D6" s="26"/>
      <c r="E6" s="26"/>
      <c r="F6" s="26"/>
      <c r="G6" s="26"/>
    </row>
    <row r="7" spans="1:12" x14ac:dyDescent="0.25">
      <c r="A7" s="26"/>
      <c r="B7" s="26"/>
      <c r="C7" s="26"/>
      <c r="D7" s="26"/>
      <c r="E7" s="26"/>
      <c r="F7" s="26"/>
      <c r="G7" s="26"/>
    </row>
    <row r="8" spans="1:12" x14ac:dyDescent="0.25">
      <c r="A8" s="26"/>
      <c r="B8" s="26"/>
      <c r="C8" s="26"/>
      <c r="D8" s="26"/>
      <c r="E8" s="26"/>
      <c r="F8" s="26"/>
      <c r="G8" s="26"/>
    </row>
    <row r="9" spans="1:12" x14ac:dyDescent="0.25">
      <c r="A9" s="26"/>
      <c r="B9" s="26"/>
      <c r="C9" s="26"/>
      <c r="D9" s="26"/>
      <c r="E9" s="26"/>
      <c r="F9" s="26"/>
      <c r="G9" s="26"/>
    </row>
    <row r="10" spans="1:12" x14ac:dyDescent="0.25">
      <c r="A10" s="26"/>
      <c r="B10" s="26"/>
      <c r="C10" s="26"/>
      <c r="D10" s="26"/>
      <c r="E10" s="26"/>
      <c r="F10" s="26"/>
      <c r="G10" s="26"/>
    </row>
    <row r="15" spans="1:12" x14ac:dyDescent="0.25">
      <c r="L15">
        <f>12*6</f>
        <v>72</v>
      </c>
    </row>
  </sheetData>
  <mergeCells count="2">
    <mergeCell ref="A1:G1"/>
    <mergeCell ref="A4:D5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"/>
  <sheetViews>
    <sheetView zoomScale="90" zoomScaleNormal="90" workbookViewId="0">
      <selection activeCell="J23" sqref="J23"/>
    </sheetView>
  </sheetViews>
  <sheetFormatPr defaultRowHeight="15" x14ac:dyDescent="0.25"/>
  <cols>
    <col min="1" max="1" width="11.7109375" customWidth="1"/>
    <col min="2" max="2" width="24.28515625" customWidth="1"/>
    <col min="3" max="3" width="7.42578125" customWidth="1"/>
    <col min="4" max="4" width="11.85546875" customWidth="1"/>
    <col min="5" max="5" width="12.140625" customWidth="1"/>
    <col min="6" max="7" width="8" customWidth="1"/>
    <col min="8" max="8" width="7.42578125" customWidth="1"/>
  </cols>
  <sheetData>
    <row r="1" spans="1:14" ht="15" customHeight="1" x14ac:dyDescent="0.25">
      <c r="A1" s="61" t="s">
        <v>34</v>
      </c>
      <c r="B1" s="61" t="s">
        <v>35</v>
      </c>
      <c r="C1" s="61" t="s">
        <v>36</v>
      </c>
      <c r="D1" s="61" t="s">
        <v>0</v>
      </c>
      <c r="E1" s="56" t="s">
        <v>38</v>
      </c>
      <c r="F1" s="61" t="s">
        <v>39</v>
      </c>
      <c r="G1" s="61" t="s">
        <v>40</v>
      </c>
      <c r="H1" s="61" t="s">
        <v>41</v>
      </c>
    </row>
    <row r="2" spans="1:14" x14ac:dyDescent="0.25">
      <c r="A2" s="61"/>
      <c r="B2" s="61"/>
      <c r="C2" s="61"/>
      <c r="D2" s="61"/>
      <c r="E2" s="58"/>
      <c r="F2" s="61"/>
      <c r="G2" s="61"/>
      <c r="H2" s="61"/>
    </row>
    <row r="3" spans="1:14" x14ac:dyDescent="0.25">
      <c r="A3" s="62" t="s">
        <v>112</v>
      </c>
      <c r="B3" s="25" t="s">
        <v>108</v>
      </c>
      <c r="C3" s="18">
        <v>12.5</v>
      </c>
      <c r="D3" s="18">
        <v>2</v>
      </c>
      <c r="E3" s="18">
        <f>95+25+25</f>
        <v>145</v>
      </c>
      <c r="F3" s="21">
        <f t="shared" ref="F3:F5" si="0">(D3*E3)</f>
        <v>290</v>
      </c>
      <c r="G3" s="21">
        <f>0.963*(F3/100)</f>
        <v>2.7927</v>
      </c>
      <c r="H3" s="21"/>
      <c r="M3">
        <v>8</v>
      </c>
      <c r="N3">
        <v>0.39500000000000002</v>
      </c>
    </row>
    <row r="4" spans="1:14" ht="18" customHeight="1" x14ac:dyDescent="0.25">
      <c r="A4" s="63"/>
      <c r="B4" s="25" t="s">
        <v>109</v>
      </c>
      <c r="C4" s="18">
        <v>12.5</v>
      </c>
      <c r="D4" s="18">
        <v>2</v>
      </c>
      <c r="E4" s="18">
        <f>95+25+25</f>
        <v>145</v>
      </c>
      <c r="F4" s="21">
        <f t="shared" si="0"/>
        <v>290</v>
      </c>
      <c r="G4" s="21">
        <f>0.963*(F4/100)</f>
        <v>2.7927</v>
      </c>
      <c r="H4" s="21"/>
      <c r="M4">
        <v>10</v>
      </c>
      <c r="N4">
        <v>0.61699999999999999</v>
      </c>
    </row>
    <row r="5" spans="1:14" ht="16.5" customHeight="1" x14ac:dyDescent="0.25">
      <c r="A5" s="64"/>
      <c r="B5" s="25" t="s">
        <v>110</v>
      </c>
      <c r="C5" s="18">
        <v>6.3</v>
      </c>
      <c r="D5" s="18">
        <v>10</v>
      </c>
      <c r="E5" s="18">
        <f>15+15+25+25+10</f>
        <v>90</v>
      </c>
      <c r="F5" s="21">
        <f t="shared" si="0"/>
        <v>900</v>
      </c>
      <c r="G5" s="21">
        <f>0.245*F5/100</f>
        <v>2.2050000000000001</v>
      </c>
      <c r="H5" s="21"/>
    </row>
    <row r="6" spans="1:14" ht="15" customHeight="1" x14ac:dyDescent="0.25">
      <c r="A6" s="53" t="s">
        <v>42</v>
      </c>
      <c r="B6" s="54"/>
      <c r="C6" s="54"/>
      <c r="D6" s="54"/>
      <c r="E6" s="54"/>
      <c r="F6" s="55"/>
      <c r="G6" s="21">
        <f>SUM(G3:G5)*1.1</f>
        <v>8.5694400000000002</v>
      </c>
      <c r="H6" s="21">
        <v>0</v>
      </c>
    </row>
    <row r="7" spans="1:14" x14ac:dyDescent="0.25">
      <c r="A7" s="53" t="s">
        <v>111</v>
      </c>
      <c r="B7" s="54"/>
      <c r="C7" s="54"/>
      <c r="D7" s="54"/>
      <c r="E7" s="54"/>
      <c r="F7" s="55"/>
      <c r="G7" s="21">
        <f>G6*72</f>
        <v>616.99968000000001</v>
      </c>
      <c r="H7" s="21"/>
    </row>
    <row r="8" spans="1:14" x14ac:dyDescent="0.25">
      <c r="A8" s="50"/>
      <c r="B8" s="50"/>
      <c r="C8" s="50"/>
      <c r="D8" s="50"/>
      <c r="E8" s="50"/>
      <c r="F8" s="50"/>
      <c r="G8" s="50"/>
      <c r="H8" s="50"/>
    </row>
    <row r="9" spans="1:14" x14ac:dyDescent="0.25">
      <c r="A9" s="56" t="s">
        <v>43</v>
      </c>
      <c r="B9" s="57"/>
      <c r="C9" s="56" t="s">
        <v>44</v>
      </c>
      <c r="D9" s="57"/>
      <c r="E9" s="56" t="s">
        <v>45</v>
      </c>
      <c r="F9" s="57"/>
      <c r="G9" s="61" t="s">
        <v>49</v>
      </c>
      <c r="H9" s="61"/>
    </row>
    <row r="10" spans="1:14" x14ac:dyDescent="0.25">
      <c r="A10" s="58"/>
      <c r="B10" s="59"/>
      <c r="C10" s="58"/>
      <c r="D10" s="59"/>
      <c r="E10" s="58"/>
      <c r="F10" s="59"/>
      <c r="G10" s="61"/>
      <c r="H10" s="61"/>
    </row>
    <row r="11" spans="1:14" x14ac:dyDescent="0.25">
      <c r="A11" s="62" t="s">
        <v>46</v>
      </c>
      <c r="B11" s="25" t="s">
        <v>63</v>
      </c>
      <c r="C11" s="51">
        <f>((F5*72))/100</f>
        <v>648</v>
      </c>
      <c r="D11" s="49"/>
      <c r="E11" s="48">
        <f>C11*0.245*1.1</f>
        <v>174.636</v>
      </c>
      <c r="F11" s="52"/>
      <c r="G11" s="51"/>
      <c r="H11" s="49"/>
    </row>
    <row r="12" spans="1:14" x14ac:dyDescent="0.25">
      <c r="A12" s="64"/>
      <c r="B12" s="25" t="s">
        <v>105</v>
      </c>
      <c r="C12" s="51">
        <f>((F3+F4)*72)/100</f>
        <v>417.6</v>
      </c>
      <c r="D12" s="49"/>
      <c r="E12" s="48">
        <f>C12*0.963*1.1</f>
        <v>442.36368000000004</v>
      </c>
      <c r="F12" s="52"/>
      <c r="G12" s="48">
        <f>E11+E12</f>
        <v>616.99968000000001</v>
      </c>
      <c r="H12" s="52"/>
    </row>
    <row r="13" spans="1:14" x14ac:dyDescent="0.25">
      <c r="A13" s="53" t="s">
        <v>1</v>
      </c>
      <c r="B13" s="54"/>
      <c r="C13" s="54"/>
      <c r="D13" s="54"/>
      <c r="E13" s="54"/>
      <c r="F13" s="55"/>
      <c r="G13" s="48">
        <f>G12</f>
        <v>616.99968000000001</v>
      </c>
      <c r="H13" s="49"/>
    </row>
    <row r="14" spans="1:14" x14ac:dyDescent="0.25">
      <c r="A14" s="26"/>
      <c r="B14" s="26"/>
      <c r="C14" s="26"/>
      <c r="D14" s="26"/>
      <c r="E14" s="26"/>
      <c r="F14" s="26"/>
      <c r="G14" s="26"/>
      <c r="H14" s="26"/>
    </row>
    <row r="15" spans="1:14" x14ac:dyDescent="0.25">
      <c r="A15" s="26"/>
      <c r="B15" s="26"/>
      <c r="C15" s="26"/>
      <c r="D15" s="31">
        <f>G7</f>
        <v>616.99968000000001</v>
      </c>
      <c r="E15" s="26"/>
      <c r="F15" s="26"/>
      <c r="G15" s="26"/>
      <c r="H15" s="26"/>
    </row>
    <row r="16" spans="1:14" x14ac:dyDescent="0.25">
      <c r="A16" s="26"/>
      <c r="B16" s="26"/>
      <c r="C16" s="26"/>
      <c r="D16" s="32">
        <f>G13</f>
        <v>616.99968000000001</v>
      </c>
      <c r="E16" s="26"/>
      <c r="F16" s="26"/>
      <c r="G16" s="26"/>
      <c r="H16" s="26"/>
    </row>
    <row r="17" spans="1:8" x14ac:dyDescent="0.25">
      <c r="A17" s="26"/>
      <c r="B17" s="26"/>
      <c r="C17" s="26"/>
      <c r="D17" s="26"/>
      <c r="E17" s="26"/>
      <c r="F17" s="26"/>
      <c r="G17" s="26"/>
      <c r="H17" s="26"/>
    </row>
    <row r="18" spans="1:8" x14ac:dyDescent="0.25">
      <c r="A18" s="26"/>
      <c r="B18" s="26"/>
      <c r="C18" s="26"/>
      <c r="D18" s="26"/>
      <c r="E18" s="26"/>
      <c r="F18" s="26"/>
      <c r="G18" s="26"/>
      <c r="H18" s="26"/>
    </row>
    <row r="19" spans="1:8" x14ac:dyDescent="0.25">
      <c r="A19" s="26"/>
      <c r="B19" s="26"/>
      <c r="C19" s="26"/>
      <c r="D19" s="26"/>
      <c r="E19" s="26"/>
      <c r="F19" s="26"/>
      <c r="G19" s="26"/>
      <c r="H19" s="26"/>
    </row>
    <row r="20" spans="1:8" x14ac:dyDescent="0.25">
      <c r="A20" s="26"/>
      <c r="B20" s="26"/>
      <c r="C20" s="26"/>
      <c r="D20" s="26">
        <f>90-2-2</f>
        <v>86</v>
      </c>
      <c r="E20" s="26"/>
      <c r="F20" s="26"/>
      <c r="G20" s="26"/>
      <c r="H20" s="26"/>
    </row>
    <row r="21" spans="1:8" x14ac:dyDescent="0.25">
      <c r="A21" s="26"/>
      <c r="B21" s="26"/>
      <c r="C21" s="26"/>
      <c r="D21" s="26"/>
      <c r="E21" s="26"/>
      <c r="F21" s="26"/>
      <c r="G21" s="26"/>
      <c r="H21" s="26"/>
    </row>
  </sheetData>
  <mergeCells count="25">
    <mergeCell ref="G12:H12"/>
    <mergeCell ref="A13:F13"/>
    <mergeCell ref="G13:H13"/>
    <mergeCell ref="A9:B10"/>
    <mergeCell ref="C9:D10"/>
    <mergeCell ref="E9:F10"/>
    <mergeCell ref="G9:H10"/>
    <mergeCell ref="A11:A12"/>
    <mergeCell ref="C11:D11"/>
    <mergeCell ref="E11:F11"/>
    <mergeCell ref="G11:H11"/>
    <mergeCell ref="C12:D12"/>
    <mergeCell ref="E12:F12"/>
    <mergeCell ref="A8:H8"/>
    <mergeCell ref="A1:A2"/>
    <mergeCell ref="B1:B2"/>
    <mergeCell ref="C1:C2"/>
    <mergeCell ref="D1:D2"/>
    <mergeCell ref="E1:E2"/>
    <mergeCell ref="F1:F2"/>
    <mergeCell ref="G1:G2"/>
    <mergeCell ref="H1:H2"/>
    <mergeCell ref="A3:A5"/>
    <mergeCell ref="A6:F6"/>
    <mergeCell ref="A7:F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"/>
  <sheetViews>
    <sheetView zoomScale="80" zoomScaleNormal="80" workbookViewId="0">
      <selection activeCell="M26" sqref="M26"/>
    </sheetView>
  </sheetViews>
  <sheetFormatPr defaultRowHeight="15" x14ac:dyDescent="0.25"/>
  <cols>
    <col min="1" max="1" width="6.28515625" bestFit="1" customWidth="1"/>
    <col min="2" max="2" width="9.140625" customWidth="1"/>
    <col min="3" max="3" width="9.42578125" customWidth="1"/>
    <col min="4" max="4" width="15.28515625" bestFit="1" customWidth="1"/>
    <col min="5" max="5" width="15.140625" bestFit="1" customWidth="1"/>
    <col min="6" max="6" width="11.42578125" customWidth="1"/>
    <col min="7" max="7" width="10.42578125" customWidth="1"/>
    <col min="17" max="17" width="9.140625" customWidth="1"/>
  </cols>
  <sheetData>
    <row r="1" spans="1:7" ht="21.75" customHeight="1" x14ac:dyDescent="0.25">
      <c r="A1" s="72" t="s">
        <v>75</v>
      </c>
      <c r="B1" s="73"/>
      <c r="C1" s="73"/>
      <c r="D1" s="73"/>
      <c r="E1" s="73"/>
      <c r="F1" s="73"/>
      <c r="G1" s="73"/>
    </row>
    <row r="2" spans="1:7" ht="38.25" customHeight="1" x14ac:dyDescent="0.25">
      <c r="A2" s="27" t="s">
        <v>17</v>
      </c>
      <c r="B2" s="27" t="s">
        <v>9</v>
      </c>
      <c r="C2" s="27" t="s">
        <v>7</v>
      </c>
      <c r="D2" s="27" t="s">
        <v>5</v>
      </c>
      <c r="E2" s="27" t="s">
        <v>10</v>
      </c>
      <c r="F2" s="27" t="s">
        <v>16</v>
      </c>
      <c r="G2" s="27" t="s">
        <v>15</v>
      </c>
    </row>
    <row r="3" spans="1:7" x14ac:dyDescent="0.25">
      <c r="A3" s="18" t="s">
        <v>74</v>
      </c>
      <c r="B3" s="19">
        <v>0.2</v>
      </c>
      <c r="C3" s="19">
        <v>0.2</v>
      </c>
      <c r="D3" s="20">
        <f>B3*C3</f>
        <v>4.0000000000000008E-2</v>
      </c>
      <c r="E3" s="19">
        <f>3.4-0.7</f>
        <v>2.7</v>
      </c>
      <c r="F3" s="21">
        <f t="shared" ref="F3:F8" si="0">E3*D3</f>
        <v>0.10800000000000003</v>
      </c>
      <c r="G3" s="21">
        <f>(B3+C3+C3+B3)*E3</f>
        <v>2.16</v>
      </c>
    </row>
    <row r="4" spans="1:7" x14ac:dyDescent="0.25">
      <c r="A4" s="18" t="s">
        <v>69</v>
      </c>
      <c r="B4" s="19">
        <v>0.2</v>
      </c>
      <c r="C4" s="19">
        <v>0.2</v>
      </c>
      <c r="D4" s="20">
        <f>B4*C4</f>
        <v>4.0000000000000008E-2</v>
      </c>
      <c r="E4" s="19">
        <f>2.95-0.7</f>
        <v>2.25</v>
      </c>
      <c r="F4" s="21">
        <f t="shared" si="0"/>
        <v>9.0000000000000024E-2</v>
      </c>
      <c r="G4" s="21">
        <f>(B4+C4+C4)*E4</f>
        <v>1.35</v>
      </c>
    </row>
    <row r="5" spans="1:7" x14ac:dyDescent="0.25">
      <c r="A5" s="18" t="s">
        <v>70</v>
      </c>
      <c r="B5" s="19">
        <v>0.2</v>
      </c>
      <c r="C5" s="19">
        <v>0.2</v>
      </c>
      <c r="D5" s="20">
        <f>B5*C5</f>
        <v>4.0000000000000008E-2</v>
      </c>
      <c r="E5" s="19">
        <f>2.5-0.7</f>
        <v>1.8</v>
      </c>
      <c r="F5" s="21">
        <f t="shared" si="0"/>
        <v>7.2000000000000022E-2</v>
      </c>
      <c r="G5" s="21">
        <f>(B5+C5+C5)*E5</f>
        <v>1.0800000000000003</v>
      </c>
    </row>
    <row r="6" spans="1:7" x14ac:dyDescent="0.25">
      <c r="A6" s="18" t="s">
        <v>71</v>
      </c>
      <c r="B6" s="19">
        <v>0.2</v>
      </c>
      <c r="C6" s="19">
        <v>0.2</v>
      </c>
      <c r="D6" s="20">
        <f t="shared" ref="D6:D8" si="1">B6*C6</f>
        <v>4.0000000000000008E-2</v>
      </c>
      <c r="E6" s="19">
        <f>2.05-0.7</f>
        <v>1.3499999999999999</v>
      </c>
      <c r="F6" s="21">
        <f t="shared" si="0"/>
        <v>5.4000000000000006E-2</v>
      </c>
      <c r="G6" s="21">
        <f t="shared" ref="G6:G8" si="2">(B6+C6+C6)*E6</f>
        <v>0.81</v>
      </c>
    </row>
    <row r="7" spans="1:7" x14ac:dyDescent="0.25">
      <c r="A7" s="18" t="s">
        <v>113</v>
      </c>
      <c r="B7" s="19">
        <v>0.2</v>
      </c>
      <c r="C7" s="19">
        <v>0.2</v>
      </c>
      <c r="D7" s="20">
        <f t="shared" si="1"/>
        <v>4.0000000000000008E-2</v>
      </c>
      <c r="E7" s="19">
        <f>1.6-0.7</f>
        <v>0.90000000000000013</v>
      </c>
      <c r="F7" s="21">
        <f t="shared" si="0"/>
        <v>3.6000000000000011E-2</v>
      </c>
      <c r="G7" s="21">
        <f t="shared" si="2"/>
        <v>0.54000000000000015</v>
      </c>
    </row>
    <row r="8" spans="1:7" x14ac:dyDescent="0.25">
      <c r="A8" s="18" t="s">
        <v>114</v>
      </c>
      <c r="B8" s="19">
        <v>0.2</v>
      </c>
      <c r="C8" s="19">
        <v>0.2</v>
      </c>
      <c r="D8" s="20">
        <f t="shared" si="1"/>
        <v>4.0000000000000008E-2</v>
      </c>
      <c r="E8" s="19">
        <f>1.15-0.7</f>
        <v>0.44999999999999996</v>
      </c>
      <c r="F8" s="21">
        <f t="shared" si="0"/>
        <v>1.8000000000000002E-2</v>
      </c>
      <c r="G8" s="21">
        <f t="shared" si="2"/>
        <v>0.27</v>
      </c>
    </row>
    <row r="9" spans="1:7" x14ac:dyDescent="0.25">
      <c r="A9" s="74"/>
      <c r="B9" s="75"/>
      <c r="C9" s="75"/>
      <c r="D9" s="76"/>
      <c r="E9" s="22" t="s">
        <v>14</v>
      </c>
      <c r="F9" s="23">
        <f>SUM(F3:F8)</f>
        <v>0.37800000000000011</v>
      </c>
      <c r="G9" s="23">
        <f>SUM(G3:G8)</f>
        <v>6.2100000000000009</v>
      </c>
    </row>
    <row r="10" spans="1:7" x14ac:dyDescent="0.25">
      <c r="A10" s="77"/>
      <c r="B10" s="78"/>
      <c r="C10" s="78"/>
      <c r="D10" s="79"/>
      <c r="E10" s="22" t="s">
        <v>118</v>
      </c>
      <c r="F10" s="23">
        <f>F9*12</f>
        <v>4.5360000000000014</v>
      </c>
      <c r="G10" s="23">
        <f>G9*12</f>
        <v>74.52000000000001</v>
      </c>
    </row>
    <row r="11" spans="1:7" x14ac:dyDescent="0.25">
      <c r="A11" s="26"/>
      <c r="B11" s="26"/>
      <c r="C11" s="26"/>
      <c r="D11" s="26"/>
      <c r="E11" s="26"/>
      <c r="F11" s="26"/>
      <c r="G11" s="26"/>
    </row>
    <row r="12" spans="1:7" x14ac:dyDescent="0.25">
      <c r="A12" s="26"/>
      <c r="B12" s="26"/>
      <c r="C12" s="26"/>
      <c r="D12" s="26"/>
      <c r="E12" s="26"/>
      <c r="F12" s="26"/>
      <c r="G12" s="26"/>
    </row>
    <row r="13" spans="1:7" x14ac:dyDescent="0.25">
      <c r="A13" s="26"/>
      <c r="B13" s="26"/>
      <c r="C13" s="26"/>
      <c r="D13" s="26"/>
      <c r="E13" s="26"/>
      <c r="F13" s="26"/>
      <c r="G13" s="26"/>
    </row>
    <row r="14" spans="1:7" x14ac:dyDescent="0.25">
      <c r="A14" s="26"/>
      <c r="B14" s="26"/>
      <c r="C14" s="26"/>
      <c r="D14" s="26"/>
      <c r="E14" s="26"/>
      <c r="F14" s="26"/>
      <c r="G14" s="26"/>
    </row>
    <row r="15" spans="1:7" x14ac:dyDescent="0.25">
      <c r="A15" s="26"/>
      <c r="B15" s="26"/>
      <c r="C15" s="26"/>
      <c r="D15" s="26"/>
      <c r="E15" s="26"/>
      <c r="F15" s="26"/>
      <c r="G15" s="26"/>
    </row>
  </sheetData>
  <mergeCells count="2">
    <mergeCell ref="A1:G1"/>
    <mergeCell ref="A9:D1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"/>
  <sheetViews>
    <sheetView workbookViewId="0">
      <selection activeCell="G13" sqref="G13"/>
    </sheetView>
  </sheetViews>
  <sheetFormatPr defaultRowHeight="15" x14ac:dyDescent="0.25"/>
  <cols>
    <col min="2" max="2" width="18.85546875" customWidth="1"/>
    <col min="3" max="3" width="8.7109375" customWidth="1"/>
    <col min="4" max="4" width="11.42578125" customWidth="1"/>
    <col min="5" max="5" width="13.7109375" customWidth="1"/>
    <col min="6" max="6" width="9.85546875" customWidth="1"/>
    <col min="7" max="7" width="10.140625" customWidth="1"/>
    <col min="8" max="8" width="12.28515625" customWidth="1"/>
    <col min="9" max="9" width="15.7109375" customWidth="1"/>
    <col min="10" max="10" width="14.140625" customWidth="1"/>
    <col min="11" max="11" width="10.85546875" customWidth="1"/>
  </cols>
  <sheetData>
    <row r="1" spans="1:11" ht="15" customHeight="1" x14ac:dyDescent="0.25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61" t="s">
        <v>78</v>
      </c>
      <c r="B2" s="61" t="s">
        <v>79</v>
      </c>
      <c r="C2" s="61" t="s">
        <v>80</v>
      </c>
      <c r="D2" s="61" t="s">
        <v>0</v>
      </c>
      <c r="E2" s="69" t="s">
        <v>81</v>
      </c>
      <c r="F2" s="70"/>
      <c r="G2" s="71"/>
      <c r="H2" s="61" t="s">
        <v>82</v>
      </c>
      <c r="I2" s="61" t="s">
        <v>83</v>
      </c>
      <c r="J2" s="61" t="s">
        <v>84</v>
      </c>
      <c r="K2" s="61" t="s">
        <v>85</v>
      </c>
    </row>
    <row r="3" spans="1:11" ht="22.5" customHeight="1" x14ac:dyDescent="0.25">
      <c r="A3" s="61"/>
      <c r="B3" s="61"/>
      <c r="C3" s="61"/>
      <c r="D3" s="61"/>
      <c r="E3" s="69" t="s">
        <v>86</v>
      </c>
      <c r="F3" s="70"/>
      <c r="G3" s="71"/>
      <c r="H3" s="61"/>
      <c r="I3" s="61"/>
      <c r="J3" s="61"/>
      <c r="K3" s="61"/>
    </row>
    <row r="4" spans="1:11" ht="25.5" hidden="1" x14ac:dyDescent="0.25">
      <c r="A4" s="61"/>
      <c r="B4" s="61"/>
      <c r="C4" s="61"/>
      <c r="D4" s="61"/>
      <c r="E4" s="27" t="s">
        <v>87</v>
      </c>
      <c r="F4" s="27" t="s">
        <v>88</v>
      </c>
      <c r="G4" s="27" t="s">
        <v>89</v>
      </c>
      <c r="H4" s="61"/>
      <c r="I4" s="61"/>
      <c r="J4" s="61"/>
      <c r="K4" s="61"/>
    </row>
    <row r="5" spans="1:11" ht="42" customHeight="1" x14ac:dyDescent="0.25">
      <c r="A5" s="24" t="s">
        <v>102</v>
      </c>
      <c r="B5" s="24" t="s">
        <v>90</v>
      </c>
      <c r="C5" s="1">
        <v>30</v>
      </c>
      <c r="D5" s="1">
        <v>36</v>
      </c>
      <c r="E5" s="1">
        <v>600</v>
      </c>
      <c r="F5" s="1"/>
      <c r="G5" s="1"/>
      <c r="H5" s="2" t="s">
        <v>91</v>
      </c>
      <c r="I5" s="2">
        <v>8</v>
      </c>
      <c r="J5" s="2">
        <f>D5*I5</f>
        <v>288</v>
      </c>
      <c r="K5" s="34">
        <f>D5</f>
        <v>36</v>
      </c>
    </row>
    <row r="6" spans="1:11" x14ac:dyDescent="0.25">
      <c r="A6" s="26"/>
      <c r="B6" s="26"/>
      <c r="C6" s="26"/>
      <c r="D6" s="26"/>
      <c r="E6" s="26"/>
      <c r="F6" s="26"/>
      <c r="G6" s="26"/>
    </row>
    <row r="7" spans="1:11" x14ac:dyDescent="0.25">
      <c r="A7" s="26"/>
      <c r="B7" s="26"/>
      <c r="C7" s="26"/>
      <c r="D7" s="26"/>
      <c r="E7" s="26"/>
      <c r="F7" s="26"/>
      <c r="G7" s="26"/>
    </row>
    <row r="8" spans="1:11" x14ac:dyDescent="0.25">
      <c r="A8" s="26"/>
      <c r="B8" s="26"/>
      <c r="C8" s="26"/>
      <c r="D8" s="26"/>
      <c r="E8" s="26"/>
      <c r="F8" s="26"/>
      <c r="G8" s="26"/>
    </row>
  </sheetData>
  <mergeCells count="11">
    <mergeCell ref="E3:G3"/>
    <mergeCell ref="A1:K1"/>
    <mergeCell ref="A2:A4"/>
    <mergeCell ref="B2:B4"/>
    <mergeCell ref="C2:C4"/>
    <mergeCell ref="D2:D4"/>
    <mergeCell ref="E2:G2"/>
    <mergeCell ref="H2:H4"/>
    <mergeCell ref="I2:I4"/>
    <mergeCell ref="J2:J4"/>
    <mergeCell ref="K2:K4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9"/>
  <sheetViews>
    <sheetView tabSelected="1" topLeftCell="A10" workbookViewId="0">
      <selection activeCell="G7" sqref="G7"/>
    </sheetView>
  </sheetViews>
  <sheetFormatPr defaultRowHeight="15" x14ac:dyDescent="0.25"/>
  <cols>
    <col min="1" max="1" width="5.140625" bestFit="1" customWidth="1"/>
    <col min="2" max="2" width="45" bestFit="1" customWidth="1"/>
    <col min="3" max="3" width="7" bestFit="1" customWidth="1"/>
    <col min="4" max="4" width="11.42578125" bestFit="1" customWidth="1"/>
    <col min="5" max="5" width="8.28515625" customWidth="1"/>
    <col min="6" max="6" width="8.5703125" bestFit="1" customWidth="1"/>
    <col min="7" max="7" width="31" customWidth="1"/>
  </cols>
  <sheetData>
    <row r="1" spans="1:8" x14ac:dyDescent="0.25">
      <c r="A1" s="89" t="s">
        <v>161</v>
      </c>
      <c r="B1" s="89"/>
      <c r="C1" s="89"/>
      <c r="D1" s="89"/>
      <c r="E1" s="89"/>
      <c r="F1" s="89"/>
      <c r="G1" s="36"/>
      <c r="H1" s="36"/>
    </row>
    <row r="2" spans="1:8" x14ac:dyDescent="0.25">
      <c r="A2" s="37"/>
      <c r="B2" s="37"/>
      <c r="C2" s="37"/>
      <c r="D2" s="37"/>
      <c r="E2" s="36"/>
      <c r="F2" s="36"/>
      <c r="G2" s="36"/>
      <c r="H2" s="36"/>
    </row>
    <row r="3" spans="1:8" x14ac:dyDescent="0.25">
      <c r="A3" s="38" t="s">
        <v>4</v>
      </c>
      <c r="B3" s="38" t="s">
        <v>124</v>
      </c>
      <c r="C3" s="38" t="s">
        <v>125</v>
      </c>
      <c r="D3" s="38" t="s">
        <v>0</v>
      </c>
      <c r="E3" s="38" t="s">
        <v>89</v>
      </c>
      <c r="F3" s="38" t="s">
        <v>126</v>
      </c>
      <c r="G3" s="39"/>
      <c r="H3" s="39"/>
    </row>
    <row r="4" spans="1:8" x14ac:dyDescent="0.25">
      <c r="A4" s="40">
        <v>1</v>
      </c>
      <c r="B4" s="88" t="s">
        <v>127</v>
      </c>
      <c r="C4" s="88"/>
      <c r="D4" s="88"/>
      <c r="E4" s="88"/>
      <c r="F4" s="88"/>
      <c r="G4" s="36"/>
      <c r="H4" s="36"/>
    </row>
    <row r="5" spans="1:8" x14ac:dyDescent="0.25">
      <c r="A5" s="37">
        <v>1.1000000000000001</v>
      </c>
      <c r="B5" s="37" t="s">
        <v>157</v>
      </c>
      <c r="C5" s="41">
        <v>8</v>
      </c>
      <c r="D5" s="42">
        <v>36</v>
      </c>
      <c r="E5" s="43">
        <f>C5*D5</f>
        <v>288</v>
      </c>
      <c r="F5" s="39" t="s">
        <v>128</v>
      </c>
      <c r="G5" s="36" t="s">
        <v>129</v>
      </c>
      <c r="H5" s="36"/>
    </row>
    <row r="6" spans="1:8" x14ac:dyDescent="0.25">
      <c r="A6" s="37">
        <v>1.2</v>
      </c>
      <c r="B6" s="37" t="s">
        <v>130</v>
      </c>
      <c r="C6" s="41">
        <v>1</v>
      </c>
      <c r="D6" s="42">
        <v>36</v>
      </c>
      <c r="E6" s="43">
        <f>C6*D6</f>
        <v>36</v>
      </c>
      <c r="F6" s="39" t="s">
        <v>131</v>
      </c>
      <c r="G6" s="44">
        <f>E13/E12</f>
        <v>84.077771939043615</v>
      </c>
      <c r="H6" s="36"/>
    </row>
    <row r="7" spans="1:8" x14ac:dyDescent="0.25">
      <c r="A7" s="37">
        <v>1.3</v>
      </c>
      <c r="B7" s="37" t="s">
        <v>132</v>
      </c>
      <c r="C7" s="45">
        <f>(0.6*((0.15*0.15)*3.14))</f>
        <v>4.2390000000000004E-2</v>
      </c>
      <c r="D7" s="42">
        <v>36</v>
      </c>
      <c r="E7" s="43">
        <f t="shared" ref="E7" si="0">C7*D7</f>
        <v>1.5260400000000001</v>
      </c>
      <c r="F7" s="39" t="s">
        <v>133</v>
      </c>
      <c r="G7" s="36"/>
      <c r="H7" s="36"/>
    </row>
    <row r="8" spans="1:8" x14ac:dyDescent="0.25">
      <c r="A8" s="37">
        <v>1.4</v>
      </c>
      <c r="B8" s="36" t="s">
        <v>134</v>
      </c>
      <c r="C8" s="42"/>
      <c r="D8" s="42">
        <v>83.77</v>
      </c>
      <c r="E8" s="43">
        <f t="shared" ref="E8:E13" si="1">D8</f>
        <v>83.77</v>
      </c>
      <c r="F8" s="39" t="s">
        <v>133</v>
      </c>
      <c r="G8" s="36"/>
      <c r="H8" s="36"/>
    </row>
    <row r="9" spans="1:8" x14ac:dyDescent="0.25">
      <c r="A9" s="37">
        <v>1.5</v>
      </c>
      <c r="B9" s="36" t="s">
        <v>135</v>
      </c>
      <c r="C9" s="41"/>
      <c r="D9" s="42">
        <v>43.04</v>
      </c>
      <c r="E9" s="43">
        <f t="shared" si="1"/>
        <v>43.04</v>
      </c>
      <c r="F9" s="39" t="s">
        <v>133</v>
      </c>
      <c r="G9" s="36"/>
      <c r="H9" s="36"/>
    </row>
    <row r="10" spans="1:8" x14ac:dyDescent="0.25">
      <c r="A10" s="37">
        <v>1.6</v>
      </c>
      <c r="B10" s="36" t="s">
        <v>136</v>
      </c>
      <c r="C10" s="46"/>
      <c r="D10" s="47">
        <v>2.66</v>
      </c>
      <c r="E10" s="43">
        <f t="shared" si="1"/>
        <v>2.66</v>
      </c>
      <c r="F10" s="39" t="s">
        <v>133</v>
      </c>
      <c r="G10" s="36"/>
      <c r="H10" s="36"/>
    </row>
    <row r="11" spans="1:8" x14ac:dyDescent="0.25">
      <c r="A11" s="37">
        <v>1.7</v>
      </c>
      <c r="B11" s="36" t="s">
        <v>137</v>
      </c>
      <c r="C11" s="46"/>
      <c r="D11" s="47">
        <v>123.96</v>
      </c>
      <c r="E11" s="43">
        <f t="shared" si="1"/>
        <v>123.96</v>
      </c>
      <c r="F11" s="39" t="s">
        <v>133</v>
      </c>
      <c r="G11" s="36"/>
      <c r="H11" s="36"/>
    </row>
    <row r="12" spans="1:8" x14ac:dyDescent="0.25">
      <c r="A12" s="37">
        <v>1.8</v>
      </c>
      <c r="B12" s="37" t="s">
        <v>138</v>
      </c>
      <c r="C12" s="46"/>
      <c r="D12" s="47">
        <v>38.06</v>
      </c>
      <c r="E12" s="43">
        <f t="shared" si="1"/>
        <v>38.06</v>
      </c>
      <c r="F12" s="39" t="s">
        <v>133</v>
      </c>
      <c r="G12" s="36"/>
      <c r="H12" s="36"/>
    </row>
    <row r="13" spans="1:8" x14ac:dyDescent="0.25">
      <c r="A13" s="37">
        <v>1.9</v>
      </c>
      <c r="B13" s="36" t="s">
        <v>139</v>
      </c>
      <c r="C13" s="46"/>
      <c r="D13" s="47">
        <v>3200</v>
      </c>
      <c r="E13" s="43">
        <f t="shared" si="1"/>
        <v>3200</v>
      </c>
      <c r="F13" s="39" t="s">
        <v>140</v>
      </c>
      <c r="G13" s="36"/>
      <c r="H13" s="36"/>
    </row>
    <row r="14" spans="1:8" x14ac:dyDescent="0.25">
      <c r="A14" s="40">
        <v>3</v>
      </c>
      <c r="B14" s="88" t="s">
        <v>142</v>
      </c>
      <c r="C14" s="88"/>
      <c r="D14" s="88"/>
      <c r="E14" s="88"/>
      <c r="F14" s="88"/>
      <c r="G14" s="36"/>
      <c r="H14" s="36"/>
    </row>
    <row r="15" spans="1:8" x14ac:dyDescent="0.25">
      <c r="A15" s="36">
        <v>3.1</v>
      </c>
      <c r="B15" s="36" t="s">
        <v>143</v>
      </c>
      <c r="C15" s="36"/>
      <c r="D15" s="36">
        <f>6.53*1</f>
        <v>6.53</v>
      </c>
      <c r="E15" s="39">
        <f>D15</f>
        <v>6.53</v>
      </c>
      <c r="F15" s="39" t="s">
        <v>133</v>
      </c>
      <c r="G15" s="36" t="s">
        <v>129</v>
      </c>
      <c r="H15" s="36"/>
    </row>
    <row r="16" spans="1:8" x14ac:dyDescent="0.25">
      <c r="A16" s="36"/>
      <c r="B16" s="36" t="s">
        <v>144</v>
      </c>
      <c r="C16" s="36"/>
      <c r="D16" s="36">
        <f>D15-2.97-(6.53*0.05)</f>
        <v>3.2335000000000003</v>
      </c>
      <c r="E16" s="39">
        <f t="shared" ref="E16:E20" si="2">D16</f>
        <v>3.2335000000000003</v>
      </c>
      <c r="F16" s="39" t="s">
        <v>133</v>
      </c>
      <c r="G16" s="44">
        <f>E20/E19</f>
        <v>66.329966329966325</v>
      </c>
      <c r="H16" s="36"/>
    </row>
    <row r="17" spans="1:8" x14ac:dyDescent="0.25">
      <c r="A17" s="36">
        <v>3.2</v>
      </c>
      <c r="B17" s="36" t="s">
        <v>145</v>
      </c>
      <c r="C17" s="36"/>
      <c r="D17" s="36">
        <f>36.04</f>
        <v>36.04</v>
      </c>
      <c r="E17" s="39">
        <f t="shared" si="2"/>
        <v>36.04</v>
      </c>
      <c r="F17" s="39" t="s">
        <v>141</v>
      </c>
      <c r="G17" s="36"/>
      <c r="H17" s="36"/>
    </row>
    <row r="18" spans="1:8" x14ac:dyDescent="0.25">
      <c r="A18" s="36">
        <v>3.3</v>
      </c>
      <c r="B18" s="36" t="s">
        <v>146</v>
      </c>
      <c r="C18" s="36"/>
      <c r="D18" s="36">
        <f>6.53*0.05</f>
        <v>0.32650000000000001</v>
      </c>
      <c r="E18" s="39">
        <f t="shared" si="2"/>
        <v>0.32650000000000001</v>
      </c>
      <c r="F18" s="39" t="s">
        <v>133</v>
      </c>
      <c r="G18" s="36"/>
      <c r="H18" s="36"/>
    </row>
    <row r="19" spans="1:8" x14ac:dyDescent="0.25">
      <c r="A19" s="36">
        <v>3.4</v>
      </c>
      <c r="B19" s="36" t="s">
        <v>147</v>
      </c>
      <c r="C19" s="36"/>
      <c r="D19" s="36">
        <v>2.97</v>
      </c>
      <c r="E19" s="39">
        <f t="shared" si="2"/>
        <v>2.97</v>
      </c>
      <c r="F19" s="39" t="s">
        <v>133</v>
      </c>
      <c r="G19" s="36"/>
      <c r="H19" s="36"/>
    </row>
    <row r="20" spans="1:8" x14ac:dyDescent="0.25">
      <c r="A20" s="36">
        <v>3.5</v>
      </c>
      <c r="B20" s="36" t="s">
        <v>148</v>
      </c>
      <c r="C20" s="36"/>
      <c r="D20" s="36">
        <v>197</v>
      </c>
      <c r="E20" s="39">
        <f t="shared" si="2"/>
        <v>197</v>
      </c>
      <c r="F20" s="39" t="s">
        <v>140</v>
      </c>
      <c r="G20" s="36"/>
      <c r="H20" s="36"/>
    </row>
    <row r="21" spans="1:8" x14ac:dyDescent="0.25">
      <c r="A21" s="40">
        <v>4</v>
      </c>
      <c r="B21" s="88" t="s">
        <v>149</v>
      </c>
      <c r="C21" s="88"/>
      <c r="D21" s="88"/>
      <c r="E21" s="88"/>
      <c r="F21" s="88"/>
      <c r="G21" s="36"/>
      <c r="H21" s="36"/>
    </row>
    <row r="22" spans="1:8" x14ac:dyDescent="0.25">
      <c r="A22" s="36">
        <v>4.0999999999999996</v>
      </c>
      <c r="B22" s="36" t="s">
        <v>145</v>
      </c>
      <c r="C22" s="36"/>
      <c r="D22" s="36">
        <f>10.34+30.14+34.6</f>
        <v>75.080000000000013</v>
      </c>
      <c r="E22" s="39">
        <f>D22</f>
        <v>75.080000000000013</v>
      </c>
      <c r="F22" s="39" t="s">
        <v>141</v>
      </c>
      <c r="G22" s="36" t="s">
        <v>129</v>
      </c>
      <c r="H22" s="36"/>
    </row>
    <row r="23" spans="1:8" x14ac:dyDescent="0.25">
      <c r="A23" s="36">
        <v>4.2</v>
      </c>
      <c r="B23" s="36" t="s">
        <v>147</v>
      </c>
      <c r="C23" s="36"/>
      <c r="D23" s="36">
        <f>1.8+1.9+0.7</f>
        <v>4.4000000000000004</v>
      </c>
      <c r="E23" s="39">
        <f t="shared" ref="E23:E24" si="3">D23</f>
        <v>4.4000000000000004</v>
      </c>
      <c r="F23" s="39" t="s">
        <v>133</v>
      </c>
      <c r="G23" s="44">
        <f>E24/E23</f>
        <v>273.63636363636363</v>
      </c>
      <c r="H23" s="36"/>
    </row>
    <row r="24" spans="1:8" x14ac:dyDescent="0.25">
      <c r="A24" s="36">
        <v>4.3</v>
      </c>
      <c r="B24" s="36" t="s">
        <v>148</v>
      </c>
      <c r="C24" s="36"/>
      <c r="D24" s="36">
        <f>816+101+287</f>
        <v>1204</v>
      </c>
      <c r="E24" s="39">
        <f t="shared" si="3"/>
        <v>1204</v>
      </c>
      <c r="F24" s="39" t="s">
        <v>140</v>
      </c>
      <c r="G24" s="36"/>
      <c r="H24" s="36"/>
    </row>
    <row r="25" spans="1:8" x14ac:dyDescent="0.25">
      <c r="A25" s="40">
        <v>5</v>
      </c>
      <c r="B25" s="88" t="s">
        <v>158</v>
      </c>
      <c r="C25" s="88"/>
      <c r="D25" s="88"/>
      <c r="E25" s="88"/>
      <c r="F25" s="88"/>
      <c r="G25" s="36"/>
      <c r="H25" s="36"/>
    </row>
    <row r="26" spans="1:8" x14ac:dyDescent="0.25">
      <c r="A26" s="36">
        <v>5.0999999999999996</v>
      </c>
      <c r="B26" s="36" t="s">
        <v>145</v>
      </c>
      <c r="C26" s="36"/>
      <c r="D26" s="36">
        <v>36.04</v>
      </c>
      <c r="E26" s="39">
        <f>D26</f>
        <v>36.04</v>
      </c>
      <c r="F26" s="39" t="s">
        <v>141</v>
      </c>
      <c r="G26" s="36" t="s">
        <v>129</v>
      </c>
      <c r="H26" s="36"/>
    </row>
    <row r="27" spans="1:8" x14ac:dyDescent="0.25">
      <c r="A27" s="36">
        <v>5.2</v>
      </c>
      <c r="B27" s="36" t="s">
        <v>147</v>
      </c>
      <c r="C27" s="36"/>
      <c r="D27" s="36">
        <v>2.97</v>
      </c>
      <c r="E27" s="39">
        <f t="shared" ref="E27:E28" si="4">D27</f>
        <v>2.97</v>
      </c>
      <c r="F27" s="39" t="s">
        <v>133</v>
      </c>
      <c r="G27" s="44">
        <f>E28/E27</f>
        <v>66.329966329966325</v>
      </c>
      <c r="H27" s="36"/>
    </row>
    <row r="28" spans="1:8" x14ac:dyDescent="0.25">
      <c r="A28" s="36">
        <v>5.3</v>
      </c>
      <c r="B28" s="36" t="s">
        <v>148</v>
      </c>
      <c r="C28" s="36"/>
      <c r="D28" s="36">
        <v>197</v>
      </c>
      <c r="E28" s="39">
        <f t="shared" si="4"/>
        <v>197</v>
      </c>
      <c r="F28" s="39" t="s">
        <v>140</v>
      </c>
      <c r="G28" s="36"/>
      <c r="H28" s="36"/>
    </row>
    <row r="29" spans="1:8" x14ac:dyDescent="0.25">
      <c r="A29" s="40">
        <v>7</v>
      </c>
      <c r="B29" s="88" t="s">
        <v>153</v>
      </c>
      <c r="C29" s="88"/>
      <c r="D29" s="88"/>
      <c r="E29" s="88"/>
      <c r="F29" s="88"/>
      <c r="G29" s="36"/>
      <c r="H29" s="36"/>
    </row>
    <row r="30" spans="1:8" x14ac:dyDescent="0.25">
      <c r="A30" s="36">
        <v>7.1</v>
      </c>
      <c r="B30" s="36" t="s">
        <v>145</v>
      </c>
      <c r="C30" s="36"/>
      <c r="D30" s="36">
        <f>36.04</f>
        <v>36.04</v>
      </c>
      <c r="E30" s="39">
        <f>D30</f>
        <v>36.04</v>
      </c>
      <c r="F30" s="39" t="s">
        <v>141</v>
      </c>
      <c r="G30" s="36" t="s">
        <v>129</v>
      </c>
      <c r="H30" s="36"/>
    </row>
    <row r="31" spans="1:8" x14ac:dyDescent="0.25">
      <c r="A31" s="36">
        <v>7.1</v>
      </c>
      <c r="B31" s="36" t="s">
        <v>147</v>
      </c>
      <c r="C31" s="36"/>
      <c r="D31" s="36">
        <v>2.95</v>
      </c>
      <c r="E31" s="39">
        <f t="shared" ref="E31:E32" si="5">D31</f>
        <v>2.95</v>
      </c>
      <c r="F31" s="39" t="s">
        <v>133</v>
      </c>
      <c r="G31" s="44">
        <f>E32/E31</f>
        <v>66.779661016949149</v>
      </c>
      <c r="H31" s="36"/>
    </row>
    <row r="32" spans="1:8" x14ac:dyDescent="0.25">
      <c r="A32" s="36">
        <v>7.1</v>
      </c>
      <c r="B32" s="36" t="s">
        <v>148</v>
      </c>
      <c r="C32" s="36"/>
      <c r="D32" s="36">
        <v>197</v>
      </c>
      <c r="E32" s="39">
        <f t="shared" si="5"/>
        <v>197</v>
      </c>
      <c r="F32" s="39" t="s">
        <v>140</v>
      </c>
      <c r="G32" s="36"/>
      <c r="H32" s="36"/>
    </row>
    <row r="33" spans="1:8" x14ac:dyDescent="0.25">
      <c r="A33" s="36"/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36"/>
      <c r="C34" s="36"/>
      <c r="D34" s="36"/>
      <c r="E34" s="36"/>
      <c r="F34" s="36"/>
      <c r="G34" s="36"/>
      <c r="H34" s="36"/>
    </row>
    <row r="35" spans="1:8" x14ac:dyDescent="0.25">
      <c r="A35" s="36"/>
      <c r="B35" s="36" t="s">
        <v>154</v>
      </c>
      <c r="C35" s="36">
        <f>D17+D26+D30</f>
        <v>108.12</v>
      </c>
      <c r="D35" s="36"/>
      <c r="E35" s="36"/>
      <c r="F35" s="36"/>
      <c r="G35" s="36"/>
      <c r="H35" s="36"/>
    </row>
    <row r="36" spans="1:8" x14ac:dyDescent="0.25">
      <c r="A36" s="36"/>
      <c r="B36" s="36" t="s">
        <v>155</v>
      </c>
      <c r="C36" s="36">
        <f>E31+E27+E19</f>
        <v>8.89</v>
      </c>
      <c r="D36" s="36"/>
      <c r="E36" s="36"/>
      <c r="F36" s="36"/>
      <c r="G36" s="36"/>
      <c r="H36" s="36"/>
    </row>
    <row r="37" spans="1:8" x14ac:dyDescent="0.25">
      <c r="A37" s="36"/>
      <c r="B37" s="36" t="s">
        <v>156</v>
      </c>
      <c r="C37" s="36">
        <f>E32+E28+E20</f>
        <v>591</v>
      </c>
      <c r="D37" s="36"/>
      <c r="E37" s="36"/>
      <c r="F37" s="36"/>
      <c r="G37" s="36"/>
      <c r="H37" s="36"/>
    </row>
    <row r="38" spans="1:8" x14ac:dyDescent="0.25">
      <c r="A38" s="36"/>
      <c r="B38" s="36"/>
      <c r="C38" s="36"/>
      <c r="D38" s="36"/>
      <c r="E38" s="36"/>
      <c r="F38" s="36"/>
      <c r="G38" s="36"/>
      <c r="H38" s="36"/>
    </row>
    <row r="39" spans="1:8" x14ac:dyDescent="0.25">
      <c r="C39">
        <f>C37/C36</f>
        <v>66.479190101237336</v>
      </c>
    </row>
  </sheetData>
  <mergeCells count="6">
    <mergeCell ref="B29:F29"/>
    <mergeCell ref="A1:F1"/>
    <mergeCell ref="B4:F4"/>
    <mergeCell ref="B14:F14"/>
    <mergeCell ref="B21:F21"/>
    <mergeCell ref="B25:F2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5"/>
  <sheetViews>
    <sheetView zoomScale="90" zoomScaleNormal="90" workbookViewId="0">
      <selection activeCell="K24" sqref="K24"/>
    </sheetView>
  </sheetViews>
  <sheetFormatPr defaultRowHeight="12.75" x14ac:dyDescent="0.25"/>
  <cols>
    <col min="1" max="1" width="9.28515625" style="15" customWidth="1"/>
    <col min="2" max="2" width="10" style="15" customWidth="1"/>
    <col min="3" max="3" width="11.5703125" style="15" customWidth="1"/>
    <col min="4" max="4" width="18.140625" style="15" customWidth="1"/>
    <col min="5" max="5" width="16.5703125" style="15" customWidth="1"/>
    <col min="6" max="6" width="13.7109375" style="15" customWidth="1"/>
    <col min="7" max="7" width="14.28515625" style="15" customWidth="1"/>
    <col min="8" max="8" width="15.140625" style="15" customWidth="1"/>
    <col min="9" max="9" width="13.5703125" style="15" customWidth="1"/>
    <col min="10" max="10" width="12.5703125" style="15" customWidth="1"/>
    <col min="11" max="11" width="31.7109375" style="15" customWidth="1"/>
    <col min="12" max="16384" width="9.140625" style="15"/>
  </cols>
  <sheetData>
    <row r="1" spans="1:10" ht="20.25" customHeight="1" x14ac:dyDescent="0.25">
      <c r="A1" s="69" t="s">
        <v>19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51" x14ac:dyDescent="0.25">
      <c r="A2" s="27" t="s">
        <v>4</v>
      </c>
      <c r="B2" s="27" t="s">
        <v>6</v>
      </c>
      <c r="C2" s="27" t="s">
        <v>8</v>
      </c>
      <c r="D2" s="27" t="s">
        <v>5</v>
      </c>
      <c r="E2" s="27" t="s">
        <v>11</v>
      </c>
      <c r="F2" s="27" t="s">
        <v>16</v>
      </c>
      <c r="G2" s="27" t="s">
        <v>15</v>
      </c>
      <c r="H2" s="27" t="s">
        <v>18</v>
      </c>
      <c r="I2" s="28" t="s">
        <v>60</v>
      </c>
      <c r="J2" s="28" t="s">
        <v>61</v>
      </c>
    </row>
    <row r="3" spans="1:10" x14ac:dyDescent="0.25">
      <c r="A3" s="6" t="s">
        <v>24</v>
      </c>
      <c r="B3" s="11">
        <v>0.8</v>
      </c>
      <c r="C3" s="11">
        <v>0.8</v>
      </c>
      <c r="D3" s="29">
        <f t="shared" ref="D3:D14" si="0">B3*C3</f>
        <v>0.64000000000000012</v>
      </c>
      <c r="E3" s="11">
        <v>0.8</v>
      </c>
      <c r="F3" s="30">
        <f t="shared" ref="F3:F14" si="1">(E3*D3)</f>
        <v>0.51200000000000012</v>
      </c>
      <c r="G3" s="30">
        <f t="shared" ref="G3:G14" si="2">((B3+C3)*2)*E3</f>
        <v>2.5600000000000005</v>
      </c>
      <c r="H3" s="30">
        <f t="shared" ref="H3:H28" si="3">((B3)*(C3))*0.05</f>
        <v>3.2000000000000008E-2</v>
      </c>
      <c r="I3" s="6">
        <f t="shared" ref="I3:I14" si="4">(C3+0.5)*(B3+0.5)*(E3+0.1)</f>
        <v>1.5210000000000001</v>
      </c>
      <c r="J3" s="30">
        <f t="shared" ref="J3:J14" si="5">I3-H3-F3</f>
        <v>0.97699999999999998</v>
      </c>
    </row>
    <row r="4" spans="1:10" x14ac:dyDescent="0.25">
      <c r="A4" s="6" t="s">
        <v>25</v>
      </c>
      <c r="B4" s="11">
        <v>0.8</v>
      </c>
      <c r="C4" s="11">
        <v>0.8</v>
      </c>
      <c r="D4" s="8">
        <f t="shared" si="0"/>
        <v>0.64000000000000012</v>
      </c>
      <c r="E4" s="11">
        <v>0.8</v>
      </c>
      <c r="F4" s="17">
        <f t="shared" si="1"/>
        <v>0.51200000000000012</v>
      </c>
      <c r="G4" s="17">
        <f t="shared" si="2"/>
        <v>2.5600000000000005</v>
      </c>
      <c r="H4" s="30">
        <f t="shared" si="3"/>
        <v>3.2000000000000008E-2</v>
      </c>
      <c r="I4" s="16">
        <f t="shared" si="4"/>
        <v>1.5210000000000001</v>
      </c>
      <c r="J4" s="17">
        <f t="shared" si="5"/>
        <v>0.97699999999999998</v>
      </c>
    </row>
    <row r="5" spans="1:10" x14ac:dyDescent="0.25">
      <c r="A5" s="6" t="s">
        <v>26</v>
      </c>
      <c r="B5" s="11">
        <v>0.8</v>
      </c>
      <c r="C5" s="11">
        <v>0.8</v>
      </c>
      <c r="D5" s="8">
        <f t="shared" si="0"/>
        <v>0.64000000000000012</v>
      </c>
      <c r="E5" s="11">
        <v>0.8</v>
      </c>
      <c r="F5" s="17">
        <f t="shared" si="1"/>
        <v>0.51200000000000012</v>
      </c>
      <c r="G5" s="17">
        <f t="shared" si="2"/>
        <v>2.5600000000000005</v>
      </c>
      <c r="H5" s="30">
        <f t="shared" si="3"/>
        <v>3.2000000000000008E-2</v>
      </c>
      <c r="I5" s="16">
        <f t="shared" si="4"/>
        <v>1.5210000000000001</v>
      </c>
      <c r="J5" s="17">
        <f t="shared" si="5"/>
        <v>0.97699999999999998</v>
      </c>
    </row>
    <row r="6" spans="1:10" x14ac:dyDescent="0.25">
      <c r="A6" s="6" t="s">
        <v>27</v>
      </c>
      <c r="B6" s="11">
        <v>0.8</v>
      </c>
      <c r="C6" s="11">
        <v>0.8</v>
      </c>
      <c r="D6" s="8">
        <f t="shared" si="0"/>
        <v>0.64000000000000012</v>
      </c>
      <c r="E6" s="11">
        <v>0.8</v>
      </c>
      <c r="F6" s="17">
        <f t="shared" si="1"/>
        <v>0.51200000000000012</v>
      </c>
      <c r="G6" s="17">
        <f t="shared" si="2"/>
        <v>2.5600000000000005</v>
      </c>
      <c r="H6" s="30">
        <f t="shared" si="3"/>
        <v>3.2000000000000008E-2</v>
      </c>
      <c r="I6" s="16">
        <f t="shared" si="4"/>
        <v>1.5210000000000001</v>
      </c>
      <c r="J6" s="17">
        <f t="shared" si="5"/>
        <v>0.97699999999999998</v>
      </c>
    </row>
    <row r="7" spans="1:10" x14ac:dyDescent="0.25">
      <c r="A7" s="6" t="s">
        <v>28</v>
      </c>
      <c r="B7" s="11">
        <v>0.8</v>
      </c>
      <c r="C7" s="11">
        <v>0.8</v>
      </c>
      <c r="D7" s="8">
        <f t="shared" si="0"/>
        <v>0.64000000000000012</v>
      </c>
      <c r="E7" s="11">
        <v>0.8</v>
      </c>
      <c r="F7" s="17">
        <f t="shared" si="1"/>
        <v>0.51200000000000012</v>
      </c>
      <c r="G7" s="17">
        <f t="shared" si="2"/>
        <v>2.5600000000000005</v>
      </c>
      <c r="H7" s="30">
        <f t="shared" si="3"/>
        <v>3.2000000000000008E-2</v>
      </c>
      <c r="I7" s="16">
        <f t="shared" si="4"/>
        <v>1.5210000000000001</v>
      </c>
      <c r="J7" s="17">
        <f t="shared" si="5"/>
        <v>0.97699999999999998</v>
      </c>
    </row>
    <row r="8" spans="1:10" x14ac:dyDescent="0.25">
      <c r="A8" s="6" t="s">
        <v>29</v>
      </c>
      <c r="B8" s="11">
        <v>0.8</v>
      </c>
      <c r="C8" s="11">
        <v>0.8</v>
      </c>
      <c r="D8" s="8">
        <f t="shared" si="0"/>
        <v>0.64000000000000012</v>
      </c>
      <c r="E8" s="11">
        <v>0.8</v>
      </c>
      <c r="F8" s="17">
        <f t="shared" si="1"/>
        <v>0.51200000000000012</v>
      </c>
      <c r="G8" s="17">
        <f t="shared" si="2"/>
        <v>2.5600000000000005</v>
      </c>
      <c r="H8" s="30">
        <f t="shared" si="3"/>
        <v>3.2000000000000008E-2</v>
      </c>
      <c r="I8" s="16">
        <f t="shared" si="4"/>
        <v>1.5210000000000001</v>
      </c>
      <c r="J8" s="17">
        <f t="shared" si="5"/>
        <v>0.97699999999999998</v>
      </c>
    </row>
    <row r="9" spans="1:10" x14ac:dyDescent="0.25">
      <c r="A9" s="6" t="s">
        <v>30</v>
      </c>
      <c r="B9" s="11">
        <v>0.8</v>
      </c>
      <c r="C9" s="11">
        <v>0.8</v>
      </c>
      <c r="D9" s="8">
        <f t="shared" si="0"/>
        <v>0.64000000000000012</v>
      </c>
      <c r="E9" s="11">
        <v>0.8</v>
      </c>
      <c r="F9" s="17">
        <f t="shared" si="1"/>
        <v>0.51200000000000012</v>
      </c>
      <c r="G9" s="17">
        <f t="shared" si="2"/>
        <v>2.5600000000000005</v>
      </c>
      <c r="H9" s="30">
        <f t="shared" si="3"/>
        <v>3.2000000000000008E-2</v>
      </c>
      <c r="I9" s="16">
        <f t="shared" si="4"/>
        <v>1.5210000000000001</v>
      </c>
      <c r="J9" s="17">
        <f t="shared" si="5"/>
        <v>0.97699999999999998</v>
      </c>
    </row>
    <row r="10" spans="1:10" x14ac:dyDescent="0.25">
      <c r="A10" s="6" t="s">
        <v>31</v>
      </c>
      <c r="B10" s="11">
        <v>0.8</v>
      </c>
      <c r="C10" s="11">
        <v>0.8</v>
      </c>
      <c r="D10" s="8">
        <f t="shared" si="0"/>
        <v>0.64000000000000012</v>
      </c>
      <c r="E10" s="11">
        <v>0.8</v>
      </c>
      <c r="F10" s="17">
        <f t="shared" si="1"/>
        <v>0.51200000000000012</v>
      </c>
      <c r="G10" s="17">
        <f t="shared" si="2"/>
        <v>2.5600000000000005</v>
      </c>
      <c r="H10" s="30">
        <f t="shared" si="3"/>
        <v>3.2000000000000008E-2</v>
      </c>
      <c r="I10" s="16">
        <f t="shared" si="4"/>
        <v>1.5210000000000001</v>
      </c>
      <c r="J10" s="17">
        <f t="shared" si="5"/>
        <v>0.97699999999999998</v>
      </c>
    </row>
    <row r="11" spans="1:10" x14ac:dyDescent="0.25">
      <c r="A11" s="6" t="s">
        <v>32</v>
      </c>
      <c r="B11" s="11">
        <v>0.8</v>
      </c>
      <c r="C11" s="11">
        <v>0.8</v>
      </c>
      <c r="D11" s="8">
        <f t="shared" si="0"/>
        <v>0.64000000000000012</v>
      </c>
      <c r="E11" s="11">
        <v>0.8</v>
      </c>
      <c r="F11" s="17">
        <f t="shared" si="1"/>
        <v>0.51200000000000012</v>
      </c>
      <c r="G11" s="17">
        <f t="shared" si="2"/>
        <v>2.5600000000000005</v>
      </c>
      <c r="H11" s="30">
        <f t="shared" si="3"/>
        <v>3.2000000000000008E-2</v>
      </c>
      <c r="I11" s="16">
        <f t="shared" si="4"/>
        <v>1.5210000000000001</v>
      </c>
      <c r="J11" s="17">
        <f t="shared" si="5"/>
        <v>0.97699999999999998</v>
      </c>
    </row>
    <row r="12" spans="1:10" x14ac:dyDescent="0.25">
      <c r="A12" s="6" t="s">
        <v>33</v>
      </c>
      <c r="B12" s="11">
        <v>0.8</v>
      </c>
      <c r="C12" s="11">
        <v>0.8</v>
      </c>
      <c r="D12" s="8">
        <f t="shared" si="0"/>
        <v>0.64000000000000012</v>
      </c>
      <c r="E12" s="11">
        <v>0.8</v>
      </c>
      <c r="F12" s="17">
        <f t="shared" si="1"/>
        <v>0.51200000000000012</v>
      </c>
      <c r="G12" s="17">
        <f t="shared" si="2"/>
        <v>2.5600000000000005</v>
      </c>
      <c r="H12" s="30">
        <f t="shared" si="3"/>
        <v>3.2000000000000008E-2</v>
      </c>
      <c r="I12" s="16">
        <f t="shared" si="4"/>
        <v>1.5210000000000001</v>
      </c>
      <c r="J12" s="17">
        <f t="shared" si="5"/>
        <v>0.97699999999999998</v>
      </c>
    </row>
    <row r="13" spans="1:10" x14ac:dyDescent="0.25">
      <c r="A13" s="6" t="s">
        <v>50</v>
      </c>
      <c r="B13" s="11">
        <v>0.8</v>
      </c>
      <c r="C13" s="11">
        <v>0.8</v>
      </c>
      <c r="D13" s="8">
        <f t="shared" si="0"/>
        <v>0.64000000000000012</v>
      </c>
      <c r="E13" s="11">
        <v>0.8</v>
      </c>
      <c r="F13" s="17">
        <f t="shared" si="1"/>
        <v>0.51200000000000012</v>
      </c>
      <c r="G13" s="17">
        <f t="shared" si="2"/>
        <v>2.5600000000000005</v>
      </c>
      <c r="H13" s="30">
        <f t="shared" si="3"/>
        <v>3.2000000000000008E-2</v>
      </c>
      <c r="I13" s="16">
        <f t="shared" si="4"/>
        <v>1.5210000000000001</v>
      </c>
      <c r="J13" s="17">
        <f t="shared" si="5"/>
        <v>0.97699999999999998</v>
      </c>
    </row>
    <row r="14" spans="1:10" x14ac:dyDescent="0.25">
      <c r="A14" s="6" t="s">
        <v>51</v>
      </c>
      <c r="B14" s="11">
        <v>0.8</v>
      </c>
      <c r="C14" s="11">
        <v>0.8</v>
      </c>
      <c r="D14" s="8">
        <f t="shared" si="0"/>
        <v>0.64000000000000012</v>
      </c>
      <c r="E14" s="11">
        <v>0.8</v>
      </c>
      <c r="F14" s="17">
        <f t="shared" si="1"/>
        <v>0.51200000000000012</v>
      </c>
      <c r="G14" s="17">
        <f t="shared" si="2"/>
        <v>2.5600000000000005</v>
      </c>
      <c r="H14" s="30">
        <f t="shared" si="3"/>
        <v>3.2000000000000008E-2</v>
      </c>
      <c r="I14" s="16">
        <f t="shared" si="4"/>
        <v>1.5210000000000001</v>
      </c>
      <c r="J14" s="17">
        <f t="shared" si="5"/>
        <v>0.97699999999999998</v>
      </c>
    </row>
    <row r="15" spans="1:10" x14ac:dyDescent="0.25">
      <c r="A15" s="6" t="s">
        <v>52</v>
      </c>
      <c r="B15" s="11">
        <v>0.8</v>
      </c>
      <c r="C15" s="11">
        <v>0.8</v>
      </c>
      <c r="D15" s="8">
        <f t="shared" ref="D15:D26" si="6">B15*C15</f>
        <v>0.64000000000000012</v>
      </c>
      <c r="E15" s="11">
        <v>0.8</v>
      </c>
      <c r="F15" s="17">
        <f t="shared" ref="F15:F26" si="7">(E15*D15)</f>
        <v>0.51200000000000012</v>
      </c>
      <c r="G15" s="17">
        <f t="shared" ref="G15:G26" si="8">((B15+C15)*2)*E15</f>
        <v>2.5600000000000005</v>
      </c>
      <c r="H15" s="30">
        <f t="shared" si="3"/>
        <v>3.2000000000000008E-2</v>
      </c>
      <c r="I15" s="16">
        <f t="shared" ref="I15:I26" si="9">(C15+0.5)*(B15+0.5)*(E15+0.1)</f>
        <v>1.5210000000000001</v>
      </c>
      <c r="J15" s="17">
        <f t="shared" ref="J15:J26" si="10">I15-H15-F15</f>
        <v>0.97699999999999998</v>
      </c>
    </row>
    <row r="16" spans="1:10" x14ac:dyDescent="0.25">
      <c r="A16" s="6" t="s">
        <v>53</v>
      </c>
      <c r="B16" s="11">
        <v>0.8</v>
      </c>
      <c r="C16" s="11">
        <v>0.8</v>
      </c>
      <c r="D16" s="8">
        <f t="shared" si="6"/>
        <v>0.64000000000000012</v>
      </c>
      <c r="E16" s="11">
        <v>0.8</v>
      </c>
      <c r="F16" s="17">
        <f t="shared" si="7"/>
        <v>0.51200000000000012</v>
      </c>
      <c r="G16" s="17">
        <f t="shared" si="8"/>
        <v>2.5600000000000005</v>
      </c>
      <c r="H16" s="30">
        <f t="shared" si="3"/>
        <v>3.2000000000000008E-2</v>
      </c>
      <c r="I16" s="16">
        <f t="shared" si="9"/>
        <v>1.5210000000000001</v>
      </c>
      <c r="J16" s="17">
        <f t="shared" si="10"/>
        <v>0.97699999999999998</v>
      </c>
    </row>
    <row r="17" spans="1:11" x14ac:dyDescent="0.25">
      <c r="A17" s="6" t="s">
        <v>54</v>
      </c>
      <c r="B17" s="11">
        <v>0.8</v>
      </c>
      <c r="C17" s="11">
        <v>4.75</v>
      </c>
      <c r="D17" s="8">
        <f t="shared" si="6"/>
        <v>3.8000000000000003</v>
      </c>
      <c r="E17" s="11">
        <v>0.7</v>
      </c>
      <c r="F17" s="17">
        <f t="shared" si="7"/>
        <v>2.66</v>
      </c>
      <c r="G17" s="17">
        <f t="shared" si="8"/>
        <v>7.77</v>
      </c>
      <c r="H17" s="30">
        <f t="shared" si="3"/>
        <v>0.19000000000000003</v>
      </c>
      <c r="I17" s="16">
        <f t="shared" si="9"/>
        <v>5.46</v>
      </c>
      <c r="J17" s="17">
        <f t="shared" si="10"/>
        <v>2.6099999999999994</v>
      </c>
    </row>
    <row r="18" spans="1:11" x14ac:dyDescent="0.25">
      <c r="A18" s="6" t="s">
        <v>55</v>
      </c>
      <c r="B18" s="11">
        <v>0.8</v>
      </c>
      <c r="C18" s="11">
        <v>4.75</v>
      </c>
      <c r="D18" s="8">
        <f t="shared" si="6"/>
        <v>3.8000000000000003</v>
      </c>
      <c r="E18" s="11">
        <v>0.7</v>
      </c>
      <c r="F18" s="17">
        <f t="shared" si="7"/>
        <v>2.66</v>
      </c>
      <c r="G18" s="17">
        <f t="shared" si="8"/>
        <v>7.77</v>
      </c>
      <c r="H18" s="30">
        <f t="shared" si="3"/>
        <v>0.19000000000000003</v>
      </c>
      <c r="I18" s="16">
        <f t="shared" si="9"/>
        <v>5.46</v>
      </c>
      <c r="J18" s="17">
        <f t="shared" si="10"/>
        <v>2.6099999999999994</v>
      </c>
    </row>
    <row r="19" spans="1:11" x14ac:dyDescent="0.25">
      <c r="A19" s="6" t="s">
        <v>92</v>
      </c>
      <c r="B19" s="11">
        <v>0.8</v>
      </c>
      <c r="C19" s="11">
        <v>4.75</v>
      </c>
      <c r="D19" s="8">
        <f t="shared" si="6"/>
        <v>3.8000000000000003</v>
      </c>
      <c r="E19" s="11">
        <v>0.7</v>
      </c>
      <c r="F19" s="17">
        <f t="shared" si="7"/>
        <v>2.66</v>
      </c>
      <c r="G19" s="17">
        <f t="shared" si="8"/>
        <v>7.77</v>
      </c>
      <c r="H19" s="30">
        <f t="shared" si="3"/>
        <v>0.19000000000000003</v>
      </c>
      <c r="I19" s="16">
        <f t="shared" si="9"/>
        <v>5.46</v>
      </c>
      <c r="J19" s="17">
        <f t="shared" si="10"/>
        <v>2.6099999999999994</v>
      </c>
    </row>
    <row r="20" spans="1:11" x14ac:dyDescent="0.25">
      <c r="A20" s="6" t="s">
        <v>93</v>
      </c>
      <c r="B20" s="11">
        <v>0.8</v>
      </c>
      <c r="C20" s="11">
        <v>4.75</v>
      </c>
      <c r="D20" s="8">
        <f t="shared" si="6"/>
        <v>3.8000000000000003</v>
      </c>
      <c r="E20" s="11">
        <v>0.7</v>
      </c>
      <c r="F20" s="17">
        <f t="shared" si="7"/>
        <v>2.66</v>
      </c>
      <c r="G20" s="17">
        <f t="shared" si="8"/>
        <v>7.77</v>
      </c>
      <c r="H20" s="30">
        <f t="shared" si="3"/>
        <v>0.19000000000000003</v>
      </c>
      <c r="I20" s="16">
        <f t="shared" si="9"/>
        <v>5.46</v>
      </c>
      <c r="J20" s="17">
        <f t="shared" si="10"/>
        <v>2.6099999999999994</v>
      </c>
    </row>
    <row r="21" spans="1:11" x14ac:dyDescent="0.25">
      <c r="A21" s="6" t="s">
        <v>94</v>
      </c>
      <c r="B21" s="11">
        <v>0.8</v>
      </c>
      <c r="C21" s="11">
        <v>4.75</v>
      </c>
      <c r="D21" s="8">
        <f t="shared" si="6"/>
        <v>3.8000000000000003</v>
      </c>
      <c r="E21" s="11">
        <v>0.7</v>
      </c>
      <c r="F21" s="17">
        <f t="shared" si="7"/>
        <v>2.66</v>
      </c>
      <c r="G21" s="17">
        <f t="shared" si="8"/>
        <v>7.77</v>
      </c>
      <c r="H21" s="30">
        <f t="shared" si="3"/>
        <v>0.19000000000000003</v>
      </c>
      <c r="I21" s="16">
        <f t="shared" si="9"/>
        <v>5.46</v>
      </c>
      <c r="J21" s="17">
        <f t="shared" si="10"/>
        <v>2.6099999999999994</v>
      </c>
    </row>
    <row r="22" spans="1:11" x14ac:dyDescent="0.25">
      <c r="A22" s="6" t="s">
        <v>95</v>
      </c>
      <c r="B22" s="11">
        <v>0.8</v>
      </c>
      <c r="C22" s="11">
        <v>4.75</v>
      </c>
      <c r="D22" s="8">
        <f t="shared" si="6"/>
        <v>3.8000000000000003</v>
      </c>
      <c r="E22" s="11">
        <v>0.7</v>
      </c>
      <c r="F22" s="17">
        <f t="shared" si="7"/>
        <v>2.66</v>
      </c>
      <c r="G22" s="17">
        <f t="shared" si="8"/>
        <v>7.77</v>
      </c>
      <c r="H22" s="30">
        <f t="shared" si="3"/>
        <v>0.19000000000000003</v>
      </c>
      <c r="I22" s="16">
        <f t="shared" si="9"/>
        <v>5.46</v>
      </c>
      <c r="J22" s="17">
        <f t="shared" si="10"/>
        <v>2.6099999999999994</v>
      </c>
    </row>
    <row r="23" spans="1:11" x14ac:dyDescent="0.25">
      <c r="A23" s="6" t="s">
        <v>96</v>
      </c>
      <c r="B23" s="11">
        <v>0.8</v>
      </c>
      <c r="C23" s="11">
        <v>4.75</v>
      </c>
      <c r="D23" s="8">
        <f t="shared" si="6"/>
        <v>3.8000000000000003</v>
      </c>
      <c r="E23" s="11">
        <v>0.7</v>
      </c>
      <c r="F23" s="17">
        <f t="shared" si="7"/>
        <v>2.66</v>
      </c>
      <c r="G23" s="17">
        <f t="shared" si="8"/>
        <v>7.77</v>
      </c>
      <c r="H23" s="30">
        <f t="shared" si="3"/>
        <v>0.19000000000000003</v>
      </c>
      <c r="I23" s="16">
        <f t="shared" si="9"/>
        <v>5.46</v>
      </c>
      <c r="J23" s="17">
        <f t="shared" si="10"/>
        <v>2.6099999999999994</v>
      </c>
    </row>
    <row r="24" spans="1:11" x14ac:dyDescent="0.25">
      <c r="A24" s="6" t="s">
        <v>97</v>
      </c>
      <c r="B24" s="11">
        <v>0.8</v>
      </c>
      <c r="C24" s="11">
        <v>4.75</v>
      </c>
      <c r="D24" s="8">
        <f t="shared" si="6"/>
        <v>3.8000000000000003</v>
      </c>
      <c r="E24" s="11">
        <v>0.7</v>
      </c>
      <c r="F24" s="17">
        <f t="shared" si="7"/>
        <v>2.66</v>
      </c>
      <c r="G24" s="17">
        <f t="shared" si="8"/>
        <v>7.77</v>
      </c>
      <c r="H24" s="30">
        <f t="shared" si="3"/>
        <v>0.19000000000000003</v>
      </c>
      <c r="I24" s="16">
        <f t="shared" si="9"/>
        <v>5.46</v>
      </c>
      <c r="J24" s="17">
        <f t="shared" si="10"/>
        <v>2.6099999999999994</v>
      </c>
    </row>
    <row r="25" spans="1:11" x14ac:dyDescent="0.25">
      <c r="A25" s="6" t="s">
        <v>98</v>
      </c>
      <c r="B25" s="11">
        <v>0.8</v>
      </c>
      <c r="C25" s="11">
        <v>4.75</v>
      </c>
      <c r="D25" s="8">
        <f t="shared" si="6"/>
        <v>3.8000000000000003</v>
      </c>
      <c r="E25" s="11">
        <v>0.7</v>
      </c>
      <c r="F25" s="17">
        <f t="shared" si="7"/>
        <v>2.66</v>
      </c>
      <c r="G25" s="17">
        <f t="shared" si="8"/>
        <v>7.77</v>
      </c>
      <c r="H25" s="30">
        <f t="shared" si="3"/>
        <v>0.19000000000000003</v>
      </c>
      <c r="I25" s="16">
        <f t="shared" si="9"/>
        <v>5.46</v>
      </c>
      <c r="J25" s="17">
        <f t="shared" si="10"/>
        <v>2.6099999999999994</v>
      </c>
    </row>
    <row r="26" spans="1:11" x14ac:dyDescent="0.25">
      <c r="A26" s="6" t="s">
        <v>99</v>
      </c>
      <c r="B26" s="11">
        <v>0.8</v>
      </c>
      <c r="C26" s="11">
        <v>4.75</v>
      </c>
      <c r="D26" s="8">
        <f t="shared" si="6"/>
        <v>3.8000000000000003</v>
      </c>
      <c r="E26" s="11">
        <v>0.7</v>
      </c>
      <c r="F26" s="17">
        <f t="shared" si="7"/>
        <v>2.66</v>
      </c>
      <c r="G26" s="17">
        <f t="shared" si="8"/>
        <v>7.77</v>
      </c>
      <c r="H26" s="30">
        <f>((B26)*(C26))*0.05</f>
        <v>0.19000000000000003</v>
      </c>
      <c r="I26" s="16">
        <f t="shared" si="9"/>
        <v>5.46</v>
      </c>
      <c r="J26" s="17">
        <f t="shared" si="10"/>
        <v>2.6099999999999994</v>
      </c>
    </row>
    <row r="27" spans="1:11" x14ac:dyDescent="0.25">
      <c r="A27" s="6" t="s">
        <v>100</v>
      </c>
      <c r="B27" s="11">
        <v>0.8</v>
      </c>
      <c r="C27" s="11">
        <v>4.75</v>
      </c>
      <c r="D27" s="8">
        <f t="shared" ref="D27:D28" si="11">B27*C27</f>
        <v>3.8000000000000003</v>
      </c>
      <c r="E27" s="11">
        <v>0.7</v>
      </c>
      <c r="F27" s="17">
        <f t="shared" ref="F27:F28" si="12">(E27*D27)</f>
        <v>2.66</v>
      </c>
      <c r="G27" s="17">
        <f t="shared" ref="G27:G28" si="13">((B27+C27)*2)*E27</f>
        <v>7.77</v>
      </c>
      <c r="H27" s="30">
        <f t="shared" si="3"/>
        <v>0.19000000000000003</v>
      </c>
      <c r="I27" s="16">
        <f t="shared" ref="I27:I28" si="14">(C27+0.5)*(B27+0.5)*(E27+0.1)</f>
        <v>5.46</v>
      </c>
      <c r="J27" s="17">
        <f t="shared" ref="J27:J28" si="15">I27-H27-F27</f>
        <v>2.6099999999999994</v>
      </c>
    </row>
    <row r="28" spans="1:11" x14ac:dyDescent="0.25">
      <c r="A28" s="6" t="s">
        <v>101</v>
      </c>
      <c r="B28" s="11">
        <v>0.8</v>
      </c>
      <c r="C28" s="11">
        <v>4.75</v>
      </c>
      <c r="D28" s="8">
        <f t="shared" si="11"/>
        <v>3.8000000000000003</v>
      </c>
      <c r="E28" s="11">
        <v>0.7</v>
      </c>
      <c r="F28" s="17">
        <f t="shared" si="12"/>
        <v>2.66</v>
      </c>
      <c r="G28" s="17">
        <f t="shared" si="13"/>
        <v>7.77</v>
      </c>
      <c r="H28" s="30">
        <f t="shared" si="3"/>
        <v>0.19000000000000003</v>
      </c>
      <c r="I28" s="16">
        <f t="shared" si="14"/>
        <v>5.46</v>
      </c>
      <c r="J28" s="17">
        <f t="shared" si="15"/>
        <v>2.6099999999999994</v>
      </c>
    </row>
    <row r="29" spans="1:11" x14ac:dyDescent="0.25">
      <c r="A29" s="16"/>
      <c r="B29" s="7"/>
      <c r="C29" s="7"/>
      <c r="D29" s="8"/>
      <c r="E29" s="3" t="s">
        <v>14</v>
      </c>
      <c r="F29" s="4">
        <v>39.06</v>
      </c>
      <c r="G29" s="4">
        <f>SUM(G3:G28)</f>
        <v>129.07999999999998</v>
      </c>
      <c r="H29" s="4">
        <f>SUM(H3:H28)</f>
        <v>2.7279999999999998</v>
      </c>
      <c r="I29" s="13">
        <f>SUM(I3:I28)</f>
        <v>86.813999999999979</v>
      </c>
      <c r="J29" s="4">
        <f>I29-H29-F29</f>
        <v>45.025999999999982</v>
      </c>
      <c r="K29" s="14"/>
    </row>
    <row r="31" spans="1:11" x14ac:dyDescent="0.25">
      <c r="F31" s="15">
        <f>(14*0.51)+(12*2.66)</f>
        <v>39.06</v>
      </c>
    </row>
    <row r="33" spans="6:6" x14ac:dyDescent="0.25">
      <c r="F33" s="5"/>
    </row>
    <row r="34" spans="6:6" x14ac:dyDescent="0.25">
      <c r="F34" s="5"/>
    </row>
    <row r="70" spans="3:3" x14ac:dyDescent="0.25">
      <c r="C70" s="5"/>
    </row>
    <row r="75" spans="3:3" x14ac:dyDescent="0.25">
      <c r="C75" s="5"/>
    </row>
  </sheetData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"/>
  <sheetViews>
    <sheetView zoomScale="90" zoomScaleNormal="90" workbookViewId="0">
      <selection activeCell="F27" sqref="F27"/>
    </sheetView>
  </sheetViews>
  <sheetFormatPr defaultRowHeight="15" x14ac:dyDescent="0.25"/>
  <cols>
    <col min="1" max="1" width="11.7109375" customWidth="1"/>
    <col min="2" max="2" width="24.28515625" customWidth="1"/>
    <col min="3" max="3" width="7.42578125" customWidth="1"/>
    <col min="4" max="4" width="11.85546875" customWidth="1"/>
    <col min="5" max="5" width="12.140625" customWidth="1"/>
    <col min="6" max="7" width="8" customWidth="1"/>
    <col min="8" max="8" width="7.42578125" customWidth="1"/>
  </cols>
  <sheetData>
    <row r="1" spans="1:14" ht="15" customHeight="1" x14ac:dyDescent="0.25">
      <c r="A1" s="61" t="s">
        <v>34</v>
      </c>
      <c r="B1" s="61" t="s">
        <v>35</v>
      </c>
      <c r="C1" s="61" t="s">
        <v>36</v>
      </c>
      <c r="D1" s="61" t="s">
        <v>0</v>
      </c>
      <c r="E1" s="56" t="s">
        <v>38</v>
      </c>
      <c r="F1" s="61" t="s">
        <v>39</v>
      </c>
      <c r="G1" s="61" t="s">
        <v>40</v>
      </c>
      <c r="H1" s="61" t="s">
        <v>41</v>
      </c>
    </row>
    <row r="2" spans="1:14" x14ac:dyDescent="0.25">
      <c r="A2" s="61"/>
      <c r="B2" s="61"/>
      <c r="C2" s="61"/>
      <c r="D2" s="61"/>
      <c r="E2" s="58"/>
      <c r="F2" s="61"/>
      <c r="G2" s="61"/>
      <c r="H2" s="61"/>
    </row>
    <row r="3" spans="1:14" x14ac:dyDescent="0.25">
      <c r="A3" s="62" t="s">
        <v>112</v>
      </c>
      <c r="B3" s="25" t="s">
        <v>108</v>
      </c>
      <c r="C3" s="18">
        <v>12.5</v>
      </c>
      <c r="D3" s="18">
        <v>2</v>
      </c>
      <c r="E3" s="18">
        <f>95+25+25</f>
        <v>145</v>
      </c>
      <c r="F3" s="21">
        <f t="shared" ref="F3:F5" si="0">(D3*E3)</f>
        <v>290</v>
      </c>
      <c r="G3" s="21">
        <f>0.963*(F3/100)</f>
        <v>2.7927</v>
      </c>
      <c r="H3" s="21"/>
      <c r="M3">
        <v>8</v>
      </c>
      <c r="N3">
        <v>0.39500000000000002</v>
      </c>
    </row>
    <row r="4" spans="1:14" ht="18" customHeight="1" x14ac:dyDescent="0.25">
      <c r="A4" s="63"/>
      <c r="B4" s="25" t="s">
        <v>109</v>
      </c>
      <c r="C4" s="18">
        <v>12.5</v>
      </c>
      <c r="D4" s="18">
        <v>2</v>
      </c>
      <c r="E4" s="18">
        <f>95+25+25</f>
        <v>145</v>
      </c>
      <c r="F4" s="21">
        <f t="shared" si="0"/>
        <v>290</v>
      </c>
      <c r="G4" s="21">
        <f>0.963*(F4/100)</f>
        <v>2.7927</v>
      </c>
      <c r="H4" s="21"/>
      <c r="M4">
        <v>10</v>
      </c>
      <c r="N4">
        <v>0.61699999999999999</v>
      </c>
    </row>
    <row r="5" spans="1:14" ht="16.5" customHeight="1" x14ac:dyDescent="0.25">
      <c r="A5" s="64"/>
      <c r="B5" s="25" t="s">
        <v>110</v>
      </c>
      <c r="C5" s="18">
        <v>6.3</v>
      </c>
      <c r="D5" s="18">
        <v>10</v>
      </c>
      <c r="E5" s="18">
        <f>15+15+25+25+10</f>
        <v>90</v>
      </c>
      <c r="F5" s="21">
        <f t="shared" si="0"/>
        <v>900</v>
      </c>
      <c r="G5" s="21">
        <f>0.245*F5/100</f>
        <v>2.2050000000000001</v>
      </c>
      <c r="H5" s="21"/>
    </row>
    <row r="6" spans="1:14" ht="15" customHeight="1" x14ac:dyDescent="0.25">
      <c r="A6" s="53" t="s">
        <v>42</v>
      </c>
      <c r="B6" s="54"/>
      <c r="C6" s="54"/>
      <c r="D6" s="54"/>
      <c r="E6" s="54"/>
      <c r="F6" s="55"/>
      <c r="G6" s="21">
        <f>SUM(G3:G5)*1.1</f>
        <v>8.5694400000000002</v>
      </c>
      <c r="H6" s="21">
        <v>0</v>
      </c>
    </row>
    <row r="7" spans="1:14" x14ac:dyDescent="0.25">
      <c r="A7" s="53" t="s">
        <v>111</v>
      </c>
      <c r="B7" s="54"/>
      <c r="C7" s="54"/>
      <c r="D7" s="54"/>
      <c r="E7" s="54"/>
      <c r="F7" s="55"/>
      <c r="G7" s="21">
        <f>G6*72</f>
        <v>616.99968000000001</v>
      </c>
      <c r="H7" s="21"/>
    </row>
    <row r="8" spans="1:14" x14ac:dyDescent="0.25">
      <c r="A8" s="50"/>
      <c r="B8" s="50"/>
      <c r="C8" s="50"/>
      <c r="D8" s="50"/>
      <c r="E8" s="50"/>
      <c r="F8" s="50"/>
      <c r="G8" s="50"/>
      <c r="H8" s="50"/>
    </row>
    <row r="9" spans="1:14" x14ac:dyDescent="0.25">
      <c r="A9" s="56" t="s">
        <v>43</v>
      </c>
      <c r="B9" s="57"/>
      <c r="C9" s="56" t="s">
        <v>44</v>
      </c>
      <c r="D9" s="57"/>
      <c r="E9" s="56" t="s">
        <v>45</v>
      </c>
      <c r="F9" s="57"/>
      <c r="G9" s="61" t="s">
        <v>49</v>
      </c>
      <c r="H9" s="61"/>
    </row>
    <row r="10" spans="1:14" x14ac:dyDescent="0.25">
      <c r="A10" s="58"/>
      <c r="B10" s="59"/>
      <c r="C10" s="58"/>
      <c r="D10" s="59"/>
      <c r="E10" s="58"/>
      <c r="F10" s="59"/>
      <c r="G10" s="61"/>
      <c r="H10" s="61"/>
    </row>
    <row r="11" spans="1:14" x14ac:dyDescent="0.25">
      <c r="A11" s="62" t="s">
        <v>46</v>
      </c>
      <c r="B11" s="25" t="s">
        <v>63</v>
      </c>
      <c r="C11" s="51">
        <f>((F5*72))/100</f>
        <v>648</v>
      </c>
      <c r="D11" s="49"/>
      <c r="E11" s="48">
        <f>C11*0.245*1.1</f>
        <v>174.636</v>
      </c>
      <c r="F11" s="52"/>
      <c r="G11" s="51"/>
      <c r="H11" s="49"/>
    </row>
    <row r="12" spans="1:14" x14ac:dyDescent="0.25">
      <c r="A12" s="64"/>
      <c r="B12" s="25" t="s">
        <v>105</v>
      </c>
      <c r="C12" s="51">
        <f>((F3+F4)*72)/100</f>
        <v>417.6</v>
      </c>
      <c r="D12" s="49"/>
      <c r="E12" s="48">
        <f>C12*0.963*1.1</f>
        <v>442.36368000000004</v>
      </c>
      <c r="F12" s="52"/>
      <c r="G12" s="48">
        <f>E11+E12</f>
        <v>616.99968000000001</v>
      </c>
      <c r="H12" s="52"/>
    </row>
    <row r="13" spans="1:14" x14ac:dyDescent="0.25">
      <c r="A13" s="53" t="s">
        <v>1</v>
      </c>
      <c r="B13" s="54"/>
      <c r="C13" s="54"/>
      <c r="D13" s="54"/>
      <c r="E13" s="54"/>
      <c r="F13" s="55"/>
      <c r="G13" s="48">
        <f>G12</f>
        <v>616.99968000000001</v>
      </c>
      <c r="H13" s="49"/>
    </row>
    <row r="14" spans="1:14" x14ac:dyDescent="0.25">
      <c r="A14" s="26"/>
      <c r="B14" s="26"/>
      <c r="C14" s="26"/>
      <c r="D14" s="26"/>
      <c r="E14" s="26"/>
      <c r="F14" s="26"/>
      <c r="G14" s="26"/>
      <c r="H14" s="26"/>
    </row>
    <row r="15" spans="1:14" x14ac:dyDescent="0.25">
      <c r="A15" s="26"/>
      <c r="B15" s="26"/>
      <c r="C15" s="26"/>
      <c r="D15" s="31">
        <f>G7</f>
        <v>616.99968000000001</v>
      </c>
      <c r="E15" s="26"/>
      <c r="F15" s="26"/>
      <c r="G15" s="26"/>
      <c r="H15" s="26"/>
    </row>
    <row r="16" spans="1:14" x14ac:dyDescent="0.25">
      <c r="A16" s="26"/>
      <c r="B16" s="26"/>
      <c r="C16" s="26"/>
      <c r="D16" s="32">
        <f>G13</f>
        <v>616.99968000000001</v>
      </c>
      <c r="E16" s="26"/>
      <c r="F16" s="26"/>
      <c r="G16" s="26"/>
      <c r="H16" s="26"/>
    </row>
    <row r="17" spans="1:8" x14ac:dyDescent="0.25">
      <c r="A17" s="26"/>
      <c r="B17" s="26"/>
      <c r="C17" s="26"/>
      <c r="D17" s="26"/>
      <c r="E17" s="26"/>
      <c r="F17" s="26"/>
      <c r="G17" s="26"/>
      <c r="H17" s="26"/>
    </row>
    <row r="18" spans="1:8" x14ac:dyDescent="0.25">
      <c r="A18" s="26"/>
      <c r="B18" s="26"/>
      <c r="C18" s="26"/>
      <c r="D18" s="26"/>
      <c r="E18" s="26"/>
      <c r="F18" s="26"/>
      <c r="G18" s="26"/>
      <c r="H18" s="26"/>
    </row>
    <row r="19" spans="1:8" x14ac:dyDescent="0.25">
      <c r="A19" s="26"/>
      <c r="B19" s="26"/>
      <c r="C19" s="26"/>
      <c r="D19" s="26"/>
      <c r="E19" s="26"/>
      <c r="F19" s="26"/>
      <c r="G19" s="26"/>
      <c r="H19" s="26"/>
    </row>
    <row r="20" spans="1:8" x14ac:dyDescent="0.25">
      <c r="A20" s="26"/>
      <c r="B20" s="26"/>
      <c r="C20" s="26"/>
      <c r="D20" s="26">
        <f>90-2-2</f>
        <v>86</v>
      </c>
      <c r="E20" s="26"/>
      <c r="F20" s="26"/>
      <c r="G20" s="26"/>
      <c r="H20" s="26"/>
    </row>
    <row r="21" spans="1:8" x14ac:dyDescent="0.25">
      <c r="A21" s="26"/>
      <c r="B21" s="26"/>
      <c r="C21" s="26"/>
      <c r="D21" s="26"/>
      <c r="E21" s="26"/>
      <c r="F21" s="26"/>
      <c r="G21" s="26"/>
      <c r="H21" s="26"/>
    </row>
  </sheetData>
  <mergeCells count="25">
    <mergeCell ref="A8:H8"/>
    <mergeCell ref="A9:B10"/>
    <mergeCell ref="B1:B2"/>
    <mergeCell ref="C9:D10"/>
    <mergeCell ref="C1:C2"/>
    <mergeCell ref="D1:D2"/>
    <mergeCell ref="E1:E2"/>
    <mergeCell ref="A3:A5"/>
    <mergeCell ref="G1:G2"/>
    <mergeCell ref="C12:D12"/>
    <mergeCell ref="E12:F12"/>
    <mergeCell ref="G12:H12"/>
    <mergeCell ref="G13:H13"/>
    <mergeCell ref="H1:H2"/>
    <mergeCell ref="E9:F10"/>
    <mergeCell ref="F1:F2"/>
    <mergeCell ref="A13:F13"/>
    <mergeCell ref="G9:H10"/>
    <mergeCell ref="A11:A12"/>
    <mergeCell ref="C11:D11"/>
    <mergeCell ref="E11:F11"/>
    <mergeCell ref="G11:H11"/>
    <mergeCell ref="A6:F6"/>
    <mergeCell ref="A1:A2"/>
    <mergeCell ref="A7:F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zoomScale="80" zoomScaleNormal="80" workbookViewId="0">
      <selection activeCell="H28" sqref="H28"/>
    </sheetView>
  </sheetViews>
  <sheetFormatPr defaultRowHeight="15" x14ac:dyDescent="0.25"/>
  <cols>
    <col min="1" max="1" width="6.28515625" bestFit="1" customWidth="1"/>
    <col min="2" max="2" width="9.140625" customWidth="1"/>
    <col min="3" max="3" width="9.42578125" customWidth="1"/>
    <col min="4" max="4" width="15.28515625" bestFit="1" customWidth="1"/>
    <col min="5" max="5" width="15.140625" bestFit="1" customWidth="1"/>
    <col min="6" max="6" width="11.42578125" customWidth="1"/>
    <col min="7" max="7" width="10.42578125" customWidth="1"/>
    <col min="17" max="17" width="9.140625" customWidth="1"/>
  </cols>
  <sheetData>
    <row r="1" spans="1:12" ht="21.75" customHeight="1" x14ac:dyDescent="0.25">
      <c r="A1" s="72" t="s">
        <v>73</v>
      </c>
      <c r="B1" s="73"/>
      <c r="C1" s="73"/>
      <c r="D1" s="73"/>
      <c r="E1" s="73"/>
      <c r="F1" s="73"/>
      <c r="G1" s="73"/>
    </row>
    <row r="2" spans="1:12" ht="38.25" customHeight="1" x14ac:dyDescent="0.25">
      <c r="A2" s="27" t="s">
        <v>17</v>
      </c>
      <c r="B2" s="27" t="s">
        <v>9</v>
      </c>
      <c r="C2" s="27" t="s">
        <v>7</v>
      </c>
      <c r="D2" s="27" t="s">
        <v>5</v>
      </c>
      <c r="E2" s="27" t="s">
        <v>10</v>
      </c>
      <c r="F2" s="27" t="s">
        <v>16</v>
      </c>
      <c r="G2" s="27" t="s">
        <v>15</v>
      </c>
    </row>
    <row r="3" spans="1:12" x14ac:dyDescent="0.25">
      <c r="A3" s="18" t="s">
        <v>3</v>
      </c>
      <c r="B3" s="19">
        <v>0.2</v>
      </c>
      <c r="C3" s="19">
        <v>0.3</v>
      </c>
      <c r="D3" s="20">
        <f>B3*C3</f>
        <v>0.06</v>
      </c>
      <c r="E3" s="19">
        <v>0.65</v>
      </c>
      <c r="F3" s="21">
        <f>E3*D3</f>
        <v>3.9E-2</v>
      </c>
      <c r="G3" s="21">
        <f>(B3+C3+C3)*E3</f>
        <v>0.52</v>
      </c>
    </row>
    <row r="4" spans="1:12" x14ac:dyDescent="0.25">
      <c r="A4" s="74"/>
      <c r="B4" s="75"/>
      <c r="C4" s="75"/>
      <c r="D4" s="76"/>
      <c r="E4" s="22" t="s">
        <v>14</v>
      </c>
      <c r="F4" s="23">
        <f>SUM(F3:F3)</f>
        <v>3.9E-2</v>
      </c>
      <c r="G4" s="23">
        <f>SUM(G3:G3)</f>
        <v>0.52</v>
      </c>
    </row>
    <row r="5" spans="1:12" x14ac:dyDescent="0.25">
      <c r="A5" s="77"/>
      <c r="B5" s="78"/>
      <c r="C5" s="78"/>
      <c r="D5" s="79"/>
      <c r="E5" s="22" t="s">
        <v>119</v>
      </c>
      <c r="F5" s="23">
        <f>F4*72</f>
        <v>2.8079999999999998</v>
      </c>
      <c r="G5" s="23">
        <f>G4*72</f>
        <v>37.44</v>
      </c>
    </row>
    <row r="6" spans="1:12" x14ac:dyDescent="0.25">
      <c r="A6" s="26"/>
      <c r="B6" s="26"/>
      <c r="C6" s="26"/>
      <c r="D6" s="26"/>
      <c r="E6" s="26"/>
      <c r="F6" s="26"/>
      <c r="G6" s="26"/>
    </row>
    <row r="7" spans="1:12" x14ac:dyDescent="0.25">
      <c r="A7" s="26"/>
      <c r="B7" s="26"/>
      <c r="C7" s="26"/>
      <c r="D7" s="26"/>
      <c r="E7" s="26"/>
      <c r="F7" s="26"/>
      <c r="G7" s="26"/>
    </row>
    <row r="8" spans="1:12" x14ac:dyDescent="0.25">
      <c r="A8" s="26"/>
      <c r="B8" s="26"/>
      <c r="C8" s="26"/>
      <c r="D8" s="26"/>
      <c r="E8" s="26"/>
      <c r="F8" s="26"/>
      <c r="G8" s="26"/>
    </row>
    <row r="9" spans="1:12" x14ac:dyDescent="0.25">
      <c r="A9" s="26"/>
      <c r="B9" s="26"/>
      <c r="C9" s="26"/>
      <c r="D9" s="26"/>
      <c r="E9" s="26"/>
      <c r="F9" s="26"/>
      <c r="G9" s="26"/>
    </row>
    <row r="10" spans="1:12" x14ac:dyDescent="0.25">
      <c r="A10" s="26"/>
      <c r="B10" s="26"/>
      <c r="C10" s="26"/>
      <c r="D10" s="26"/>
      <c r="E10" s="26"/>
      <c r="F10" s="26"/>
      <c r="G10" s="26"/>
    </row>
    <row r="15" spans="1:12" x14ac:dyDescent="0.25">
      <c r="L15">
        <f>12*6</f>
        <v>72</v>
      </c>
    </row>
  </sheetData>
  <mergeCells count="2">
    <mergeCell ref="A1:G1"/>
    <mergeCell ref="A4:D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zoomScale="90" zoomScaleNormal="90" workbookViewId="0">
      <selection activeCell="I25" sqref="I25"/>
    </sheetView>
  </sheetViews>
  <sheetFormatPr defaultRowHeight="15" x14ac:dyDescent="0.25"/>
  <cols>
    <col min="1" max="1" width="20.85546875" customWidth="1"/>
    <col min="2" max="2" width="8.85546875" customWidth="1"/>
    <col min="3" max="3" width="7.42578125" customWidth="1"/>
    <col min="4" max="4" width="11.85546875" customWidth="1"/>
    <col min="5" max="5" width="12.140625" customWidth="1"/>
    <col min="6" max="6" width="10" customWidth="1"/>
    <col min="7" max="7" width="8" customWidth="1"/>
    <col min="8" max="8" width="7.42578125" customWidth="1"/>
  </cols>
  <sheetData>
    <row r="1" spans="1:14" ht="15" customHeight="1" x14ac:dyDescent="0.25">
      <c r="A1" s="61" t="s">
        <v>34</v>
      </c>
      <c r="B1" s="61" t="s">
        <v>35</v>
      </c>
      <c r="C1" s="61" t="s">
        <v>36</v>
      </c>
      <c r="D1" s="61" t="s">
        <v>0</v>
      </c>
      <c r="E1" s="56" t="s">
        <v>38</v>
      </c>
      <c r="F1" s="61" t="s">
        <v>39</v>
      </c>
      <c r="G1" s="61" t="s">
        <v>40</v>
      </c>
      <c r="H1" s="61" t="s">
        <v>41</v>
      </c>
      <c r="I1" s="26"/>
    </row>
    <row r="2" spans="1:14" x14ac:dyDescent="0.25">
      <c r="A2" s="61"/>
      <c r="B2" s="61"/>
      <c r="C2" s="61"/>
      <c r="D2" s="61"/>
      <c r="E2" s="58"/>
      <c r="F2" s="61"/>
      <c r="G2" s="61"/>
      <c r="H2" s="61"/>
      <c r="I2" s="26"/>
    </row>
    <row r="3" spans="1:14" ht="18" customHeight="1" x14ac:dyDescent="0.25">
      <c r="A3" s="25" t="s">
        <v>68</v>
      </c>
      <c r="B3" s="25" t="s">
        <v>64</v>
      </c>
      <c r="C3" s="18">
        <v>12.5</v>
      </c>
      <c r="D3" s="18">
        <v>4</v>
      </c>
      <c r="E3" s="18">
        <f>(3.4-0.03+0.3)*100</f>
        <v>367</v>
      </c>
      <c r="F3" s="21">
        <f t="shared" ref="F3:F9" si="0">(D3*E3)</f>
        <v>1468</v>
      </c>
      <c r="G3" s="21">
        <f>0.963*(F3/100)</f>
        <v>14.136839999999999</v>
      </c>
      <c r="H3" s="21"/>
      <c r="I3" s="26"/>
      <c r="M3">
        <v>5</v>
      </c>
      <c r="N3">
        <v>0.154</v>
      </c>
    </row>
    <row r="4" spans="1:14" x14ac:dyDescent="0.25">
      <c r="A4" s="25" t="s">
        <v>69</v>
      </c>
      <c r="B4" s="25" t="s">
        <v>65</v>
      </c>
      <c r="C4" s="18">
        <v>12.5</v>
      </c>
      <c r="D4" s="18">
        <v>4</v>
      </c>
      <c r="E4" s="18">
        <f>(2.95-0.03+0.3)*100</f>
        <v>322</v>
      </c>
      <c r="F4" s="21">
        <f t="shared" si="0"/>
        <v>1288</v>
      </c>
      <c r="G4" s="21">
        <f t="shared" ref="G4:G8" si="1">0.963*(F4/100)</f>
        <v>12.40344</v>
      </c>
      <c r="H4" s="21"/>
      <c r="I4" s="26"/>
      <c r="M4">
        <v>6.3</v>
      </c>
      <c r="N4">
        <v>0.245</v>
      </c>
    </row>
    <row r="5" spans="1:14" x14ac:dyDescent="0.25">
      <c r="A5" s="25" t="s">
        <v>70</v>
      </c>
      <c r="B5" s="25" t="s">
        <v>66</v>
      </c>
      <c r="C5" s="18">
        <v>12.5</v>
      </c>
      <c r="D5" s="18">
        <v>4</v>
      </c>
      <c r="E5" s="18">
        <f>(2.5-0.03+0.3)*100</f>
        <v>277</v>
      </c>
      <c r="F5" s="21">
        <f t="shared" si="0"/>
        <v>1108</v>
      </c>
      <c r="G5" s="21">
        <f t="shared" si="1"/>
        <v>10.67004</v>
      </c>
      <c r="H5" s="21"/>
      <c r="I5" s="26"/>
      <c r="M5">
        <v>8</v>
      </c>
      <c r="N5">
        <v>0.39500000000000002</v>
      </c>
    </row>
    <row r="6" spans="1:14" ht="15" customHeight="1" x14ac:dyDescent="0.25">
      <c r="A6" s="25" t="s">
        <v>71</v>
      </c>
      <c r="B6" s="25" t="s">
        <v>67</v>
      </c>
      <c r="C6" s="18">
        <v>12.5</v>
      </c>
      <c r="D6" s="18">
        <v>4</v>
      </c>
      <c r="E6" s="18">
        <f>(2.05-0.03+0.3)*100</f>
        <v>231.99999999999997</v>
      </c>
      <c r="F6" s="21">
        <f t="shared" si="0"/>
        <v>927.99999999999989</v>
      </c>
      <c r="G6" s="21">
        <f t="shared" si="1"/>
        <v>8.9366399999999988</v>
      </c>
      <c r="H6" s="21"/>
      <c r="I6" s="26"/>
      <c r="M6">
        <v>10</v>
      </c>
      <c r="N6">
        <v>0.61699999999999999</v>
      </c>
    </row>
    <row r="7" spans="1:14" ht="15" customHeight="1" x14ac:dyDescent="0.25">
      <c r="A7" s="25" t="s">
        <v>113</v>
      </c>
      <c r="B7" s="25" t="s">
        <v>115</v>
      </c>
      <c r="C7" s="18">
        <v>12.5</v>
      </c>
      <c r="D7" s="18">
        <v>4</v>
      </c>
      <c r="E7" s="18">
        <f>(1.6-0.03+0.3)*100</f>
        <v>187</v>
      </c>
      <c r="F7" s="21">
        <f t="shared" ref="F7:F8" si="2">(D7*E7)</f>
        <v>748</v>
      </c>
      <c r="G7" s="21">
        <f t="shared" si="1"/>
        <v>7.2032400000000001</v>
      </c>
      <c r="H7" s="21"/>
      <c r="I7" s="26"/>
    </row>
    <row r="8" spans="1:14" ht="15" customHeight="1" x14ac:dyDescent="0.25">
      <c r="A8" s="25" t="s">
        <v>114</v>
      </c>
      <c r="B8" s="25" t="s">
        <v>116</v>
      </c>
      <c r="C8" s="18">
        <v>12.5</v>
      </c>
      <c r="D8" s="18">
        <v>4</v>
      </c>
      <c r="E8" s="18">
        <f>(1.15-0.03+0.3)*100</f>
        <v>142</v>
      </c>
      <c r="F8" s="21">
        <f t="shared" si="2"/>
        <v>568</v>
      </c>
      <c r="G8" s="21">
        <f t="shared" si="1"/>
        <v>5.4698399999999996</v>
      </c>
      <c r="H8" s="21"/>
      <c r="I8" s="26"/>
    </row>
    <row r="9" spans="1:14" ht="19.5" customHeight="1" x14ac:dyDescent="0.25">
      <c r="A9" s="25" t="s">
        <v>72</v>
      </c>
      <c r="B9" s="25" t="s">
        <v>117</v>
      </c>
      <c r="C9" s="18">
        <v>6.3</v>
      </c>
      <c r="D9" s="18">
        <v>138</v>
      </c>
      <c r="E9" s="18">
        <v>74</v>
      </c>
      <c r="F9" s="21">
        <f t="shared" si="0"/>
        <v>10212</v>
      </c>
      <c r="G9" s="21">
        <f>0.245*F9/100</f>
        <v>25.019400000000001</v>
      </c>
      <c r="H9" s="21"/>
      <c r="I9" s="26"/>
    </row>
    <row r="10" spans="1:14" x14ac:dyDescent="0.25">
      <c r="A10" s="65" t="s">
        <v>42</v>
      </c>
      <c r="B10" s="65"/>
      <c r="C10" s="65"/>
      <c r="D10" s="65"/>
      <c r="E10" s="65"/>
      <c r="F10" s="65"/>
      <c r="G10" s="21">
        <f>SUM(G3:G9)*1.1</f>
        <v>92.22338400000001</v>
      </c>
      <c r="H10" s="21">
        <v>0</v>
      </c>
      <c r="I10" s="26"/>
    </row>
    <row r="11" spans="1:14" x14ac:dyDescent="0.25">
      <c r="A11" s="53" t="s">
        <v>103</v>
      </c>
      <c r="B11" s="54"/>
      <c r="C11" s="54"/>
      <c r="D11" s="54"/>
      <c r="E11" s="54"/>
      <c r="F11" s="55"/>
      <c r="G11" s="21">
        <f>G10*12</f>
        <v>1106.6806080000001</v>
      </c>
      <c r="H11" s="21"/>
      <c r="I11" s="26"/>
    </row>
    <row r="12" spans="1:14" x14ac:dyDescent="0.25">
      <c r="A12" s="50"/>
      <c r="B12" s="50"/>
      <c r="C12" s="50"/>
      <c r="D12" s="50"/>
      <c r="E12" s="50"/>
      <c r="F12" s="50"/>
      <c r="G12" s="50"/>
      <c r="H12" s="50"/>
      <c r="I12" s="26"/>
    </row>
    <row r="13" spans="1:14" x14ac:dyDescent="0.25">
      <c r="A13" s="56" t="s">
        <v>43</v>
      </c>
      <c r="B13" s="57"/>
      <c r="C13" s="56" t="s">
        <v>44</v>
      </c>
      <c r="D13" s="57"/>
      <c r="E13" s="56" t="s">
        <v>45</v>
      </c>
      <c r="F13" s="57"/>
      <c r="G13" s="61" t="s">
        <v>49</v>
      </c>
      <c r="H13" s="61"/>
      <c r="I13" s="26"/>
    </row>
    <row r="14" spans="1:14" x14ac:dyDescent="0.25">
      <c r="A14" s="58"/>
      <c r="B14" s="59"/>
      <c r="C14" s="58"/>
      <c r="D14" s="59"/>
      <c r="E14" s="58"/>
      <c r="F14" s="59"/>
      <c r="G14" s="61"/>
      <c r="H14" s="61"/>
      <c r="I14" s="26"/>
    </row>
    <row r="15" spans="1:14" x14ac:dyDescent="0.25">
      <c r="A15" s="62" t="s">
        <v>46</v>
      </c>
      <c r="B15" s="25" t="s">
        <v>63</v>
      </c>
      <c r="C15" s="51">
        <f>((F9*12))/100</f>
        <v>1225.44</v>
      </c>
      <c r="D15" s="49"/>
      <c r="E15" s="48">
        <f>C15*0.245*1.1</f>
        <v>330.25608</v>
      </c>
      <c r="F15" s="52"/>
      <c r="G15" s="51"/>
      <c r="H15" s="49"/>
      <c r="I15" s="26"/>
    </row>
    <row r="16" spans="1:14" x14ac:dyDescent="0.25">
      <c r="A16" s="64"/>
      <c r="B16" s="25" t="s">
        <v>105</v>
      </c>
      <c r="C16" s="51">
        <f>((F3+F4+F5+F6+F7+F8)*12)/100</f>
        <v>732.96</v>
      </c>
      <c r="D16" s="49"/>
      <c r="E16" s="48">
        <f>C16*0.963*1.1</f>
        <v>776.42452800000001</v>
      </c>
      <c r="F16" s="52"/>
      <c r="G16" s="48">
        <f>E15+E16</f>
        <v>1106.6806080000001</v>
      </c>
      <c r="H16" s="52"/>
      <c r="I16" s="26"/>
    </row>
    <row r="17" spans="1:9" x14ac:dyDescent="0.25">
      <c r="A17" s="53" t="s">
        <v>1</v>
      </c>
      <c r="B17" s="54"/>
      <c r="C17" s="54"/>
      <c r="D17" s="54"/>
      <c r="E17" s="54"/>
      <c r="F17" s="55"/>
      <c r="G17" s="48">
        <f>G16</f>
        <v>1106.6806080000001</v>
      </c>
      <c r="H17" s="49"/>
      <c r="I17" s="26"/>
    </row>
    <row r="18" spans="1:9" x14ac:dyDescent="0.25">
      <c r="A18" s="26"/>
      <c r="B18" s="26"/>
      <c r="C18" s="26"/>
      <c r="D18" s="26"/>
      <c r="E18" s="26"/>
      <c r="F18" s="26"/>
      <c r="G18" s="26"/>
      <c r="H18" s="26"/>
      <c r="I18" s="26"/>
    </row>
    <row r="19" spans="1:9" x14ac:dyDescent="0.25">
      <c r="A19" s="26"/>
      <c r="B19" s="26"/>
      <c r="C19" s="26"/>
      <c r="D19" s="31">
        <f>G11</f>
        <v>1106.6806080000001</v>
      </c>
      <c r="E19" s="26"/>
      <c r="F19" s="26"/>
      <c r="G19" s="26"/>
      <c r="H19" s="26"/>
      <c r="I19" s="26"/>
    </row>
    <row r="20" spans="1:9" x14ac:dyDescent="0.25">
      <c r="A20" s="26"/>
      <c r="B20" s="26"/>
      <c r="C20" s="26"/>
      <c r="D20" s="32">
        <f>G17</f>
        <v>1106.6806080000001</v>
      </c>
      <c r="E20" s="26"/>
      <c r="F20" s="26"/>
      <c r="G20" s="26"/>
      <c r="H20" s="26"/>
      <c r="I20" s="26"/>
    </row>
    <row r="21" spans="1:9" x14ac:dyDescent="0.25">
      <c r="A21" s="26"/>
      <c r="B21" s="26"/>
      <c r="C21" s="26"/>
      <c r="D21" s="26"/>
      <c r="E21" s="26"/>
      <c r="F21" s="26"/>
      <c r="G21" s="26"/>
      <c r="H21" s="26"/>
      <c r="I21" s="26"/>
    </row>
    <row r="22" spans="1:9" x14ac:dyDescent="0.25">
      <c r="A22" s="26"/>
      <c r="B22" s="26"/>
      <c r="C22" s="26"/>
      <c r="D22" s="26"/>
      <c r="E22" s="26"/>
      <c r="F22" s="26"/>
      <c r="G22" s="26"/>
      <c r="H22" s="26"/>
      <c r="I22" s="26"/>
    </row>
    <row r="23" spans="1:9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9" x14ac:dyDescent="0.25">
      <c r="D24">
        <f>90-2-2</f>
        <v>86</v>
      </c>
    </row>
  </sheetData>
  <mergeCells count="24">
    <mergeCell ref="G1:G2"/>
    <mergeCell ref="H1:H2"/>
    <mergeCell ref="A10:F10"/>
    <mergeCell ref="A11:F11"/>
    <mergeCell ref="A12:H12"/>
    <mergeCell ref="A1:A2"/>
    <mergeCell ref="B1:B2"/>
    <mergeCell ref="C1:C2"/>
    <mergeCell ref="D1:D2"/>
    <mergeCell ref="E1:E2"/>
    <mergeCell ref="F1:F2"/>
    <mergeCell ref="G16:H16"/>
    <mergeCell ref="A17:F17"/>
    <mergeCell ref="G17:H17"/>
    <mergeCell ref="A13:B14"/>
    <mergeCell ref="C13:D14"/>
    <mergeCell ref="E13:F14"/>
    <mergeCell ref="G13:H14"/>
    <mergeCell ref="A15:A16"/>
    <mergeCell ref="C15:D15"/>
    <mergeCell ref="E15:F15"/>
    <mergeCell ref="G15:H15"/>
    <mergeCell ref="C16:D16"/>
    <mergeCell ref="E16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"/>
  <sheetViews>
    <sheetView zoomScale="80" zoomScaleNormal="80" workbookViewId="0">
      <selection activeCell="K28" sqref="K28"/>
    </sheetView>
  </sheetViews>
  <sheetFormatPr defaultRowHeight="15" x14ac:dyDescent="0.25"/>
  <cols>
    <col min="1" max="1" width="6.28515625" bestFit="1" customWidth="1"/>
    <col min="2" max="2" width="9.140625" customWidth="1"/>
    <col min="3" max="3" width="9.42578125" customWidth="1"/>
    <col min="4" max="4" width="15.28515625" bestFit="1" customWidth="1"/>
    <col min="5" max="5" width="15.140625" bestFit="1" customWidth="1"/>
    <col min="6" max="6" width="11.42578125" customWidth="1"/>
    <col min="7" max="7" width="10.42578125" customWidth="1"/>
    <col min="17" max="17" width="9.140625" customWidth="1"/>
  </cols>
  <sheetData>
    <row r="1" spans="1:7" ht="21.75" customHeight="1" x14ac:dyDescent="0.25">
      <c r="A1" s="72" t="s">
        <v>75</v>
      </c>
      <c r="B1" s="73"/>
      <c r="C1" s="73"/>
      <c r="D1" s="73"/>
      <c r="E1" s="73"/>
      <c r="F1" s="73"/>
      <c r="G1" s="73"/>
    </row>
    <row r="2" spans="1:7" ht="38.25" customHeight="1" x14ac:dyDescent="0.25">
      <c r="A2" s="27" t="s">
        <v>17</v>
      </c>
      <c r="B2" s="27" t="s">
        <v>9</v>
      </c>
      <c r="C2" s="27" t="s">
        <v>7</v>
      </c>
      <c r="D2" s="27" t="s">
        <v>5</v>
      </c>
      <c r="E2" s="27" t="s">
        <v>10</v>
      </c>
      <c r="F2" s="27" t="s">
        <v>16</v>
      </c>
      <c r="G2" s="27" t="s">
        <v>15</v>
      </c>
    </row>
    <row r="3" spans="1:7" x14ac:dyDescent="0.25">
      <c r="A3" s="18" t="s">
        <v>74</v>
      </c>
      <c r="B3" s="19">
        <v>0.2</v>
      </c>
      <c r="C3" s="19">
        <v>0.2</v>
      </c>
      <c r="D3" s="20">
        <f>B3*C3</f>
        <v>4.0000000000000008E-2</v>
      </c>
      <c r="E3" s="19">
        <f>3.4-0.7</f>
        <v>2.7</v>
      </c>
      <c r="F3" s="21">
        <f t="shared" ref="F3:F8" si="0">E3*D3</f>
        <v>0.10800000000000003</v>
      </c>
      <c r="G3" s="21">
        <f>(B3+C3+C3+B3)*E3</f>
        <v>2.16</v>
      </c>
    </row>
    <row r="4" spans="1:7" x14ac:dyDescent="0.25">
      <c r="A4" s="18" t="s">
        <v>69</v>
      </c>
      <c r="B4" s="19">
        <v>0.2</v>
      </c>
      <c r="C4" s="19">
        <v>0.2</v>
      </c>
      <c r="D4" s="20">
        <f>B4*C4</f>
        <v>4.0000000000000008E-2</v>
      </c>
      <c r="E4" s="19">
        <f>2.95-0.7</f>
        <v>2.25</v>
      </c>
      <c r="F4" s="21">
        <f t="shared" si="0"/>
        <v>9.0000000000000024E-2</v>
      </c>
      <c r="G4" s="21">
        <f>(B4+C4+C4)*E4</f>
        <v>1.35</v>
      </c>
    </row>
    <row r="5" spans="1:7" x14ac:dyDescent="0.25">
      <c r="A5" s="18" t="s">
        <v>70</v>
      </c>
      <c r="B5" s="19">
        <v>0.2</v>
      </c>
      <c r="C5" s="19">
        <v>0.2</v>
      </c>
      <c r="D5" s="20">
        <f>B5*C5</f>
        <v>4.0000000000000008E-2</v>
      </c>
      <c r="E5" s="19">
        <f>2.5-0.7</f>
        <v>1.8</v>
      </c>
      <c r="F5" s="21">
        <f t="shared" si="0"/>
        <v>7.2000000000000022E-2</v>
      </c>
      <c r="G5" s="21">
        <f>(B5+C5+C5)*E5</f>
        <v>1.0800000000000003</v>
      </c>
    </row>
    <row r="6" spans="1:7" x14ac:dyDescent="0.25">
      <c r="A6" s="18" t="s">
        <v>71</v>
      </c>
      <c r="B6" s="19">
        <v>0.2</v>
      </c>
      <c r="C6" s="19">
        <v>0.2</v>
      </c>
      <c r="D6" s="20">
        <f t="shared" ref="D6" si="1">B6*C6</f>
        <v>4.0000000000000008E-2</v>
      </c>
      <c r="E6" s="19">
        <f>2.05-0.7</f>
        <v>1.3499999999999999</v>
      </c>
      <c r="F6" s="21">
        <f t="shared" si="0"/>
        <v>5.4000000000000006E-2</v>
      </c>
      <c r="G6" s="21">
        <f t="shared" ref="G6" si="2">(B6+C6+C6)*E6</f>
        <v>0.81</v>
      </c>
    </row>
    <row r="7" spans="1:7" x14ac:dyDescent="0.25">
      <c r="A7" s="18" t="s">
        <v>113</v>
      </c>
      <c r="B7" s="19">
        <v>0.2</v>
      </c>
      <c r="C7" s="19">
        <v>0.2</v>
      </c>
      <c r="D7" s="20">
        <f t="shared" ref="D7:D8" si="3">B7*C7</f>
        <v>4.0000000000000008E-2</v>
      </c>
      <c r="E7" s="19">
        <f>1.6-0.7</f>
        <v>0.90000000000000013</v>
      </c>
      <c r="F7" s="21">
        <f t="shared" si="0"/>
        <v>3.6000000000000011E-2</v>
      </c>
      <c r="G7" s="21">
        <f t="shared" ref="G7:G8" si="4">(B7+C7+C7)*E7</f>
        <v>0.54000000000000015</v>
      </c>
    </row>
    <row r="8" spans="1:7" x14ac:dyDescent="0.25">
      <c r="A8" s="18" t="s">
        <v>114</v>
      </c>
      <c r="B8" s="19">
        <v>0.2</v>
      </c>
      <c r="C8" s="19">
        <v>0.2</v>
      </c>
      <c r="D8" s="20">
        <f t="shared" si="3"/>
        <v>4.0000000000000008E-2</v>
      </c>
      <c r="E8" s="19">
        <f>1.15-0.7</f>
        <v>0.44999999999999996</v>
      </c>
      <c r="F8" s="21">
        <f t="shared" si="0"/>
        <v>1.8000000000000002E-2</v>
      </c>
      <c r="G8" s="21">
        <f t="shared" si="4"/>
        <v>0.27</v>
      </c>
    </row>
    <row r="9" spans="1:7" x14ac:dyDescent="0.25">
      <c r="A9" s="74"/>
      <c r="B9" s="75"/>
      <c r="C9" s="75"/>
      <c r="D9" s="76"/>
      <c r="E9" s="22" t="s">
        <v>14</v>
      </c>
      <c r="F9" s="23">
        <f>SUM(F3:F8)</f>
        <v>0.37800000000000011</v>
      </c>
      <c r="G9" s="23">
        <f>SUM(G3:G8)</f>
        <v>6.2100000000000009</v>
      </c>
    </row>
    <row r="10" spans="1:7" x14ac:dyDescent="0.25">
      <c r="A10" s="77"/>
      <c r="B10" s="78"/>
      <c r="C10" s="78"/>
      <c r="D10" s="79"/>
      <c r="E10" s="22" t="s">
        <v>118</v>
      </c>
      <c r="F10" s="23">
        <f>F9*12</f>
        <v>4.5360000000000014</v>
      </c>
      <c r="G10" s="23">
        <f>G9*12</f>
        <v>74.52000000000001</v>
      </c>
    </row>
    <row r="11" spans="1:7" x14ac:dyDescent="0.25">
      <c r="A11" s="26"/>
      <c r="B11" s="26"/>
      <c r="C11" s="26"/>
      <c r="D11" s="26"/>
      <c r="E11" s="26"/>
      <c r="F11" s="26"/>
      <c r="G11" s="26"/>
    </row>
    <row r="12" spans="1:7" x14ac:dyDescent="0.25">
      <c r="A12" s="26"/>
      <c r="B12" s="26"/>
      <c r="C12" s="26"/>
      <c r="D12" s="26"/>
      <c r="E12" s="26"/>
      <c r="F12" s="26"/>
      <c r="G12" s="26"/>
    </row>
    <row r="13" spans="1:7" x14ac:dyDescent="0.25">
      <c r="A13" s="26"/>
      <c r="B13" s="26"/>
      <c r="C13" s="26"/>
      <c r="D13" s="26"/>
      <c r="E13" s="26"/>
      <c r="F13" s="26"/>
      <c r="G13" s="26"/>
    </row>
    <row r="14" spans="1:7" x14ac:dyDescent="0.25">
      <c r="A14" s="26"/>
      <c r="B14" s="26"/>
      <c r="C14" s="26"/>
      <c r="D14" s="26"/>
      <c r="E14" s="26"/>
      <c r="F14" s="26"/>
      <c r="G14" s="26"/>
    </row>
    <row r="15" spans="1:7" x14ac:dyDescent="0.25">
      <c r="A15" s="26"/>
      <c r="B15" s="26"/>
      <c r="C15" s="26"/>
      <c r="D15" s="26"/>
      <c r="E15" s="26"/>
      <c r="F15" s="26"/>
      <c r="G15" s="26"/>
    </row>
  </sheetData>
  <mergeCells count="2">
    <mergeCell ref="A1:G1"/>
    <mergeCell ref="A9:D10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topLeftCell="D5" workbookViewId="0">
      <selection activeCell="I21" sqref="I21"/>
    </sheetView>
  </sheetViews>
  <sheetFormatPr defaultRowHeight="15" x14ac:dyDescent="0.25"/>
  <cols>
    <col min="2" max="2" width="18.85546875" customWidth="1"/>
    <col min="3" max="3" width="8.7109375" customWidth="1"/>
    <col min="4" max="4" width="11.42578125" customWidth="1"/>
    <col min="5" max="5" width="13.7109375" customWidth="1"/>
    <col min="6" max="6" width="9.85546875" customWidth="1"/>
    <col min="7" max="7" width="10.140625" customWidth="1"/>
    <col min="8" max="8" width="12.28515625" customWidth="1"/>
    <col min="9" max="9" width="15.7109375" customWidth="1"/>
    <col min="10" max="10" width="14.140625" customWidth="1"/>
    <col min="11" max="11" width="10.85546875" customWidth="1"/>
  </cols>
  <sheetData>
    <row r="1" spans="1:11" ht="15" customHeight="1" x14ac:dyDescent="0.25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61" t="s">
        <v>78</v>
      </c>
      <c r="B2" s="61" t="s">
        <v>79</v>
      </c>
      <c r="C2" s="61" t="s">
        <v>80</v>
      </c>
      <c r="D2" s="61" t="s">
        <v>0</v>
      </c>
      <c r="E2" s="69" t="s">
        <v>81</v>
      </c>
      <c r="F2" s="70"/>
      <c r="G2" s="71"/>
      <c r="H2" s="61" t="s">
        <v>82</v>
      </c>
      <c r="I2" s="61" t="s">
        <v>83</v>
      </c>
      <c r="J2" s="61" t="s">
        <v>84</v>
      </c>
      <c r="K2" s="61" t="s">
        <v>85</v>
      </c>
    </row>
    <row r="3" spans="1:11" ht="22.5" customHeight="1" x14ac:dyDescent="0.25">
      <c r="A3" s="61"/>
      <c r="B3" s="61"/>
      <c r="C3" s="61"/>
      <c r="D3" s="61"/>
      <c r="E3" s="69" t="s">
        <v>86</v>
      </c>
      <c r="F3" s="70"/>
      <c r="G3" s="71"/>
      <c r="H3" s="61"/>
      <c r="I3" s="61"/>
      <c r="J3" s="61"/>
      <c r="K3" s="61"/>
    </row>
    <row r="4" spans="1:11" ht="25.5" hidden="1" x14ac:dyDescent="0.25">
      <c r="A4" s="61"/>
      <c r="B4" s="61"/>
      <c r="C4" s="61"/>
      <c r="D4" s="61"/>
      <c r="E4" s="27" t="s">
        <v>87</v>
      </c>
      <c r="F4" s="27" t="s">
        <v>88</v>
      </c>
      <c r="G4" s="27" t="s">
        <v>89</v>
      </c>
      <c r="H4" s="61"/>
      <c r="I4" s="61"/>
      <c r="J4" s="61"/>
      <c r="K4" s="61"/>
    </row>
    <row r="5" spans="1:11" ht="42" customHeight="1" x14ac:dyDescent="0.25">
      <c r="A5" s="24" t="s">
        <v>165</v>
      </c>
      <c r="B5" s="24" t="s">
        <v>90</v>
      </c>
      <c r="C5" s="1">
        <v>30</v>
      </c>
      <c r="D5" s="1">
        <v>38</v>
      </c>
      <c r="E5" s="1">
        <v>600</v>
      </c>
      <c r="F5" s="1"/>
      <c r="G5" s="1"/>
      <c r="H5" s="2" t="s">
        <v>91</v>
      </c>
      <c r="I5" s="2">
        <v>8</v>
      </c>
      <c r="J5" s="2">
        <f>D5*I5</f>
        <v>304</v>
      </c>
      <c r="K5" s="34">
        <f>D5</f>
        <v>38</v>
      </c>
    </row>
    <row r="6" spans="1:11" x14ac:dyDescent="0.25">
      <c r="A6" s="26"/>
      <c r="B6" s="26"/>
      <c r="C6" s="26"/>
      <c r="D6" s="26"/>
      <c r="E6" s="26"/>
      <c r="F6" s="26"/>
      <c r="G6" s="26"/>
    </row>
    <row r="7" spans="1:11" x14ac:dyDescent="0.25">
      <c r="A7" s="26"/>
      <c r="B7" s="26"/>
      <c r="C7" s="26"/>
      <c r="D7" s="26"/>
      <c r="E7" s="26"/>
      <c r="F7" s="26"/>
      <c r="G7" s="26"/>
    </row>
    <row r="8" spans="1:11" x14ac:dyDescent="0.25">
      <c r="A8" s="26"/>
      <c r="B8" s="26"/>
      <c r="C8" s="26"/>
      <c r="D8" s="26"/>
      <c r="E8" s="26"/>
      <c r="F8" s="26"/>
      <c r="G8" s="26"/>
    </row>
    <row r="10" spans="1:11" x14ac:dyDescent="0.25">
      <c r="D10">
        <f>52.8*7</f>
        <v>369.59999999999997</v>
      </c>
    </row>
    <row r="11" spans="1:11" x14ac:dyDescent="0.25">
      <c r="D11">
        <f>52.8*8</f>
        <v>422.4</v>
      </c>
      <c r="F11" t="s">
        <v>166</v>
      </c>
      <c r="G11">
        <f>1900/100</f>
        <v>19</v>
      </c>
      <c r="H11">
        <v>18.3</v>
      </c>
    </row>
    <row r="12" spans="1:11" x14ac:dyDescent="0.25">
      <c r="F12" t="s">
        <v>167</v>
      </c>
      <c r="G12">
        <f>3792/100</f>
        <v>37.92</v>
      </c>
      <c r="H12">
        <v>9.3000000000000007</v>
      </c>
    </row>
    <row r="13" spans="1:11" x14ac:dyDescent="0.25">
      <c r="F13">
        <v>12.5</v>
      </c>
      <c r="G13">
        <f>1312/100</f>
        <v>13.12</v>
      </c>
      <c r="H13">
        <v>12.6</v>
      </c>
    </row>
    <row r="14" spans="1:11" x14ac:dyDescent="0.25">
      <c r="F14">
        <v>12.5</v>
      </c>
      <c r="G14">
        <f>760/100</f>
        <v>7.6</v>
      </c>
      <c r="H14">
        <v>7.3</v>
      </c>
    </row>
    <row r="15" spans="1:11" x14ac:dyDescent="0.25">
      <c r="F15" t="s">
        <v>167</v>
      </c>
      <c r="G15">
        <f>216/100</f>
        <v>2.16</v>
      </c>
      <c r="H15">
        <v>0.5</v>
      </c>
    </row>
    <row r="18" spans="6:9" x14ac:dyDescent="0.25">
      <c r="G18">
        <f>762-G12-G15</f>
        <v>721.92000000000007</v>
      </c>
      <c r="H18">
        <f>205-H12-H15</f>
        <v>195.2</v>
      </c>
    </row>
    <row r="19" spans="6:9" x14ac:dyDescent="0.25">
      <c r="G19">
        <f>515.6-G11-G13-G14</f>
        <v>475.88</v>
      </c>
      <c r="H19">
        <f>546-H11-H13-H14</f>
        <v>507.8</v>
      </c>
      <c r="I19">
        <f>410-48</f>
        <v>362</v>
      </c>
    </row>
    <row r="20" spans="6:9" x14ac:dyDescent="0.25">
      <c r="I20">
        <f>I19+258</f>
        <v>620</v>
      </c>
    </row>
    <row r="21" spans="6:9" x14ac:dyDescent="0.25">
      <c r="F21">
        <f>195+27+546+508</f>
        <v>1276</v>
      </c>
    </row>
  </sheetData>
  <mergeCells count="11">
    <mergeCell ref="A1:K1"/>
    <mergeCell ref="A2:A4"/>
    <mergeCell ref="B2:B4"/>
    <mergeCell ref="C2:C4"/>
    <mergeCell ref="D2:D4"/>
    <mergeCell ref="E2:G2"/>
    <mergeCell ref="H2:H4"/>
    <mergeCell ref="I2:I4"/>
    <mergeCell ref="J2:J4"/>
    <mergeCell ref="K2:K4"/>
    <mergeCell ref="E3:G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0"/>
  <sheetViews>
    <sheetView zoomScale="90" zoomScaleNormal="90" workbookViewId="0">
      <selection activeCell="H22" sqref="H22"/>
    </sheetView>
  </sheetViews>
  <sheetFormatPr defaultRowHeight="15" x14ac:dyDescent="0.25"/>
  <cols>
    <col min="1" max="1" width="18.42578125" customWidth="1"/>
    <col min="2" max="2" width="7.5703125" customWidth="1"/>
    <col min="3" max="3" width="7.42578125" customWidth="1"/>
    <col min="4" max="4" width="9.5703125" customWidth="1"/>
    <col min="5" max="5" width="11.42578125" customWidth="1"/>
    <col min="6" max="6" width="13.140625" customWidth="1"/>
    <col min="7" max="7" width="14.140625" customWidth="1"/>
    <col min="8" max="8" width="12.7109375" customWidth="1"/>
  </cols>
  <sheetData>
    <row r="2" spans="1:8" x14ac:dyDescent="0.25">
      <c r="A2" s="84" t="s">
        <v>62</v>
      </c>
      <c r="B2" s="84"/>
      <c r="C2" s="84"/>
      <c r="D2" s="84"/>
      <c r="E2" s="84"/>
      <c r="F2" s="84"/>
      <c r="G2" s="84"/>
      <c r="H2" s="84"/>
    </row>
    <row r="3" spans="1:8" ht="29.25" customHeight="1" x14ac:dyDescent="0.25">
      <c r="A3" s="27" t="s">
        <v>17</v>
      </c>
      <c r="B3" s="27" t="s">
        <v>56</v>
      </c>
      <c r="C3" s="27" t="s">
        <v>57</v>
      </c>
      <c r="D3" s="27" t="s">
        <v>2</v>
      </c>
      <c r="E3" s="27" t="s">
        <v>12</v>
      </c>
      <c r="F3" s="27" t="s">
        <v>59</v>
      </c>
      <c r="G3" s="27" t="s">
        <v>0</v>
      </c>
      <c r="H3" s="27" t="s">
        <v>13</v>
      </c>
    </row>
    <row r="4" spans="1:8" ht="28.5" customHeight="1" x14ac:dyDescent="0.25">
      <c r="A4" s="18" t="s">
        <v>120</v>
      </c>
      <c r="B4" s="30">
        <v>0.85</v>
      </c>
      <c r="C4" s="30">
        <v>4.0999999999999996</v>
      </c>
      <c r="D4" s="6">
        <f>B4*C4</f>
        <v>3.4849999999999994</v>
      </c>
      <c r="E4" s="6">
        <v>0.04</v>
      </c>
      <c r="F4" s="35">
        <f>D4*E4</f>
        <v>0.13939999999999997</v>
      </c>
      <c r="G4" s="6">
        <f>6*6</f>
        <v>36</v>
      </c>
      <c r="H4" s="30">
        <f>F4*G4</f>
        <v>5.0183999999999989</v>
      </c>
    </row>
    <row r="5" spans="1:8" ht="28.5" customHeight="1" x14ac:dyDescent="0.25">
      <c r="A5" s="18" t="s">
        <v>121</v>
      </c>
      <c r="B5" s="30">
        <v>0.85</v>
      </c>
      <c r="C5" s="30">
        <v>2</v>
      </c>
      <c r="D5" s="30">
        <f>B5*C5</f>
        <v>1.7</v>
      </c>
      <c r="E5" s="6">
        <v>0.04</v>
      </c>
      <c r="F5" s="30">
        <f>D5*E5</f>
        <v>6.8000000000000005E-2</v>
      </c>
      <c r="G5" s="6">
        <v>10</v>
      </c>
      <c r="H5" s="30">
        <f>F5*G5</f>
        <v>0.68</v>
      </c>
    </row>
    <row r="6" spans="1:8" ht="28.5" customHeight="1" x14ac:dyDescent="0.25">
      <c r="A6" s="18" t="s">
        <v>122</v>
      </c>
      <c r="B6" s="30">
        <v>0.5</v>
      </c>
      <c r="C6" s="30">
        <v>4.45</v>
      </c>
      <c r="D6" s="30">
        <f t="shared" ref="D6:D7" si="0">B6*C6</f>
        <v>2.2250000000000001</v>
      </c>
      <c r="E6" s="6">
        <v>0.04</v>
      </c>
      <c r="F6" s="30">
        <f t="shared" ref="F6:F7" si="1">D6*E6</f>
        <v>8.900000000000001E-2</v>
      </c>
      <c r="G6" s="6">
        <f>12</f>
        <v>12</v>
      </c>
      <c r="H6" s="30">
        <f t="shared" ref="H6:H7" si="2">F6*G6</f>
        <v>1.0680000000000001</v>
      </c>
    </row>
    <row r="7" spans="1:8" ht="28.5" customHeight="1" x14ac:dyDescent="0.25">
      <c r="A7" s="18" t="s">
        <v>123</v>
      </c>
      <c r="B7" s="30">
        <v>0.85</v>
      </c>
      <c r="C7" s="30">
        <v>5.0999999999999996</v>
      </c>
      <c r="D7" s="30">
        <f t="shared" si="0"/>
        <v>4.335</v>
      </c>
      <c r="E7" s="6">
        <v>0.04</v>
      </c>
      <c r="F7" s="30">
        <f t="shared" si="1"/>
        <v>0.1734</v>
      </c>
      <c r="G7" s="6">
        <v>6</v>
      </c>
      <c r="H7" s="30">
        <f t="shared" si="2"/>
        <v>1.0404</v>
      </c>
    </row>
    <row r="8" spans="1:8" x14ac:dyDescent="0.25">
      <c r="A8" s="85" t="s">
        <v>58</v>
      </c>
      <c r="B8" s="86"/>
      <c r="C8" s="86"/>
      <c r="D8" s="86"/>
      <c r="E8" s="86"/>
      <c r="F8" s="86"/>
      <c r="G8" s="87"/>
      <c r="H8" s="33">
        <f>SUM(H4:H7)</f>
        <v>7.8067999999999991</v>
      </c>
    </row>
    <row r="9" spans="1:8" ht="17.25" customHeight="1" x14ac:dyDescent="0.25">
      <c r="A9" s="81" t="s">
        <v>76</v>
      </c>
      <c r="B9" s="82"/>
      <c r="C9" s="82"/>
      <c r="D9" s="82"/>
      <c r="E9" s="82"/>
      <c r="F9" s="82"/>
      <c r="G9" s="83"/>
      <c r="H9" s="33">
        <f>(D4*G4)+(D5*G5)+(D6*G6)+(D7*G7)</f>
        <v>195.16999999999996</v>
      </c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</sheetData>
  <mergeCells count="3">
    <mergeCell ref="A9:G9"/>
    <mergeCell ref="A2:H2"/>
    <mergeCell ref="A8:G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topLeftCell="A16" workbookViewId="0">
      <selection activeCell="D24" sqref="D24"/>
    </sheetView>
  </sheetViews>
  <sheetFormatPr defaultRowHeight="15" x14ac:dyDescent="0.25"/>
  <cols>
    <col min="1" max="1" width="5.140625" bestFit="1" customWidth="1"/>
    <col min="2" max="2" width="45" bestFit="1" customWidth="1"/>
    <col min="3" max="3" width="7" bestFit="1" customWidth="1"/>
    <col min="4" max="4" width="11.42578125" bestFit="1" customWidth="1"/>
    <col min="5" max="5" width="8.28515625" customWidth="1"/>
    <col min="6" max="6" width="8.5703125" bestFit="1" customWidth="1"/>
    <col min="7" max="7" width="31" customWidth="1"/>
  </cols>
  <sheetData>
    <row r="1" spans="1:8" x14ac:dyDescent="0.25">
      <c r="A1" s="89" t="s">
        <v>159</v>
      </c>
      <c r="B1" s="89"/>
      <c r="C1" s="89"/>
      <c r="D1" s="89"/>
      <c r="E1" s="89"/>
      <c r="F1" s="89"/>
      <c r="G1" s="36"/>
      <c r="H1" s="36"/>
    </row>
    <row r="2" spans="1:8" x14ac:dyDescent="0.25">
      <c r="A2" s="37"/>
      <c r="B2" s="37"/>
      <c r="C2" s="37"/>
      <c r="D2" s="37"/>
      <c r="E2" s="36"/>
      <c r="F2" s="36"/>
      <c r="G2" s="36"/>
      <c r="H2" s="36"/>
    </row>
    <row r="3" spans="1:8" x14ac:dyDescent="0.25">
      <c r="A3" s="38" t="s">
        <v>4</v>
      </c>
      <c r="B3" s="38" t="s">
        <v>124</v>
      </c>
      <c r="C3" s="38" t="s">
        <v>125</v>
      </c>
      <c r="D3" s="38" t="s">
        <v>0</v>
      </c>
      <c r="E3" s="38" t="s">
        <v>89</v>
      </c>
      <c r="F3" s="38" t="s">
        <v>126</v>
      </c>
      <c r="G3" s="39"/>
      <c r="H3" s="39"/>
    </row>
    <row r="4" spans="1:8" x14ac:dyDescent="0.25">
      <c r="A4" s="40">
        <v>1</v>
      </c>
      <c r="B4" s="88" t="s">
        <v>127</v>
      </c>
      <c r="C4" s="88"/>
      <c r="D4" s="88"/>
      <c r="E4" s="88"/>
      <c r="F4" s="88"/>
      <c r="G4" s="36"/>
      <c r="H4" s="36"/>
    </row>
    <row r="5" spans="1:8" x14ac:dyDescent="0.25">
      <c r="A5" s="37">
        <v>1.1000000000000001</v>
      </c>
      <c r="B5" s="37" t="s">
        <v>157</v>
      </c>
      <c r="C5" s="41">
        <v>8</v>
      </c>
      <c r="D5" s="42">
        <v>39</v>
      </c>
      <c r="E5" s="43">
        <f>C5*D5</f>
        <v>312</v>
      </c>
      <c r="F5" s="39" t="s">
        <v>128</v>
      </c>
      <c r="G5" s="36" t="s">
        <v>129</v>
      </c>
      <c r="H5" s="36"/>
    </row>
    <row r="6" spans="1:8" x14ac:dyDescent="0.25">
      <c r="A6" s="37">
        <v>1.2</v>
      </c>
      <c r="B6" s="37" t="s">
        <v>130</v>
      </c>
      <c r="C6" s="41">
        <v>1</v>
      </c>
      <c r="D6" s="42">
        <v>39</v>
      </c>
      <c r="E6" s="43">
        <f>C6*D6</f>
        <v>39</v>
      </c>
      <c r="F6" s="39" t="s">
        <v>131</v>
      </c>
      <c r="G6" s="44">
        <f>E13/E12</f>
        <v>83.324924318869833</v>
      </c>
      <c r="H6" s="36"/>
    </row>
    <row r="7" spans="1:8" x14ac:dyDescent="0.25">
      <c r="A7" s="37">
        <v>1.3</v>
      </c>
      <c r="B7" s="37" t="s">
        <v>160</v>
      </c>
      <c r="C7" s="45">
        <f>(0.6*((0.15*0.15)*3.14))</f>
        <v>4.2390000000000004E-2</v>
      </c>
      <c r="D7" s="42">
        <v>39</v>
      </c>
      <c r="E7" s="43">
        <f t="shared" ref="E7" si="0">C7*D7</f>
        <v>1.6532100000000001</v>
      </c>
      <c r="F7" s="39" t="s">
        <v>133</v>
      </c>
      <c r="G7" s="36"/>
      <c r="H7" s="36"/>
    </row>
    <row r="8" spans="1:8" x14ac:dyDescent="0.25">
      <c r="A8" s="37">
        <v>1.4</v>
      </c>
      <c r="B8" s="36" t="s">
        <v>134</v>
      </c>
      <c r="C8" s="42"/>
      <c r="D8" s="42">
        <v>88.33</v>
      </c>
      <c r="E8" s="43">
        <f t="shared" ref="E8:E13" si="1">D8</f>
        <v>88.33</v>
      </c>
      <c r="F8" s="39" t="s">
        <v>133</v>
      </c>
      <c r="G8" s="36"/>
      <c r="H8" s="36"/>
    </row>
    <row r="9" spans="1:8" x14ac:dyDescent="0.25">
      <c r="A9" s="37">
        <v>1.5</v>
      </c>
      <c r="B9" s="36" t="s">
        <v>135</v>
      </c>
      <c r="C9" s="41"/>
      <c r="D9" s="42">
        <f>45.98</f>
        <v>45.98</v>
      </c>
      <c r="E9" s="43">
        <f t="shared" si="1"/>
        <v>45.98</v>
      </c>
      <c r="F9" s="39" t="s">
        <v>133</v>
      </c>
      <c r="G9" s="36"/>
      <c r="H9" s="36"/>
    </row>
    <row r="10" spans="1:8" x14ac:dyDescent="0.25">
      <c r="A10" s="37">
        <v>1.6</v>
      </c>
      <c r="B10" s="36" t="s">
        <v>136</v>
      </c>
      <c r="C10" s="46"/>
      <c r="D10" s="47">
        <v>2.76</v>
      </c>
      <c r="E10" s="43">
        <f t="shared" si="1"/>
        <v>2.76</v>
      </c>
      <c r="F10" s="39" t="s">
        <v>133</v>
      </c>
      <c r="G10" s="36"/>
      <c r="H10" s="36"/>
    </row>
    <row r="11" spans="1:8" x14ac:dyDescent="0.25">
      <c r="A11" s="37">
        <v>1.7</v>
      </c>
      <c r="B11" s="36" t="s">
        <v>137</v>
      </c>
      <c r="C11" s="46"/>
      <c r="D11" s="47">
        <v>131.63999999999999</v>
      </c>
      <c r="E11" s="43">
        <f t="shared" si="1"/>
        <v>131.63999999999999</v>
      </c>
      <c r="F11" s="39" t="s">
        <v>133</v>
      </c>
      <c r="G11" s="36"/>
      <c r="H11" s="36"/>
    </row>
    <row r="12" spans="1:8" x14ac:dyDescent="0.25">
      <c r="A12" s="37">
        <v>1.8</v>
      </c>
      <c r="B12" s="37" t="s">
        <v>138</v>
      </c>
      <c r="C12" s="46"/>
      <c r="D12" s="47">
        <v>39.64</v>
      </c>
      <c r="E12" s="43">
        <f t="shared" si="1"/>
        <v>39.64</v>
      </c>
      <c r="F12" s="39" t="s">
        <v>133</v>
      </c>
      <c r="G12" s="36"/>
      <c r="H12" s="36"/>
    </row>
    <row r="13" spans="1:8" x14ac:dyDescent="0.25">
      <c r="A13" s="37">
        <v>1.9</v>
      </c>
      <c r="B13" s="36" t="s">
        <v>139</v>
      </c>
      <c r="C13" s="46"/>
      <c r="D13" s="47">
        <v>3303</v>
      </c>
      <c r="E13" s="43">
        <f t="shared" si="1"/>
        <v>3303</v>
      </c>
      <c r="F13" s="39" t="s">
        <v>140</v>
      </c>
      <c r="G13" s="36"/>
      <c r="H13" s="36"/>
    </row>
    <row r="14" spans="1:8" x14ac:dyDescent="0.25">
      <c r="A14" s="40">
        <v>3</v>
      </c>
      <c r="B14" s="88" t="s">
        <v>142</v>
      </c>
      <c r="C14" s="88"/>
      <c r="D14" s="88"/>
      <c r="E14" s="88"/>
      <c r="F14" s="88"/>
      <c r="G14" s="36"/>
      <c r="H14" s="36"/>
    </row>
    <row r="15" spans="1:8" x14ac:dyDescent="0.25">
      <c r="A15" s="36">
        <v>3.1</v>
      </c>
      <c r="B15" s="36" t="s">
        <v>143</v>
      </c>
      <c r="C15" s="36"/>
      <c r="D15" s="36">
        <f>8.08*1</f>
        <v>8.08</v>
      </c>
      <c r="E15" s="39">
        <f>D15</f>
        <v>8.08</v>
      </c>
      <c r="F15" s="39" t="s">
        <v>133</v>
      </c>
      <c r="G15" s="36" t="s">
        <v>129</v>
      </c>
      <c r="H15" s="36"/>
    </row>
    <row r="16" spans="1:8" x14ac:dyDescent="0.25">
      <c r="A16" s="36"/>
      <c r="B16" s="36" t="s">
        <v>144</v>
      </c>
      <c r="C16" s="36"/>
      <c r="D16" s="36">
        <f>D15-3.98-0.41</f>
        <v>3.6899999999999995</v>
      </c>
      <c r="E16" s="39">
        <f t="shared" ref="E16:E20" si="2">D16</f>
        <v>3.6899999999999995</v>
      </c>
      <c r="F16" s="39" t="s">
        <v>133</v>
      </c>
      <c r="G16" s="44">
        <f>E20/E19</f>
        <v>68.311688311688314</v>
      </c>
      <c r="H16" s="36"/>
    </row>
    <row r="17" spans="1:8" x14ac:dyDescent="0.25">
      <c r="A17" s="36">
        <v>3.2</v>
      </c>
      <c r="B17" s="36" t="s">
        <v>145</v>
      </c>
      <c r="C17" s="36"/>
      <c r="D17" s="36">
        <v>44.61</v>
      </c>
      <c r="E17" s="39">
        <f t="shared" si="2"/>
        <v>44.61</v>
      </c>
      <c r="F17" s="39" t="s">
        <v>141</v>
      </c>
      <c r="G17" s="36"/>
      <c r="H17" s="36"/>
    </row>
    <row r="18" spans="1:8" x14ac:dyDescent="0.25">
      <c r="A18" s="36">
        <v>3.3</v>
      </c>
      <c r="B18" s="36" t="s">
        <v>146</v>
      </c>
      <c r="C18" s="36"/>
      <c r="D18" s="36">
        <v>0.41</v>
      </c>
      <c r="E18" s="39">
        <f t="shared" si="2"/>
        <v>0.41</v>
      </c>
      <c r="F18" s="39" t="s">
        <v>133</v>
      </c>
      <c r="G18" s="36"/>
      <c r="H18" s="36"/>
    </row>
    <row r="19" spans="1:8" x14ac:dyDescent="0.25">
      <c r="A19" s="36">
        <v>3.4</v>
      </c>
      <c r="B19" s="36" t="s">
        <v>147</v>
      </c>
      <c r="C19" s="36"/>
      <c r="D19" s="36">
        <v>3.85</v>
      </c>
      <c r="E19" s="39">
        <f t="shared" si="2"/>
        <v>3.85</v>
      </c>
      <c r="F19" s="39" t="s">
        <v>133</v>
      </c>
      <c r="G19" s="36"/>
      <c r="H19" s="36"/>
    </row>
    <row r="20" spans="1:8" x14ac:dyDescent="0.25">
      <c r="A20" s="36">
        <v>3.5</v>
      </c>
      <c r="B20" s="36" t="s">
        <v>148</v>
      </c>
      <c r="C20" s="36"/>
      <c r="D20" s="36">
        <v>263</v>
      </c>
      <c r="E20" s="39">
        <f t="shared" si="2"/>
        <v>263</v>
      </c>
      <c r="F20" s="39" t="s">
        <v>140</v>
      </c>
      <c r="G20" s="36"/>
      <c r="H20" s="36"/>
    </row>
    <row r="21" spans="1:8" x14ac:dyDescent="0.25">
      <c r="A21" s="40">
        <v>4</v>
      </c>
      <c r="B21" s="88" t="s">
        <v>149</v>
      </c>
      <c r="C21" s="88"/>
      <c r="D21" s="88"/>
      <c r="E21" s="88"/>
      <c r="F21" s="88"/>
      <c r="G21" s="36"/>
      <c r="H21" s="36"/>
    </row>
    <row r="22" spans="1:8" x14ac:dyDescent="0.25">
      <c r="A22" s="36">
        <v>4.0999999999999996</v>
      </c>
      <c r="B22" s="36" t="s">
        <v>145</v>
      </c>
      <c r="C22" s="36"/>
      <c r="D22" s="36">
        <f>10.91+31.74+2.03</f>
        <v>44.68</v>
      </c>
      <c r="E22" s="39">
        <f>D22</f>
        <v>44.68</v>
      </c>
      <c r="F22" s="39" t="s">
        <v>141</v>
      </c>
      <c r="G22" s="36" t="s">
        <v>129</v>
      </c>
      <c r="H22" s="36"/>
    </row>
    <row r="23" spans="1:8" x14ac:dyDescent="0.25">
      <c r="A23" s="36">
        <v>4.2</v>
      </c>
      <c r="B23" s="36" t="s">
        <v>147</v>
      </c>
      <c r="C23" s="36"/>
      <c r="D23" s="36">
        <f>1.76+1.6+0.61</f>
        <v>3.97</v>
      </c>
      <c r="E23" s="39">
        <f t="shared" ref="E23:E24" si="3">D23</f>
        <v>3.97</v>
      </c>
      <c r="F23" s="39" t="s">
        <v>133</v>
      </c>
      <c r="G23" s="44">
        <f>E24/E23</f>
        <v>277.83375314861462</v>
      </c>
      <c r="H23" s="36"/>
    </row>
    <row r="24" spans="1:8" x14ac:dyDescent="0.25">
      <c r="A24" s="36">
        <v>4.3</v>
      </c>
      <c r="B24" s="36" t="s">
        <v>148</v>
      </c>
      <c r="C24" s="36"/>
      <c r="D24" s="36">
        <f>620+73+410</f>
        <v>1103</v>
      </c>
      <c r="E24" s="39">
        <f t="shared" si="3"/>
        <v>1103</v>
      </c>
      <c r="F24" s="39" t="s">
        <v>140</v>
      </c>
      <c r="G24" s="36"/>
      <c r="H24" s="36"/>
    </row>
    <row r="25" spans="1:8" x14ac:dyDescent="0.25">
      <c r="A25" s="40">
        <v>5</v>
      </c>
      <c r="B25" s="88" t="s">
        <v>158</v>
      </c>
      <c r="C25" s="88"/>
      <c r="D25" s="88"/>
      <c r="E25" s="88"/>
      <c r="F25" s="88"/>
      <c r="G25" s="36"/>
      <c r="H25" s="36"/>
    </row>
    <row r="26" spans="1:8" x14ac:dyDescent="0.25">
      <c r="A26" s="36">
        <v>5.0999999999999996</v>
      </c>
      <c r="B26" s="36" t="s">
        <v>145</v>
      </c>
      <c r="C26" s="36"/>
      <c r="D26" s="36">
        <v>44.61</v>
      </c>
      <c r="E26" s="39">
        <f>D26</f>
        <v>44.61</v>
      </c>
      <c r="F26" s="39" t="s">
        <v>141</v>
      </c>
      <c r="G26" s="36" t="s">
        <v>129</v>
      </c>
      <c r="H26" s="36"/>
    </row>
    <row r="27" spans="1:8" x14ac:dyDescent="0.25">
      <c r="A27" s="36">
        <v>5.2</v>
      </c>
      <c r="B27" s="36" t="s">
        <v>147</v>
      </c>
      <c r="C27" s="36"/>
      <c r="D27" s="36">
        <v>3.98</v>
      </c>
      <c r="E27" s="39">
        <f t="shared" ref="E27:E28" si="4">D27</f>
        <v>3.98</v>
      </c>
      <c r="F27" s="39" t="s">
        <v>133</v>
      </c>
      <c r="G27" s="44">
        <f>E28/E27</f>
        <v>69.346733668341713</v>
      </c>
      <c r="H27" s="36"/>
    </row>
    <row r="28" spans="1:8" x14ac:dyDescent="0.25">
      <c r="A28" s="36">
        <v>5.3</v>
      </c>
      <c r="B28" s="36" t="s">
        <v>148</v>
      </c>
      <c r="C28" s="36"/>
      <c r="D28" s="36">
        <v>276</v>
      </c>
      <c r="E28" s="39">
        <f t="shared" si="4"/>
        <v>276</v>
      </c>
      <c r="F28" s="39" t="s">
        <v>140</v>
      </c>
      <c r="G28" s="36"/>
      <c r="H28" s="36"/>
    </row>
    <row r="29" spans="1:8" x14ac:dyDescent="0.25">
      <c r="A29" s="40">
        <v>6</v>
      </c>
      <c r="B29" s="88" t="s">
        <v>150</v>
      </c>
      <c r="C29" s="88"/>
      <c r="D29" s="88"/>
      <c r="E29" s="88"/>
      <c r="F29" s="88"/>
      <c r="G29" s="36"/>
      <c r="H29" s="36"/>
    </row>
    <row r="30" spans="1:8" x14ac:dyDescent="0.25">
      <c r="A30" s="36">
        <v>6.1</v>
      </c>
      <c r="B30" s="36" t="s">
        <v>145</v>
      </c>
      <c r="C30" s="36"/>
      <c r="D30" s="36">
        <f>21.71+21.81</f>
        <v>43.519999999999996</v>
      </c>
      <c r="E30" s="39">
        <f>D30</f>
        <v>43.519999999999996</v>
      </c>
      <c r="F30" s="39" t="s">
        <v>141</v>
      </c>
      <c r="G30" s="36"/>
      <c r="H30" s="36"/>
    </row>
    <row r="31" spans="1:8" x14ac:dyDescent="0.25">
      <c r="A31" s="36">
        <v>6.2</v>
      </c>
      <c r="B31" s="36" t="s">
        <v>147</v>
      </c>
      <c r="C31" s="36"/>
      <c r="D31" s="47">
        <v>1.8</v>
      </c>
      <c r="E31" s="39">
        <f t="shared" ref="E31:E33" si="5">D31</f>
        <v>1.8</v>
      </c>
      <c r="F31" s="39" t="s">
        <v>133</v>
      </c>
      <c r="G31" s="36"/>
      <c r="H31" s="36"/>
    </row>
    <row r="32" spans="1:8" x14ac:dyDescent="0.25">
      <c r="A32" s="36">
        <v>6.4</v>
      </c>
      <c r="B32" s="36" t="s">
        <v>151</v>
      </c>
      <c r="C32" s="36"/>
      <c r="D32" s="47">
        <f>D30</f>
        <v>43.519999999999996</v>
      </c>
      <c r="E32" s="39">
        <f t="shared" si="5"/>
        <v>43.519999999999996</v>
      </c>
      <c r="F32" s="39" t="s">
        <v>141</v>
      </c>
      <c r="G32" s="36"/>
      <c r="H32" s="36"/>
    </row>
    <row r="33" spans="1:8" x14ac:dyDescent="0.25">
      <c r="A33" s="36">
        <v>6.5</v>
      </c>
      <c r="B33" s="36" t="s">
        <v>152</v>
      </c>
      <c r="C33" s="36"/>
      <c r="D33" s="36">
        <f>D30</f>
        <v>43.519999999999996</v>
      </c>
      <c r="E33" s="39">
        <f t="shared" si="5"/>
        <v>43.519999999999996</v>
      </c>
      <c r="F33" s="39" t="s">
        <v>141</v>
      </c>
      <c r="G33" s="36"/>
      <c r="H33" s="36"/>
    </row>
    <row r="34" spans="1:8" x14ac:dyDescent="0.25">
      <c r="A34" s="40">
        <v>7</v>
      </c>
      <c r="B34" s="88" t="s">
        <v>153</v>
      </c>
      <c r="C34" s="88"/>
      <c r="D34" s="88"/>
      <c r="E34" s="88"/>
      <c r="F34" s="88"/>
      <c r="G34" s="36"/>
      <c r="H34" s="36"/>
    </row>
    <row r="35" spans="1:8" x14ac:dyDescent="0.25">
      <c r="A35" s="36">
        <v>7.1</v>
      </c>
      <c r="B35" s="36" t="s">
        <v>145</v>
      </c>
      <c r="C35" s="36"/>
      <c r="D35" s="36">
        <v>43.17</v>
      </c>
      <c r="E35" s="39">
        <f>D35</f>
        <v>43.17</v>
      </c>
      <c r="F35" s="39" t="s">
        <v>141</v>
      </c>
      <c r="G35" s="36" t="s">
        <v>129</v>
      </c>
      <c r="H35" s="36"/>
    </row>
    <row r="36" spans="1:8" x14ac:dyDescent="0.25">
      <c r="A36" s="36">
        <v>7.1</v>
      </c>
      <c r="B36" s="36" t="s">
        <v>147</v>
      </c>
      <c r="C36" s="36"/>
      <c r="D36" s="36">
        <v>3.85</v>
      </c>
      <c r="E36" s="39">
        <f t="shared" ref="E36:E37" si="6">D36</f>
        <v>3.85</v>
      </c>
      <c r="F36" s="39" t="s">
        <v>133</v>
      </c>
      <c r="G36" s="44">
        <f>E37/E36</f>
        <v>67.012987012987011</v>
      </c>
      <c r="H36" s="36"/>
    </row>
    <row r="37" spans="1:8" x14ac:dyDescent="0.25">
      <c r="A37" s="36">
        <v>7.1</v>
      </c>
      <c r="B37" s="36" t="s">
        <v>148</v>
      </c>
      <c r="C37" s="36"/>
      <c r="D37" s="36">
        <v>258</v>
      </c>
      <c r="E37" s="39">
        <f t="shared" si="6"/>
        <v>258</v>
      </c>
      <c r="F37" s="39" t="s">
        <v>140</v>
      </c>
      <c r="G37" s="36"/>
      <c r="H37" s="36"/>
    </row>
    <row r="38" spans="1:8" x14ac:dyDescent="0.25">
      <c r="A38" s="36"/>
      <c r="B38" s="36"/>
      <c r="C38" s="36"/>
      <c r="D38" s="36"/>
      <c r="E38" s="36"/>
      <c r="F38" s="36"/>
      <c r="G38" s="36"/>
      <c r="H38" s="36"/>
    </row>
    <row r="39" spans="1:8" x14ac:dyDescent="0.25">
      <c r="A39" s="36"/>
      <c r="B39" s="36"/>
      <c r="C39" s="36"/>
      <c r="D39" s="36"/>
      <c r="E39" s="36"/>
      <c r="F39" s="36"/>
      <c r="G39" s="36"/>
      <c r="H39" s="36"/>
    </row>
    <row r="40" spans="1:8" x14ac:dyDescent="0.25">
      <c r="A40" s="36"/>
      <c r="B40" s="36" t="s">
        <v>154</v>
      </c>
      <c r="C40" s="36">
        <f>D17+D26+D35</f>
        <v>132.38999999999999</v>
      </c>
      <c r="D40" s="36"/>
      <c r="E40" s="36"/>
      <c r="F40" s="36"/>
      <c r="G40" s="36"/>
      <c r="H40" s="36"/>
    </row>
    <row r="41" spans="1:8" x14ac:dyDescent="0.25">
      <c r="A41" s="36"/>
      <c r="B41" s="36" t="s">
        <v>155</v>
      </c>
      <c r="C41" s="36">
        <f>E36+E27+E19</f>
        <v>11.68</v>
      </c>
      <c r="D41" s="36"/>
      <c r="E41" s="36"/>
      <c r="F41" s="36"/>
      <c r="G41" s="36"/>
      <c r="H41" s="36"/>
    </row>
    <row r="42" spans="1:8" x14ac:dyDescent="0.25">
      <c r="A42" s="36"/>
      <c r="B42" s="36" t="s">
        <v>156</v>
      </c>
      <c r="C42" s="36">
        <f>E37+E28+E20</f>
        <v>797</v>
      </c>
      <c r="D42" s="36"/>
      <c r="E42" s="36"/>
      <c r="F42" s="36"/>
      <c r="G42" s="36"/>
      <c r="H42" s="36"/>
    </row>
    <row r="43" spans="1:8" x14ac:dyDescent="0.25">
      <c r="A43" s="36"/>
      <c r="B43" s="36"/>
      <c r="C43" s="36"/>
      <c r="D43" s="36"/>
      <c r="E43" s="36"/>
      <c r="F43" s="36"/>
      <c r="G43" s="36"/>
      <c r="H43" s="36"/>
    </row>
    <row r="44" spans="1:8" x14ac:dyDescent="0.25">
      <c r="C44">
        <f>C42/C41</f>
        <v>68.236301369863014</v>
      </c>
    </row>
  </sheetData>
  <mergeCells count="7">
    <mergeCell ref="B29:F29"/>
    <mergeCell ref="B34:F34"/>
    <mergeCell ref="A1:F1"/>
    <mergeCell ref="B4:F4"/>
    <mergeCell ref="B14:F14"/>
    <mergeCell ref="B21:F21"/>
    <mergeCell ref="B25:F2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Armação Blocos 1</vt:lpstr>
      <vt:lpstr>Concreto Bloco 1</vt:lpstr>
      <vt:lpstr>Armação Vigas 1</vt:lpstr>
      <vt:lpstr>Vigas 1</vt:lpstr>
      <vt:lpstr>Armação Pilar 1</vt:lpstr>
      <vt:lpstr>Pilar 1</vt:lpstr>
      <vt:lpstr>Estaca 1</vt:lpstr>
      <vt:lpstr>Laje 1 </vt:lpstr>
      <vt:lpstr>Resumo arqui 01</vt:lpstr>
      <vt:lpstr>Armação Blocos (2)</vt:lpstr>
      <vt:lpstr>Concreto Bloco (2)</vt:lpstr>
      <vt:lpstr>Armação Pilar (2)</vt:lpstr>
      <vt:lpstr>Laje  (2)</vt:lpstr>
      <vt:lpstr>Vigas (2)</vt:lpstr>
      <vt:lpstr>Armação Vigas (2)</vt:lpstr>
      <vt:lpstr>Pilar (2)</vt:lpstr>
      <vt:lpstr>Estaca (2)</vt:lpstr>
      <vt:lpstr>Resumo arqui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Catiele Silvério da Silva</dc:creator>
  <cp:lastModifiedBy>User</cp:lastModifiedBy>
  <cp:lastPrinted>2017-08-25T18:56:04Z</cp:lastPrinted>
  <dcterms:created xsi:type="dcterms:W3CDTF">2017-07-20T13:37:37Z</dcterms:created>
  <dcterms:modified xsi:type="dcterms:W3CDTF">2019-08-19T19:54:34Z</dcterms:modified>
</cp:coreProperties>
</file>