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feitura BM\071 - Revisão Ginásio Ano Bom - rev final\Ginásio Ano Bom março 19\Bloco 01 PLOTAR\"/>
    </mc:Choice>
  </mc:AlternateContent>
  <bookViews>
    <workbookView xWindow="240" yWindow="60" windowWidth="20115" windowHeight="8010" tabRatio="906" activeTab="1"/>
  </bookViews>
  <sheets>
    <sheet name="Concreto piso" sheetId="22" r:id="rId1"/>
    <sheet name="Concreto Bloco" sheetId="20" r:id="rId2"/>
    <sheet name="Estaca" sheetId="19" r:id="rId3"/>
    <sheet name="Cintamento" sheetId="24" r:id="rId4"/>
    <sheet name="Armação Escada 01" sheetId="25" r:id="rId5"/>
    <sheet name="Concreto escada 01 " sheetId="28" r:id="rId6"/>
    <sheet name="Plan1" sheetId="29" r:id="rId7"/>
  </sheets>
  <calcPr calcId="152511"/>
</workbook>
</file>

<file path=xl/calcChain.xml><?xml version="1.0" encoding="utf-8"?>
<calcChain xmlns="http://schemas.openxmlformats.org/spreadsheetml/2006/main">
  <c r="D8" i="25" l="1"/>
  <c r="D10" i="25"/>
  <c r="B3" i="28"/>
  <c r="C12" i="28"/>
  <c r="B11" i="28"/>
  <c r="C8" i="28"/>
  <c r="B10" i="28"/>
  <c r="B9" i="28"/>
  <c r="C5" i="25"/>
  <c r="C3" i="28"/>
  <c r="C10" i="25"/>
  <c r="E10" i="25"/>
  <c r="E8" i="25"/>
  <c r="C15" i="25" s="1"/>
  <c r="D7" i="25"/>
  <c r="E7" i="25"/>
  <c r="E9" i="25"/>
  <c r="D4" i="25"/>
  <c r="C3" i="25"/>
  <c r="D3" i="25"/>
  <c r="D6" i="25"/>
  <c r="D5" i="25"/>
  <c r="G4" i="24" l="1"/>
  <c r="H4" i="24"/>
  <c r="I4" i="24"/>
  <c r="G5" i="24"/>
  <c r="H5" i="24"/>
  <c r="I5" i="24"/>
  <c r="G6" i="24"/>
  <c r="H6" i="24"/>
  <c r="I6" i="24"/>
  <c r="G7" i="24"/>
  <c r="H7" i="24"/>
  <c r="I7" i="24"/>
  <c r="G8" i="24"/>
  <c r="H8" i="24"/>
  <c r="I8" i="24"/>
  <c r="G9" i="24"/>
  <c r="H9" i="24"/>
  <c r="I9" i="24"/>
  <c r="G10" i="24"/>
  <c r="H10" i="24"/>
  <c r="I10" i="24"/>
  <c r="G11" i="24"/>
  <c r="H11" i="24"/>
  <c r="I11" i="24"/>
  <c r="G12" i="24"/>
  <c r="H12" i="24"/>
  <c r="I12" i="24"/>
  <c r="G13" i="24"/>
  <c r="H13" i="24"/>
  <c r="I13" i="24"/>
  <c r="I14" i="24"/>
  <c r="G15" i="24"/>
  <c r="H15" i="24"/>
  <c r="I15" i="24"/>
  <c r="G16" i="24"/>
  <c r="H16" i="24"/>
  <c r="I16" i="24"/>
  <c r="G17" i="24"/>
  <c r="H17" i="24"/>
  <c r="I17" i="24"/>
  <c r="H14" i="24" l="1"/>
  <c r="G14" i="24"/>
  <c r="J31" i="20"/>
  <c r="J30" i="20"/>
  <c r="J29" i="20"/>
  <c r="J25" i="20"/>
  <c r="J24" i="20"/>
  <c r="J19" i="20"/>
  <c r="J18" i="20"/>
  <c r="J17" i="20"/>
  <c r="J11" i="20"/>
  <c r="J3" i="20"/>
  <c r="J27" i="20" l="1"/>
  <c r="J28" i="20"/>
  <c r="J26" i="20"/>
  <c r="J23" i="20"/>
  <c r="J20" i="20"/>
  <c r="J21" i="20"/>
  <c r="J22" i="20"/>
  <c r="J13" i="20"/>
  <c r="J14" i="20"/>
  <c r="J15" i="20"/>
  <c r="J16" i="20"/>
  <c r="J12" i="20"/>
  <c r="J10" i="20"/>
  <c r="J9" i="20"/>
  <c r="J6" i="20"/>
  <c r="J7" i="20"/>
  <c r="J8" i="20"/>
  <c r="J5" i="20"/>
  <c r="J32" i="20" s="1"/>
  <c r="J4" i="20"/>
  <c r="I22" i="20"/>
  <c r="I23" i="20"/>
  <c r="I24" i="20"/>
  <c r="I25" i="20"/>
  <c r="I26" i="20"/>
  <c r="I27" i="20"/>
  <c r="I28" i="20"/>
  <c r="I29" i="20"/>
  <c r="I30" i="20"/>
  <c r="I31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3" i="20"/>
  <c r="I32" i="20" l="1"/>
  <c r="E6" i="25" l="1"/>
  <c r="K5" i="19" l="1"/>
  <c r="J5" i="19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" i="20"/>
  <c r="H32" i="20" l="1"/>
  <c r="C16" i="29"/>
  <c r="D16" i="29" s="1"/>
  <c r="H3" i="24" l="1"/>
  <c r="I3" i="24"/>
  <c r="I18" i="24" s="1"/>
  <c r="B4" i="28" l="1"/>
  <c r="C4" i="28"/>
  <c r="E5" i="25"/>
  <c r="C14" i="25" s="1"/>
  <c r="E4" i="25"/>
  <c r="E3" i="25"/>
  <c r="D15" i="25" l="1"/>
  <c r="E14" i="25"/>
  <c r="D14" i="25" l="1"/>
  <c r="E15" i="25"/>
  <c r="E16" i="25" s="1"/>
  <c r="D3" i="28" s="1"/>
  <c r="D4" i="28" s="1"/>
  <c r="F5" i="28" s="1"/>
  <c r="D14" i="24"/>
  <c r="F14" i="24" s="1"/>
  <c r="J14" i="24" s="1"/>
  <c r="D15" i="24"/>
  <c r="F15" i="24" s="1"/>
  <c r="J15" i="24" s="1"/>
  <c r="D16" i="24"/>
  <c r="F16" i="24" s="1"/>
  <c r="J16" i="24" s="1"/>
  <c r="D17" i="24"/>
  <c r="F17" i="24" s="1"/>
  <c r="J17" i="24" s="1"/>
  <c r="D13" i="24"/>
  <c r="F13" i="24" s="1"/>
  <c r="J13" i="24" s="1"/>
  <c r="D12" i="24"/>
  <c r="F12" i="24" s="1"/>
  <c r="J12" i="24" s="1"/>
  <c r="D11" i="24"/>
  <c r="F11" i="24" s="1"/>
  <c r="J11" i="24" s="1"/>
  <c r="D10" i="24"/>
  <c r="F10" i="24" s="1"/>
  <c r="J10" i="24" s="1"/>
  <c r="D9" i="24"/>
  <c r="F9" i="24" s="1"/>
  <c r="J9" i="24" s="1"/>
  <c r="D8" i="24"/>
  <c r="F8" i="24" s="1"/>
  <c r="J8" i="24" s="1"/>
  <c r="D7" i="24"/>
  <c r="F7" i="24" s="1"/>
  <c r="J7" i="24" s="1"/>
  <c r="D6" i="24"/>
  <c r="F6" i="24" s="1"/>
  <c r="J6" i="24" s="1"/>
  <c r="D5" i="24"/>
  <c r="F5" i="24" s="1"/>
  <c r="J5" i="24" s="1"/>
  <c r="D4" i="24"/>
  <c r="F4" i="24" s="1"/>
  <c r="J4" i="24" s="1"/>
  <c r="G3" i="24"/>
  <c r="D3" i="24"/>
  <c r="F3" i="24" s="1"/>
  <c r="H18" i="24" l="1"/>
  <c r="G18" i="24"/>
  <c r="F18" i="24"/>
  <c r="J3" i="24"/>
  <c r="F5" i="22"/>
  <c r="J18" i="24" l="1"/>
  <c r="G12" i="22"/>
  <c r="G13" i="22"/>
  <c r="G14" i="22"/>
  <c r="F12" i="22"/>
  <c r="E12" i="22" s="1"/>
  <c r="F13" i="22"/>
  <c r="I13" i="22" s="1"/>
  <c r="F14" i="22"/>
  <c r="E14" i="22" s="1"/>
  <c r="I12" i="22" l="1"/>
  <c r="E13" i="22"/>
  <c r="I14" i="22"/>
  <c r="G15" i="22"/>
  <c r="F15" i="22"/>
  <c r="I15" i="22" s="1"/>
  <c r="G11" i="22"/>
  <c r="F11" i="22"/>
  <c r="I11" i="22" s="1"/>
  <c r="G10" i="22"/>
  <c r="F10" i="22"/>
  <c r="I10" i="22" s="1"/>
  <c r="G9" i="22"/>
  <c r="F9" i="22"/>
  <c r="I9" i="22" s="1"/>
  <c r="G8" i="22"/>
  <c r="F8" i="22"/>
  <c r="I8" i="22" s="1"/>
  <c r="G7" i="22"/>
  <c r="F7" i="22"/>
  <c r="I7" i="22" s="1"/>
  <c r="G6" i="22"/>
  <c r="F6" i="22"/>
  <c r="I6" i="22" s="1"/>
  <c r="G5" i="22"/>
  <c r="I5" i="22"/>
  <c r="G4" i="22"/>
  <c r="F4" i="22"/>
  <c r="I4" i="22" s="1"/>
  <c r="I16" i="22" l="1"/>
  <c r="G16" i="22"/>
  <c r="E4" i="22"/>
  <c r="E5" i="22"/>
  <c r="E6" i="22"/>
  <c r="E7" i="22"/>
  <c r="E8" i="22"/>
  <c r="E9" i="22"/>
  <c r="E10" i="22"/>
  <c r="E11" i="22"/>
  <c r="E15" i="22"/>
  <c r="F16" i="22"/>
  <c r="E16" i="22" l="1"/>
  <c r="G25" i="20" l="1"/>
  <c r="G26" i="20"/>
  <c r="G27" i="20"/>
  <c r="G28" i="20"/>
  <c r="G29" i="20"/>
  <c r="G30" i="20"/>
  <c r="G31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D25" i="20"/>
  <c r="F25" i="20" s="1"/>
  <c r="K25" i="20" s="1"/>
  <c r="D26" i="20"/>
  <c r="F26" i="20" s="1"/>
  <c r="K26" i="20" s="1"/>
  <c r="D27" i="20"/>
  <c r="F27" i="20" s="1"/>
  <c r="K27" i="20" s="1"/>
  <c r="D28" i="20"/>
  <c r="F28" i="20" s="1"/>
  <c r="K28" i="20" s="1"/>
  <c r="D29" i="20"/>
  <c r="F29" i="20" s="1"/>
  <c r="K29" i="20" s="1"/>
  <c r="D30" i="20"/>
  <c r="F30" i="20" s="1"/>
  <c r="K30" i="20" s="1"/>
  <c r="D31" i="20"/>
  <c r="F31" i="20" s="1"/>
  <c r="K31" i="20" s="1"/>
  <c r="D13" i="20"/>
  <c r="F13" i="20" s="1"/>
  <c r="K13" i="20" s="1"/>
  <c r="D14" i="20"/>
  <c r="F14" i="20" s="1"/>
  <c r="K14" i="20" s="1"/>
  <c r="D15" i="20"/>
  <c r="F15" i="20" s="1"/>
  <c r="K15" i="20" s="1"/>
  <c r="D16" i="20"/>
  <c r="F16" i="20" s="1"/>
  <c r="K16" i="20" s="1"/>
  <c r="D17" i="20"/>
  <c r="F17" i="20" s="1"/>
  <c r="K17" i="20" s="1"/>
  <c r="D18" i="20"/>
  <c r="F18" i="20" s="1"/>
  <c r="K18" i="20" s="1"/>
  <c r="D19" i="20"/>
  <c r="F19" i="20" s="1"/>
  <c r="K19" i="20" s="1"/>
  <c r="D20" i="20"/>
  <c r="F20" i="20" s="1"/>
  <c r="K20" i="20" s="1"/>
  <c r="D21" i="20"/>
  <c r="F21" i="20" s="1"/>
  <c r="K21" i="20" s="1"/>
  <c r="D22" i="20"/>
  <c r="F22" i="20" s="1"/>
  <c r="K22" i="20" s="1"/>
  <c r="D23" i="20"/>
  <c r="F23" i="20" s="1"/>
  <c r="K23" i="20" s="1"/>
  <c r="D24" i="20"/>
  <c r="F24" i="20" s="1"/>
  <c r="K24" i="20" s="1"/>
  <c r="G12" i="20" l="1"/>
  <c r="D12" i="20"/>
  <c r="F12" i="20" s="1"/>
  <c r="K12" i="20" s="1"/>
  <c r="G11" i="20"/>
  <c r="D11" i="20"/>
  <c r="F11" i="20" s="1"/>
  <c r="K11" i="20" s="1"/>
  <c r="G10" i="20"/>
  <c r="D10" i="20"/>
  <c r="F10" i="20" s="1"/>
  <c r="K10" i="20" s="1"/>
  <c r="G9" i="20"/>
  <c r="D9" i="20"/>
  <c r="F9" i="20" s="1"/>
  <c r="K9" i="20" s="1"/>
  <c r="G8" i="20"/>
  <c r="D8" i="20"/>
  <c r="F8" i="20" s="1"/>
  <c r="K8" i="20" s="1"/>
  <c r="G7" i="20"/>
  <c r="D7" i="20"/>
  <c r="F7" i="20" s="1"/>
  <c r="K7" i="20" s="1"/>
  <c r="G6" i="20"/>
  <c r="D6" i="20"/>
  <c r="F6" i="20" s="1"/>
  <c r="K6" i="20" s="1"/>
  <c r="G5" i="20"/>
  <c r="D5" i="20"/>
  <c r="F5" i="20" s="1"/>
  <c r="K5" i="20" s="1"/>
  <c r="G4" i="20"/>
  <c r="D4" i="20"/>
  <c r="F4" i="20" s="1"/>
  <c r="K4" i="20" s="1"/>
  <c r="G3" i="20"/>
  <c r="D3" i="20"/>
  <c r="F3" i="20" s="1"/>
  <c r="G32" i="20" l="1"/>
  <c r="K36" i="20"/>
  <c r="K3" i="20"/>
  <c r="K32" i="20" s="1"/>
  <c r="L16" i="19"/>
  <c r="L17" i="19" s="1"/>
  <c r="L15" i="19"/>
  <c r="M12" i="19"/>
  <c r="M13" i="19" s="1"/>
  <c r="M11" i="19"/>
</calcChain>
</file>

<file path=xl/sharedStrings.xml><?xml version="1.0" encoding="utf-8"?>
<sst xmlns="http://schemas.openxmlformats.org/spreadsheetml/2006/main" count="164" uniqueCount="147">
  <si>
    <t>Quantidade</t>
  </si>
  <si>
    <t>Comprimento</t>
  </si>
  <si>
    <t>Quadro de Resumo (+10%)</t>
  </si>
  <si>
    <t>Aço</t>
  </si>
  <si>
    <t>CA50</t>
  </si>
  <si>
    <t>Total (m)</t>
  </si>
  <si>
    <t>Nº de Barras (12 m)</t>
  </si>
  <si>
    <t>Peso (kg)</t>
  </si>
  <si>
    <t>Unitário (cm)</t>
  </si>
  <si>
    <t>Ø (mm)</t>
  </si>
  <si>
    <t>Total:</t>
  </si>
  <si>
    <t>V1</t>
  </si>
  <si>
    <t>V2</t>
  </si>
  <si>
    <t>V3</t>
  </si>
  <si>
    <t>V4</t>
  </si>
  <si>
    <t>V5</t>
  </si>
  <si>
    <t>V6</t>
  </si>
  <si>
    <t>V7</t>
  </si>
  <si>
    <t>V8</t>
  </si>
  <si>
    <t>Item</t>
  </si>
  <si>
    <t>Área da seção (m²)</t>
  </si>
  <si>
    <t>h(m)</t>
  </si>
  <si>
    <t>bw(m)</t>
  </si>
  <si>
    <t>Comprimento (m)</t>
  </si>
  <si>
    <t>h1 retangular (m)</t>
  </si>
  <si>
    <t>V9</t>
  </si>
  <si>
    <t>V10</t>
  </si>
  <si>
    <t>Total=</t>
  </si>
  <si>
    <t>Forma (m²)</t>
  </si>
  <si>
    <t xml:space="preserve">Lastro de Concreto  fck 15MPa </t>
  </si>
  <si>
    <t>Concreto (m³)</t>
  </si>
  <si>
    <t>Itens</t>
  </si>
  <si>
    <t>Lista de Material</t>
  </si>
  <si>
    <t>Lastro de Concreto  fck 15MPa h=0,05m</t>
  </si>
  <si>
    <t>Estacas</t>
  </si>
  <si>
    <t>N (Número da barra)</t>
  </si>
  <si>
    <t>Bloco de Fundação fck = 30MPa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</si>
  <si>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</si>
  <si>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</si>
  <si>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</si>
  <si>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</si>
  <si>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</si>
  <si>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</si>
  <si>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</si>
  <si>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</si>
  <si>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</si>
  <si>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</si>
  <si>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L5</t>
  </si>
  <si>
    <t>V11</t>
  </si>
  <si>
    <t>V12</t>
  </si>
  <si>
    <t>TABELA DE ESTACAS</t>
  </si>
  <si>
    <t>Tipo</t>
  </si>
  <si>
    <t>10.004.0181-0</t>
  </si>
  <si>
    <t>ESTACA PRE-MOLDADA DE CONCRETO ARMADO,CENTRIFUGADA,MEDIDA A PARTIR DA COTA DE ARRASAMENTO,EXCLUSIVE EMENDAS,CRAVACAO E T RANSPORTE DE BATE-ESTACAS,D=33CM,PARA CARGA DE TRABALHO DE COMPRESSAO AXIAL DE ATE 800KN(80TF).FORNECIMENTO</t>
  </si>
  <si>
    <t>M</t>
  </si>
  <si>
    <t>11030</t>
  </si>
  <si>
    <t>ESTACA PRE-MOLDADA DE CONCRETO ARMADO, CENTRIFUGADA, D=33CM, P/CARGA DE TRABALHODE COMPRESSAO AXIAL ATE 800KN (80TF)</t>
  </si>
  <si>
    <t>TOTAL</t>
  </si>
  <si>
    <t>10.004.0135-0</t>
  </si>
  <si>
    <t>ESTACA PRE-FABRICADA DE CONCRETO,MEDIDA A PARTIR DA COTA DE ARRASAMENTO,EXCLUSIVE EMENDAS,CRAVACAO E TRANSPORTE DE BATE- ESTACAS,PARA CARGA DE TRABALHO DE COMPRESSAO AXIAL DE ATE 350KN (35TF).FORNECIMENTO</t>
  </si>
  <si>
    <t>06404</t>
  </si>
  <si>
    <t>ESTACA PRE-FABRICADA DE CONCRETO, FORN.EXCLUS.CRAVACAO E EMENDA, P/CARGA DE TRAB.DE COMPRES.AXIAL, ATE 350KN (35TF)</t>
  </si>
  <si>
    <t>Cargas Atuantes</t>
  </si>
  <si>
    <t>Compressão Máxima (kN)</t>
  </si>
  <si>
    <t xml:space="preserve">Serviço </t>
  </si>
  <si>
    <t xml:space="preserve">Atrito Negativo </t>
  </si>
  <si>
    <t>Total</t>
  </si>
  <si>
    <t>Cota de Arrasamento + (m)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</si>
  <si>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</si>
  <si>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</si>
  <si>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</si>
  <si>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</si>
  <si>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</si>
  <si>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</si>
  <si>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</si>
  <si>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</si>
  <si>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</si>
  <si>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</si>
  <si>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</si>
  <si>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</si>
  <si>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</si>
  <si>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</si>
  <si>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</si>
  <si>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</si>
  <si>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</si>
  <si>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</si>
  <si>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</si>
  <si>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A (m)</t>
  </si>
  <si>
    <t>B (m)</t>
  </si>
  <si>
    <t>Escavação (m³)</t>
  </si>
  <si>
    <t>(+1.15)</t>
  </si>
  <si>
    <t>Estaca Pré-Moldada em Concreto Armado</t>
  </si>
  <si>
    <t>Piso de Concreto fck = 30MPa</t>
  </si>
  <si>
    <t>Altura Brita 01 (m)</t>
  </si>
  <si>
    <t>Brita 01 (m³)</t>
  </si>
  <si>
    <t>Área Para Lona Plástica (m²)</t>
  </si>
  <si>
    <t>Área Malha Q92 (m²)</t>
  </si>
  <si>
    <t>Altura Concreto (m)</t>
  </si>
  <si>
    <t>L1</t>
  </si>
  <si>
    <t>L2</t>
  </si>
  <si>
    <t>L3</t>
  </si>
  <si>
    <t>L4</t>
  </si>
  <si>
    <t>L6</t>
  </si>
  <si>
    <t>L7</t>
  </si>
  <si>
    <t>L8</t>
  </si>
  <si>
    <t>L9</t>
  </si>
  <si>
    <t>L10</t>
  </si>
  <si>
    <t>L11</t>
  </si>
  <si>
    <t>TOTAL:</t>
  </si>
  <si>
    <t>L12</t>
  </si>
  <si>
    <t>Cintamento fck = 30MPa</t>
  </si>
  <si>
    <t>V13</t>
  </si>
  <si>
    <t>V14</t>
  </si>
  <si>
    <t>V15</t>
  </si>
  <si>
    <t>Reaterro  (m³)</t>
  </si>
  <si>
    <t xml:space="preserve">Elemento </t>
  </si>
  <si>
    <t>Concreto (m³) - fck 25MPa</t>
  </si>
  <si>
    <t>Barras (kg)</t>
  </si>
  <si>
    <t>Escada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</si>
  <si>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</si>
  <si>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</si>
  <si>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</si>
  <si>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</si>
  <si>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</si>
  <si>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</si>
  <si>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</si>
  <si>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</si>
  <si>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</si>
  <si>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</si>
  <si>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</si>
  <si>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</si>
  <si>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Comprimento total (m)</t>
  </si>
  <si>
    <t>Emendas metálicas (unidade)</t>
  </si>
  <si>
    <t>Comprimento médio por estaca  (m)</t>
  </si>
  <si>
    <r>
      <t xml:space="preserve">N1 </t>
    </r>
    <r>
      <rPr>
        <sz val="8"/>
        <color theme="1"/>
        <rFont val="Arial"/>
        <family val="2"/>
      </rPr>
      <t>Escada 01</t>
    </r>
  </si>
  <si>
    <r>
      <t xml:space="preserve">N2 </t>
    </r>
    <r>
      <rPr>
        <sz val="8"/>
        <color theme="1"/>
        <rFont val="Arial"/>
        <family val="2"/>
      </rPr>
      <t>Escada 01</t>
    </r>
  </si>
  <si>
    <r>
      <t xml:space="preserve">N3 </t>
    </r>
    <r>
      <rPr>
        <sz val="8"/>
        <color theme="1"/>
        <rFont val="Arial"/>
        <family val="2"/>
      </rPr>
      <t>Escada 01</t>
    </r>
  </si>
  <si>
    <r>
      <t xml:space="preserve">N4 </t>
    </r>
    <r>
      <rPr>
        <sz val="8"/>
        <color theme="1"/>
        <rFont val="Arial"/>
        <family val="2"/>
      </rPr>
      <t>Escada 01</t>
    </r>
  </si>
  <si>
    <t>Resumo - Escada 01</t>
  </si>
  <si>
    <t>Escavação (m³) prof. 1.94 m</t>
  </si>
  <si>
    <t>Volume pilarete (m³)</t>
  </si>
  <si>
    <t xml:space="preserve">Reaterro (m³) </t>
  </si>
  <si>
    <t>E1 a E35</t>
  </si>
  <si>
    <r>
      <t xml:space="preserve">N5 </t>
    </r>
    <r>
      <rPr>
        <sz val="8"/>
        <color theme="1"/>
        <rFont val="Arial"/>
        <family val="2"/>
      </rPr>
      <t>Escada 01</t>
    </r>
  </si>
  <si>
    <r>
      <t xml:space="preserve">N6 </t>
    </r>
    <r>
      <rPr>
        <sz val="8"/>
        <color theme="1"/>
        <rFont val="Arial"/>
        <family val="2"/>
      </rPr>
      <t>Escada 01</t>
    </r>
  </si>
  <si>
    <r>
      <t xml:space="preserve">N7 </t>
    </r>
    <r>
      <rPr>
        <sz val="8"/>
        <color theme="1"/>
        <rFont val="Arial"/>
        <family val="2"/>
      </rPr>
      <t>Escada 01</t>
    </r>
  </si>
  <si>
    <r>
      <t xml:space="preserve">N8 </t>
    </r>
    <r>
      <rPr>
        <sz val="8"/>
        <color theme="1"/>
        <rFont val="Arial"/>
        <family val="2"/>
      </rPr>
      <t>Escada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</si>
</sst>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workbookViewId="0">
      <selection activeCell="H19" sqref="H19"/>
    </sheetView>
  </sheetViews>
  <sheetFormatPr defaultRowHeight="15" x14ac:dyDescent="0.25"/>
  <cols>
    <col min="6" max="6" width="12.42578125" customWidth="1"/>
  </cols>
  <sheetData>
    <row r="1" spans="1:9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3" t="s">
        <v>92</v>
      </c>
      <c r="B2" s="33"/>
      <c r="C2" s="33"/>
      <c r="D2" s="33"/>
      <c r="E2" s="33"/>
      <c r="F2" s="33"/>
      <c r="G2" s="33"/>
      <c r="H2" s="33"/>
      <c r="I2" s="33"/>
    </row>
    <row r="3" spans="1:9" ht="45.75" customHeight="1" x14ac:dyDescent="0.25">
      <c r="A3" s="25" t="s">
        <v>31</v>
      </c>
      <c r="B3" s="25" t="s">
        <v>87</v>
      </c>
      <c r="C3" s="25" t="s">
        <v>88</v>
      </c>
      <c r="D3" s="25" t="s">
        <v>93</v>
      </c>
      <c r="E3" s="25" t="s">
        <v>94</v>
      </c>
      <c r="F3" s="25" t="s">
        <v>95</v>
      </c>
      <c r="G3" s="25" t="s">
        <v>96</v>
      </c>
      <c r="H3" s="25" t="s">
        <v>97</v>
      </c>
      <c r="I3" s="25" t="s">
        <v>30</v>
      </c>
    </row>
    <row r="4" spans="1:9" x14ac:dyDescent="0.25">
      <c r="A4" s="1" t="s">
        <v>98</v>
      </c>
      <c r="B4" s="2">
        <v>4.42</v>
      </c>
      <c r="C4" s="2">
        <v>2.9</v>
      </c>
      <c r="D4" s="11">
        <v>0.03</v>
      </c>
      <c r="E4" s="9">
        <f t="shared" ref="E4:E15" si="0">F4*D4</f>
        <v>0.38453999999999999</v>
      </c>
      <c r="F4" s="2">
        <f>B4*C4</f>
        <v>12.818</v>
      </c>
      <c r="G4" s="2">
        <f t="shared" ref="G4:G15" si="1">B4*C4</f>
        <v>12.818</v>
      </c>
      <c r="H4" s="11">
        <v>0.05</v>
      </c>
      <c r="I4" s="14">
        <f t="shared" ref="I4:I15" si="2">H4*F4</f>
        <v>0.64090000000000003</v>
      </c>
    </row>
    <row r="5" spans="1:9" x14ac:dyDescent="0.25">
      <c r="A5" s="1" t="s">
        <v>99</v>
      </c>
      <c r="B5" s="2">
        <v>4.42</v>
      </c>
      <c r="C5" s="2">
        <v>2.8</v>
      </c>
      <c r="D5" s="11">
        <v>0.03</v>
      </c>
      <c r="E5" s="9">
        <f t="shared" si="0"/>
        <v>0.37127999999999994</v>
      </c>
      <c r="F5" s="2">
        <f>B5*C5</f>
        <v>12.375999999999999</v>
      </c>
      <c r="G5" s="2">
        <f t="shared" si="1"/>
        <v>12.375999999999999</v>
      </c>
      <c r="H5" s="11">
        <v>0.05</v>
      </c>
      <c r="I5" s="14">
        <f t="shared" si="2"/>
        <v>0.61880000000000002</v>
      </c>
    </row>
    <row r="6" spans="1:9" x14ac:dyDescent="0.25">
      <c r="A6" s="1" t="s">
        <v>100</v>
      </c>
      <c r="B6" s="2">
        <v>1.67</v>
      </c>
      <c r="C6" s="2">
        <v>5.85</v>
      </c>
      <c r="D6" s="11">
        <v>0.03</v>
      </c>
      <c r="E6" s="9">
        <f t="shared" si="0"/>
        <v>0.29308499999999998</v>
      </c>
      <c r="F6" s="2">
        <f t="shared" ref="F6:F15" si="3">B6*C6</f>
        <v>9.769499999999999</v>
      </c>
      <c r="G6" s="2">
        <f t="shared" si="1"/>
        <v>9.769499999999999</v>
      </c>
      <c r="H6" s="11">
        <v>0.05</v>
      </c>
      <c r="I6" s="14">
        <f t="shared" si="2"/>
        <v>0.48847499999999999</v>
      </c>
    </row>
    <row r="7" spans="1:9" x14ac:dyDescent="0.25">
      <c r="A7" s="1" t="s">
        <v>101</v>
      </c>
      <c r="B7" s="2">
        <v>4.93</v>
      </c>
      <c r="C7" s="2">
        <v>2.9</v>
      </c>
      <c r="D7" s="11">
        <v>0.03</v>
      </c>
      <c r="E7" s="9">
        <f t="shared" si="0"/>
        <v>0.42890999999999996</v>
      </c>
      <c r="F7" s="2">
        <f t="shared" si="3"/>
        <v>14.296999999999999</v>
      </c>
      <c r="G7" s="2">
        <f t="shared" si="1"/>
        <v>14.296999999999999</v>
      </c>
      <c r="H7" s="11">
        <v>0.05</v>
      </c>
      <c r="I7" s="14">
        <f t="shared" si="2"/>
        <v>0.71484999999999999</v>
      </c>
    </row>
    <row r="8" spans="1:9" x14ac:dyDescent="0.25">
      <c r="A8" s="1" t="s">
        <v>47</v>
      </c>
      <c r="B8" s="2">
        <v>4.93</v>
      </c>
      <c r="C8" s="2">
        <v>2.8</v>
      </c>
      <c r="D8" s="11">
        <v>0.03</v>
      </c>
      <c r="E8" s="9">
        <f t="shared" si="0"/>
        <v>0.41411999999999993</v>
      </c>
      <c r="F8" s="2">
        <f t="shared" si="3"/>
        <v>13.803999999999998</v>
      </c>
      <c r="G8" s="2">
        <f t="shared" si="1"/>
        <v>13.803999999999998</v>
      </c>
      <c r="H8" s="11">
        <v>0.05</v>
      </c>
      <c r="I8" s="14">
        <f t="shared" si="2"/>
        <v>0.69019999999999992</v>
      </c>
    </row>
    <row r="9" spans="1:9" x14ac:dyDescent="0.25">
      <c r="A9" s="1" t="s">
        <v>102</v>
      </c>
      <c r="B9" s="2">
        <v>2.41</v>
      </c>
      <c r="C9" s="2">
        <v>5.85</v>
      </c>
      <c r="D9" s="11">
        <v>0.03</v>
      </c>
      <c r="E9" s="9">
        <f t="shared" si="0"/>
        <v>0.42295499999999997</v>
      </c>
      <c r="F9" s="2">
        <f t="shared" si="3"/>
        <v>14.0985</v>
      </c>
      <c r="G9" s="2">
        <f t="shared" si="1"/>
        <v>14.0985</v>
      </c>
      <c r="H9" s="11">
        <v>0.05</v>
      </c>
      <c r="I9" s="14">
        <f t="shared" si="2"/>
        <v>0.70492500000000002</v>
      </c>
    </row>
    <row r="10" spans="1:9" x14ac:dyDescent="0.25">
      <c r="A10" s="1" t="s">
        <v>103</v>
      </c>
      <c r="B10" s="2">
        <v>2.13</v>
      </c>
      <c r="C10" s="2">
        <v>5.85</v>
      </c>
      <c r="D10" s="11">
        <v>0.03</v>
      </c>
      <c r="E10" s="9">
        <f t="shared" si="0"/>
        <v>0.3738149999999999</v>
      </c>
      <c r="F10" s="2">
        <f t="shared" si="3"/>
        <v>12.460499999999998</v>
      </c>
      <c r="G10" s="2">
        <f t="shared" si="1"/>
        <v>12.460499999999998</v>
      </c>
      <c r="H10" s="11">
        <v>0.05</v>
      </c>
      <c r="I10" s="14">
        <f t="shared" si="2"/>
        <v>0.62302499999999994</v>
      </c>
    </row>
    <row r="11" spans="1:9" x14ac:dyDescent="0.25">
      <c r="A11" s="1" t="s">
        <v>104</v>
      </c>
      <c r="B11" s="2">
        <v>2.12</v>
      </c>
      <c r="C11" s="2">
        <v>5.85</v>
      </c>
      <c r="D11" s="11">
        <v>0.03</v>
      </c>
      <c r="E11" s="9">
        <f t="shared" si="0"/>
        <v>0.37205999999999995</v>
      </c>
      <c r="F11" s="2">
        <f t="shared" si="3"/>
        <v>12.401999999999999</v>
      </c>
      <c r="G11" s="2">
        <f t="shared" si="1"/>
        <v>12.401999999999999</v>
      </c>
      <c r="H11" s="11">
        <v>0.05</v>
      </c>
      <c r="I11" s="14">
        <f t="shared" si="2"/>
        <v>0.62009999999999998</v>
      </c>
    </row>
    <row r="12" spans="1:9" x14ac:dyDescent="0.25">
      <c r="A12" s="1" t="s">
        <v>105</v>
      </c>
      <c r="B12" s="2">
        <v>2.4</v>
      </c>
      <c r="C12" s="2">
        <v>5.85</v>
      </c>
      <c r="D12" s="11">
        <v>0.03</v>
      </c>
      <c r="E12" s="9">
        <f t="shared" si="0"/>
        <v>0.42119999999999996</v>
      </c>
      <c r="F12" s="2">
        <f t="shared" si="3"/>
        <v>14.04</v>
      </c>
      <c r="G12" s="2">
        <f t="shared" si="1"/>
        <v>14.04</v>
      </c>
      <c r="H12" s="11">
        <v>0.05</v>
      </c>
      <c r="I12" s="14">
        <f t="shared" si="2"/>
        <v>0.70199999999999996</v>
      </c>
    </row>
    <row r="13" spans="1:9" x14ac:dyDescent="0.25">
      <c r="A13" s="1" t="s">
        <v>106</v>
      </c>
      <c r="B13" s="2">
        <v>4.93</v>
      </c>
      <c r="C13" s="2">
        <v>2.9</v>
      </c>
      <c r="D13" s="11">
        <v>0.03</v>
      </c>
      <c r="E13" s="9">
        <f t="shared" si="0"/>
        <v>0.42890999999999996</v>
      </c>
      <c r="F13" s="2">
        <f>B13*C13</f>
        <v>14.296999999999999</v>
      </c>
      <c r="G13" s="2">
        <f>B13*C13</f>
        <v>14.296999999999999</v>
      </c>
      <c r="H13" s="11">
        <v>0.05</v>
      </c>
      <c r="I13" s="14">
        <f t="shared" si="2"/>
        <v>0.71484999999999999</v>
      </c>
    </row>
    <row r="14" spans="1:9" x14ac:dyDescent="0.25">
      <c r="A14" s="1" t="s">
        <v>107</v>
      </c>
      <c r="B14" s="2">
        <v>4.93</v>
      </c>
      <c r="C14" s="2">
        <v>2.8</v>
      </c>
      <c r="D14" s="11">
        <v>0.03</v>
      </c>
      <c r="E14" s="9">
        <f t="shared" si="0"/>
        <v>0.41411999999999993</v>
      </c>
      <c r="F14" s="2">
        <f t="shared" si="3"/>
        <v>13.803999999999998</v>
      </c>
      <c r="G14" s="2">
        <f t="shared" si="1"/>
        <v>13.803999999999998</v>
      </c>
      <c r="H14" s="11">
        <v>0.05</v>
      </c>
      <c r="I14" s="14">
        <f t="shared" si="2"/>
        <v>0.69019999999999992</v>
      </c>
    </row>
    <row r="15" spans="1:9" x14ac:dyDescent="0.25">
      <c r="A15" s="1" t="s">
        <v>109</v>
      </c>
      <c r="B15" s="2">
        <v>5.85</v>
      </c>
      <c r="C15" s="2">
        <v>1.67</v>
      </c>
      <c r="D15" s="11">
        <v>0.03</v>
      </c>
      <c r="E15" s="9">
        <f t="shared" si="0"/>
        <v>0.29308499999999998</v>
      </c>
      <c r="F15" s="2">
        <f t="shared" si="3"/>
        <v>9.769499999999999</v>
      </c>
      <c r="G15" s="2">
        <f t="shared" si="1"/>
        <v>9.769499999999999</v>
      </c>
      <c r="H15" s="11">
        <v>0.05</v>
      </c>
      <c r="I15" s="14">
        <f t="shared" si="2"/>
        <v>0.48847499999999999</v>
      </c>
    </row>
    <row r="16" spans="1:9" x14ac:dyDescent="0.25">
      <c r="A16" s="34" t="s">
        <v>108</v>
      </c>
      <c r="B16" s="35"/>
      <c r="C16" s="35"/>
      <c r="D16" s="36"/>
      <c r="E16" s="15">
        <f>SUM(E4:E15)</f>
        <v>4.6180799999999991</v>
      </c>
      <c r="F16" s="15">
        <f>SUM(F4:F15)</f>
        <v>153.93599999999998</v>
      </c>
      <c r="G16" s="15">
        <f>SUM(G4:G15)</f>
        <v>153.93599999999998</v>
      </c>
      <c r="H16" s="15"/>
      <c r="I16" s="15">
        <f>SUM(I4:I15)</f>
        <v>7.6968000000000005</v>
      </c>
    </row>
  </sheetData>
  <mergeCells count="3">
    <mergeCell ref="A1:I1"/>
    <mergeCell ref="A2:I2"/>
    <mergeCell ref="A16:D1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tabSelected="1" topLeftCell="A8" zoomScale="90" zoomScaleNormal="90" workbookViewId="0">
      <selection activeCell="N20" sqref="N20"/>
    </sheetView>
  </sheetViews>
  <sheetFormatPr defaultRowHeight="15" x14ac:dyDescent="0.25"/>
  <cols>
    <col min="1" max="1" width="8.7109375" customWidth="1"/>
    <col min="2" max="2" width="11.5703125" customWidth="1"/>
    <col min="3" max="3" width="11" customWidth="1"/>
    <col min="4" max="4" width="14.140625" customWidth="1"/>
    <col min="5" max="5" width="12.28515625" customWidth="1"/>
    <col min="6" max="6" width="10.5703125" customWidth="1"/>
    <col min="7" max="7" width="9.7109375" customWidth="1"/>
    <col min="8" max="8" width="12.140625" customWidth="1"/>
    <col min="9" max="10" width="10.7109375" customWidth="1"/>
    <col min="11" max="11" width="10.85546875" customWidth="1"/>
    <col min="12" max="12" width="15.28515625" customWidth="1"/>
  </cols>
  <sheetData>
    <row r="1" spans="1:11" ht="15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51" x14ac:dyDescent="0.25">
      <c r="A2" s="25" t="s">
        <v>19</v>
      </c>
      <c r="B2" s="25" t="s">
        <v>87</v>
      </c>
      <c r="C2" s="25" t="s">
        <v>88</v>
      </c>
      <c r="D2" s="25" t="s">
        <v>20</v>
      </c>
      <c r="E2" s="25" t="s">
        <v>24</v>
      </c>
      <c r="F2" s="25" t="s">
        <v>30</v>
      </c>
      <c r="G2" s="25" t="s">
        <v>28</v>
      </c>
      <c r="H2" s="25" t="s">
        <v>33</v>
      </c>
      <c r="I2" s="26" t="s">
        <v>139</v>
      </c>
      <c r="J2" s="26" t="s">
        <v>140</v>
      </c>
      <c r="K2" s="26" t="s">
        <v>141</v>
      </c>
    </row>
    <row r="3" spans="1:11" x14ac:dyDescent="0.25">
      <c r="A3" s="6" t="s">
        <v>37</v>
      </c>
      <c r="B3" s="10">
        <v>0.8</v>
      </c>
      <c r="C3" s="10">
        <v>0.8</v>
      </c>
      <c r="D3" s="8">
        <f>B3*C3</f>
        <v>0.64000000000000012</v>
      </c>
      <c r="E3" s="7">
        <v>0.8</v>
      </c>
      <c r="F3" s="12">
        <f>(E3*D3)</f>
        <v>0.51200000000000012</v>
      </c>
      <c r="G3" s="12">
        <f>((B3+C3)*2)*E3</f>
        <v>2.5600000000000005</v>
      </c>
      <c r="H3" s="12">
        <f>((B3)*(C3))*0.05</f>
        <v>3.2000000000000008E-2</v>
      </c>
      <c r="I3" s="11">
        <f>(C3+1)*(B3+1)*(1.94)</f>
        <v>6.2856000000000005</v>
      </c>
      <c r="J3" s="12">
        <f>1.14*0.3*0.15</f>
        <v>5.1299999999999991E-2</v>
      </c>
      <c r="K3" s="12">
        <f t="shared" ref="K3:K31" si="0">I3-H3-F3-J3</f>
        <v>5.6902999999999997</v>
      </c>
    </row>
    <row r="4" spans="1:11" x14ac:dyDescent="0.25">
      <c r="A4" s="6" t="s">
        <v>38</v>
      </c>
      <c r="B4" s="10">
        <v>0.8</v>
      </c>
      <c r="C4" s="10">
        <v>0.8</v>
      </c>
      <c r="D4" s="8">
        <f>B4*C4</f>
        <v>0.64000000000000012</v>
      </c>
      <c r="E4" s="7">
        <v>0.8</v>
      </c>
      <c r="F4" s="12">
        <f t="shared" ref="F4:F31" si="1">(E4*D4)</f>
        <v>0.51200000000000012</v>
      </c>
      <c r="G4" s="12">
        <f t="shared" ref="G4:G31" si="2">((B4+C4)*2)*E4</f>
        <v>2.5600000000000005</v>
      </c>
      <c r="H4" s="12">
        <f t="shared" ref="H4:H31" si="3">((B4)*(C4))*0.05</f>
        <v>3.2000000000000008E-2</v>
      </c>
      <c r="I4" s="11">
        <f t="shared" ref="I4:I31" si="4">(C4+1)*(B4+1)*(1.94)</f>
        <v>6.2856000000000005</v>
      </c>
      <c r="J4" s="12">
        <f>1.14*0.3*0.15</f>
        <v>5.1299999999999991E-2</v>
      </c>
      <c r="K4" s="12">
        <f t="shared" si="0"/>
        <v>5.6902999999999997</v>
      </c>
    </row>
    <row r="5" spans="1:11" x14ac:dyDescent="0.25">
      <c r="A5" s="6" t="s">
        <v>39</v>
      </c>
      <c r="B5" s="10">
        <v>0.8</v>
      </c>
      <c r="C5" s="10">
        <v>0.8</v>
      </c>
      <c r="D5" s="8">
        <f>B5*C5</f>
        <v>0.64000000000000012</v>
      </c>
      <c r="E5" s="7">
        <v>0.8</v>
      </c>
      <c r="F5" s="12">
        <f t="shared" si="1"/>
        <v>0.51200000000000012</v>
      </c>
      <c r="G5" s="12">
        <f t="shared" si="2"/>
        <v>2.5600000000000005</v>
      </c>
      <c r="H5" s="12">
        <f t="shared" si="3"/>
        <v>3.2000000000000008E-2</v>
      </c>
      <c r="I5" s="11">
        <f t="shared" si="4"/>
        <v>6.2856000000000005</v>
      </c>
      <c r="J5" s="12">
        <f>1.14*0.25*0.15</f>
        <v>4.2749999999999996E-2</v>
      </c>
      <c r="K5" s="12">
        <f t="shared" si="0"/>
        <v>5.6988500000000002</v>
      </c>
    </row>
    <row r="6" spans="1:11" x14ac:dyDescent="0.25">
      <c r="A6" s="6" t="s">
        <v>40</v>
      </c>
      <c r="B6" s="10">
        <v>0.8</v>
      </c>
      <c r="C6" s="10">
        <v>0.8</v>
      </c>
      <c r="D6" s="8">
        <f>B6*C6</f>
        <v>0.64000000000000012</v>
      </c>
      <c r="E6" s="7">
        <v>0.8</v>
      </c>
      <c r="F6" s="12">
        <f t="shared" si="1"/>
        <v>0.51200000000000012</v>
      </c>
      <c r="G6" s="12">
        <f t="shared" si="2"/>
        <v>2.5600000000000005</v>
      </c>
      <c r="H6" s="12">
        <f t="shared" si="3"/>
        <v>3.2000000000000008E-2</v>
      </c>
      <c r="I6" s="11">
        <f t="shared" si="4"/>
        <v>6.2856000000000005</v>
      </c>
      <c r="J6" s="12">
        <f t="shared" ref="J6:J8" si="5">1.14*0.25*0.15</f>
        <v>4.2749999999999996E-2</v>
      </c>
      <c r="K6" s="12">
        <f t="shared" si="0"/>
        <v>5.6988500000000002</v>
      </c>
    </row>
    <row r="7" spans="1:11" x14ac:dyDescent="0.25">
      <c r="A7" s="6" t="s">
        <v>41</v>
      </c>
      <c r="B7" s="10">
        <v>0.8</v>
      </c>
      <c r="C7" s="10">
        <v>0.8</v>
      </c>
      <c r="D7" s="8">
        <f t="shared" ref="D7:D31" si="6">B7*C7</f>
        <v>0.64000000000000012</v>
      </c>
      <c r="E7" s="7">
        <v>0.8</v>
      </c>
      <c r="F7" s="12">
        <f t="shared" si="1"/>
        <v>0.51200000000000012</v>
      </c>
      <c r="G7" s="12">
        <f t="shared" si="2"/>
        <v>2.5600000000000005</v>
      </c>
      <c r="H7" s="12">
        <f t="shared" si="3"/>
        <v>3.2000000000000008E-2</v>
      </c>
      <c r="I7" s="11">
        <f t="shared" si="4"/>
        <v>6.2856000000000005</v>
      </c>
      <c r="J7" s="12">
        <f t="shared" si="5"/>
        <v>4.2749999999999996E-2</v>
      </c>
      <c r="K7" s="12">
        <f t="shared" si="0"/>
        <v>5.6988500000000002</v>
      </c>
    </row>
    <row r="8" spans="1:11" x14ac:dyDescent="0.25">
      <c r="A8" s="6" t="s">
        <v>42</v>
      </c>
      <c r="B8" s="10">
        <v>0.8</v>
      </c>
      <c r="C8" s="10">
        <v>0.8</v>
      </c>
      <c r="D8" s="8">
        <f t="shared" si="6"/>
        <v>0.64000000000000012</v>
      </c>
      <c r="E8" s="7">
        <v>0.8</v>
      </c>
      <c r="F8" s="12">
        <f t="shared" si="1"/>
        <v>0.51200000000000012</v>
      </c>
      <c r="G8" s="12">
        <f t="shared" si="2"/>
        <v>2.5600000000000005</v>
      </c>
      <c r="H8" s="12">
        <f t="shared" si="3"/>
        <v>3.2000000000000008E-2</v>
      </c>
      <c r="I8" s="11">
        <f t="shared" si="4"/>
        <v>6.2856000000000005</v>
      </c>
      <c r="J8" s="12">
        <f t="shared" si="5"/>
        <v>4.2749999999999996E-2</v>
      </c>
      <c r="K8" s="12">
        <f t="shared" si="0"/>
        <v>5.6988500000000002</v>
      </c>
    </row>
    <row r="9" spans="1:11" x14ac:dyDescent="0.25">
      <c r="A9" s="6" t="s">
        <v>43</v>
      </c>
      <c r="B9" s="10">
        <v>0.8</v>
      </c>
      <c r="C9" s="10">
        <v>0.8</v>
      </c>
      <c r="D9" s="8">
        <f t="shared" si="6"/>
        <v>0.64000000000000012</v>
      </c>
      <c r="E9" s="7">
        <v>0.8</v>
      </c>
      <c r="F9" s="12">
        <f t="shared" si="1"/>
        <v>0.51200000000000012</v>
      </c>
      <c r="G9" s="12">
        <f t="shared" si="2"/>
        <v>2.5600000000000005</v>
      </c>
      <c r="H9" s="12">
        <f t="shared" si="3"/>
        <v>3.2000000000000008E-2</v>
      </c>
      <c r="I9" s="11">
        <f t="shared" si="4"/>
        <v>6.2856000000000005</v>
      </c>
      <c r="J9" s="12">
        <f>1.14*0.3*0.15</f>
        <v>5.1299999999999991E-2</v>
      </c>
      <c r="K9" s="12">
        <f t="shared" si="0"/>
        <v>5.6902999999999997</v>
      </c>
    </row>
    <row r="10" spans="1:11" x14ac:dyDescent="0.25">
      <c r="A10" s="6" t="s">
        <v>44</v>
      </c>
      <c r="B10" s="10">
        <v>0.8</v>
      </c>
      <c r="C10" s="10">
        <v>0.8</v>
      </c>
      <c r="D10" s="8">
        <f t="shared" si="6"/>
        <v>0.64000000000000012</v>
      </c>
      <c r="E10" s="7">
        <v>0.8</v>
      </c>
      <c r="F10" s="12">
        <f t="shared" si="1"/>
        <v>0.51200000000000012</v>
      </c>
      <c r="G10" s="12">
        <f t="shared" si="2"/>
        <v>2.5600000000000005</v>
      </c>
      <c r="H10" s="12">
        <f t="shared" si="3"/>
        <v>3.2000000000000008E-2</v>
      </c>
      <c r="I10" s="11">
        <f t="shared" si="4"/>
        <v>6.2856000000000005</v>
      </c>
      <c r="J10" s="12">
        <f>1.14*0.2*0.25</f>
        <v>5.6999999999999995E-2</v>
      </c>
      <c r="K10" s="12">
        <f t="shared" si="0"/>
        <v>5.6845999999999997</v>
      </c>
    </row>
    <row r="11" spans="1:11" x14ac:dyDescent="0.25">
      <c r="A11" s="6" t="s">
        <v>45</v>
      </c>
      <c r="B11" s="10">
        <v>0.8</v>
      </c>
      <c r="C11" s="10">
        <v>1.4</v>
      </c>
      <c r="D11" s="8">
        <f t="shared" si="6"/>
        <v>1.1199999999999999</v>
      </c>
      <c r="E11" s="7">
        <v>0.8</v>
      </c>
      <c r="F11" s="12">
        <f t="shared" si="1"/>
        <v>0.89599999999999991</v>
      </c>
      <c r="G11" s="12">
        <f t="shared" si="2"/>
        <v>3.5200000000000005</v>
      </c>
      <c r="H11" s="12">
        <f t="shared" si="3"/>
        <v>5.5999999999999994E-2</v>
      </c>
      <c r="I11" s="11">
        <f t="shared" si="4"/>
        <v>8.3808000000000007</v>
      </c>
      <c r="J11" s="12">
        <f>1.14*0.15*0.25</f>
        <v>4.2749999999999996E-2</v>
      </c>
      <c r="K11" s="12">
        <f t="shared" si="0"/>
        <v>7.3860500000000018</v>
      </c>
    </row>
    <row r="12" spans="1:11" x14ac:dyDescent="0.25">
      <c r="A12" s="6" t="s">
        <v>46</v>
      </c>
      <c r="B12" s="10">
        <v>0.8</v>
      </c>
      <c r="C12" s="10">
        <v>0.8</v>
      </c>
      <c r="D12" s="8">
        <f t="shared" si="6"/>
        <v>0.64000000000000012</v>
      </c>
      <c r="E12" s="7">
        <v>0.8</v>
      </c>
      <c r="F12" s="12">
        <f t="shared" si="1"/>
        <v>0.51200000000000012</v>
      </c>
      <c r="G12" s="12">
        <f t="shared" si="2"/>
        <v>2.5600000000000005</v>
      </c>
      <c r="H12" s="12">
        <f t="shared" si="3"/>
        <v>3.2000000000000008E-2</v>
      </c>
      <c r="I12" s="11">
        <f t="shared" si="4"/>
        <v>6.2856000000000005</v>
      </c>
      <c r="J12" s="12">
        <f>1.14*0.15*0.25</f>
        <v>4.2749999999999996E-2</v>
      </c>
      <c r="K12" s="12">
        <f t="shared" si="0"/>
        <v>5.6988500000000002</v>
      </c>
    </row>
    <row r="13" spans="1:11" x14ac:dyDescent="0.25">
      <c r="A13" s="6" t="s">
        <v>68</v>
      </c>
      <c r="B13" s="10">
        <v>0.8</v>
      </c>
      <c r="C13" s="10">
        <v>0.8</v>
      </c>
      <c r="D13" s="8">
        <f t="shared" si="6"/>
        <v>0.64000000000000012</v>
      </c>
      <c r="E13" s="7">
        <v>0.8</v>
      </c>
      <c r="F13" s="12">
        <f t="shared" si="1"/>
        <v>0.51200000000000012</v>
      </c>
      <c r="G13" s="12">
        <f t="shared" si="2"/>
        <v>2.5600000000000005</v>
      </c>
      <c r="H13" s="12">
        <f t="shared" si="3"/>
        <v>3.2000000000000008E-2</v>
      </c>
      <c r="I13" s="11">
        <f t="shared" si="4"/>
        <v>6.2856000000000005</v>
      </c>
      <c r="J13" s="12">
        <f t="shared" ref="J13:J16" si="7">1.14*0.15*0.25</f>
        <v>4.2749999999999996E-2</v>
      </c>
      <c r="K13" s="12">
        <f t="shared" si="0"/>
        <v>5.6988500000000002</v>
      </c>
    </row>
    <row r="14" spans="1:11" x14ac:dyDescent="0.25">
      <c r="A14" s="6" t="s">
        <v>69</v>
      </c>
      <c r="B14" s="10">
        <v>0.8</v>
      </c>
      <c r="C14" s="10">
        <v>0.8</v>
      </c>
      <c r="D14" s="8">
        <f t="shared" si="6"/>
        <v>0.64000000000000012</v>
      </c>
      <c r="E14" s="7">
        <v>0.8</v>
      </c>
      <c r="F14" s="12">
        <f t="shared" si="1"/>
        <v>0.51200000000000012</v>
      </c>
      <c r="G14" s="12">
        <f t="shared" si="2"/>
        <v>2.5600000000000005</v>
      </c>
      <c r="H14" s="12">
        <f t="shared" si="3"/>
        <v>3.2000000000000008E-2</v>
      </c>
      <c r="I14" s="11">
        <f t="shared" si="4"/>
        <v>6.2856000000000005</v>
      </c>
      <c r="J14" s="12">
        <f t="shared" si="7"/>
        <v>4.2749999999999996E-2</v>
      </c>
      <c r="K14" s="12">
        <f t="shared" si="0"/>
        <v>5.6988500000000002</v>
      </c>
    </row>
    <row r="15" spans="1:11" x14ac:dyDescent="0.25">
      <c r="A15" s="6" t="s">
        <v>70</v>
      </c>
      <c r="B15" s="10">
        <v>0.8</v>
      </c>
      <c r="C15" s="10">
        <v>0.8</v>
      </c>
      <c r="D15" s="8">
        <f t="shared" si="6"/>
        <v>0.64000000000000012</v>
      </c>
      <c r="E15" s="7">
        <v>0.8</v>
      </c>
      <c r="F15" s="12">
        <f t="shared" si="1"/>
        <v>0.51200000000000012</v>
      </c>
      <c r="G15" s="12">
        <f t="shared" si="2"/>
        <v>2.5600000000000005</v>
      </c>
      <c r="H15" s="12">
        <f t="shared" si="3"/>
        <v>3.2000000000000008E-2</v>
      </c>
      <c r="I15" s="11">
        <f t="shared" si="4"/>
        <v>6.2856000000000005</v>
      </c>
      <c r="J15" s="12">
        <f t="shared" si="7"/>
        <v>4.2749999999999996E-2</v>
      </c>
      <c r="K15" s="12">
        <f t="shared" si="0"/>
        <v>5.6988500000000002</v>
      </c>
    </row>
    <row r="16" spans="1:11" x14ac:dyDescent="0.25">
      <c r="A16" s="6" t="s">
        <v>71</v>
      </c>
      <c r="B16" s="10">
        <v>0.8</v>
      </c>
      <c r="C16" s="10">
        <v>0.8</v>
      </c>
      <c r="D16" s="8">
        <f t="shared" si="6"/>
        <v>0.64000000000000012</v>
      </c>
      <c r="E16" s="7">
        <v>0.8</v>
      </c>
      <c r="F16" s="12">
        <f t="shared" si="1"/>
        <v>0.51200000000000012</v>
      </c>
      <c r="G16" s="12">
        <f t="shared" si="2"/>
        <v>2.5600000000000005</v>
      </c>
      <c r="H16" s="12">
        <f t="shared" si="3"/>
        <v>3.2000000000000008E-2</v>
      </c>
      <c r="I16" s="11">
        <f t="shared" si="4"/>
        <v>6.2856000000000005</v>
      </c>
      <c r="J16" s="12">
        <f t="shared" si="7"/>
        <v>4.2749999999999996E-2</v>
      </c>
      <c r="K16" s="12">
        <f t="shared" si="0"/>
        <v>5.6988500000000002</v>
      </c>
    </row>
    <row r="17" spans="1:11" x14ac:dyDescent="0.25">
      <c r="A17" s="6" t="s">
        <v>72</v>
      </c>
      <c r="B17" s="10">
        <v>0.8</v>
      </c>
      <c r="C17" s="10">
        <v>0.8</v>
      </c>
      <c r="D17" s="8">
        <f t="shared" si="6"/>
        <v>0.64000000000000012</v>
      </c>
      <c r="E17" s="7">
        <v>0.8</v>
      </c>
      <c r="F17" s="12">
        <f t="shared" si="1"/>
        <v>0.51200000000000012</v>
      </c>
      <c r="G17" s="12">
        <f t="shared" si="2"/>
        <v>2.5600000000000005</v>
      </c>
      <c r="H17" s="12">
        <f t="shared" si="3"/>
        <v>3.2000000000000008E-2</v>
      </c>
      <c r="I17" s="11">
        <f t="shared" si="4"/>
        <v>6.2856000000000005</v>
      </c>
      <c r="J17" s="12">
        <f>1.14*0.15*0.3</f>
        <v>5.1299999999999991E-2</v>
      </c>
      <c r="K17" s="12">
        <f t="shared" si="0"/>
        <v>5.6902999999999997</v>
      </c>
    </row>
    <row r="18" spans="1:11" x14ac:dyDescent="0.25">
      <c r="A18" s="6" t="s">
        <v>73</v>
      </c>
      <c r="B18" s="10">
        <v>0.8</v>
      </c>
      <c r="C18" s="10">
        <v>1.4</v>
      </c>
      <c r="D18" s="8">
        <f t="shared" si="6"/>
        <v>1.1199999999999999</v>
      </c>
      <c r="E18" s="7">
        <v>0.8</v>
      </c>
      <c r="F18" s="12">
        <f t="shared" si="1"/>
        <v>0.89599999999999991</v>
      </c>
      <c r="G18" s="12">
        <f t="shared" si="2"/>
        <v>3.5200000000000005</v>
      </c>
      <c r="H18" s="12">
        <f t="shared" si="3"/>
        <v>5.5999999999999994E-2</v>
      </c>
      <c r="I18" s="11">
        <f t="shared" si="4"/>
        <v>8.3808000000000007</v>
      </c>
      <c r="J18" s="12">
        <f>1.14*0.15*0.3</f>
        <v>5.1299999999999991E-2</v>
      </c>
      <c r="K18" s="12">
        <f t="shared" si="0"/>
        <v>7.3775000000000013</v>
      </c>
    </row>
    <row r="19" spans="1:11" x14ac:dyDescent="0.25">
      <c r="A19" s="6" t="s">
        <v>74</v>
      </c>
      <c r="B19" s="10">
        <v>0.8</v>
      </c>
      <c r="C19" s="10">
        <v>0.8</v>
      </c>
      <c r="D19" s="8">
        <f t="shared" si="6"/>
        <v>0.64000000000000012</v>
      </c>
      <c r="E19" s="7">
        <v>0.8</v>
      </c>
      <c r="F19" s="12">
        <f t="shared" si="1"/>
        <v>0.51200000000000012</v>
      </c>
      <c r="G19" s="12">
        <f t="shared" si="2"/>
        <v>2.5600000000000005</v>
      </c>
      <c r="H19" s="12">
        <f t="shared" si="3"/>
        <v>3.2000000000000008E-2</v>
      </c>
      <c r="I19" s="11">
        <f t="shared" si="4"/>
        <v>6.2856000000000005</v>
      </c>
      <c r="J19" s="12">
        <f>1.14*0.15*0.3</f>
        <v>5.1299999999999991E-2</v>
      </c>
      <c r="K19" s="12">
        <f t="shared" si="0"/>
        <v>5.6902999999999997</v>
      </c>
    </row>
    <row r="20" spans="1:11" x14ac:dyDescent="0.25">
      <c r="A20" s="6" t="s">
        <v>75</v>
      </c>
      <c r="B20" s="10">
        <v>0.8</v>
      </c>
      <c r="C20" s="10">
        <v>1.4</v>
      </c>
      <c r="D20" s="8">
        <f t="shared" si="6"/>
        <v>1.1199999999999999</v>
      </c>
      <c r="E20" s="7">
        <v>0.8</v>
      </c>
      <c r="F20" s="12">
        <f t="shared" si="1"/>
        <v>0.89599999999999991</v>
      </c>
      <c r="G20" s="12">
        <f t="shared" si="2"/>
        <v>3.5200000000000005</v>
      </c>
      <c r="H20" s="12">
        <f t="shared" si="3"/>
        <v>5.5999999999999994E-2</v>
      </c>
      <c r="I20" s="11">
        <f t="shared" si="4"/>
        <v>8.3808000000000007</v>
      </c>
      <c r="J20" s="12">
        <f t="shared" ref="J20:J23" si="8">1.14*0.15*0.3</f>
        <v>5.1299999999999991E-2</v>
      </c>
      <c r="K20" s="12">
        <f t="shared" si="0"/>
        <v>7.3775000000000013</v>
      </c>
    </row>
    <row r="21" spans="1:11" x14ac:dyDescent="0.25">
      <c r="A21" s="6" t="s">
        <v>76</v>
      </c>
      <c r="B21" s="10">
        <v>0.8</v>
      </c>
      <c r="C21" s="10">
        <v>0.8</v>
      </c>
      <c r="D21" s="8">
        <f t="shared" si="6"/>
        <v>0.64000000000000012</v>
      </c>
      <c r="E21" s="7">
        <v>0.8</v>
      </c>
      <c r="F21" s="12">
        <f t="shared" si="1"/>
        <v>0.51200000000000012</v>
      </c>
      <c r="G21" s="12">
        <f t="shared" si="2"/>
        <v>2.5600000000000005</v>
      </c>
      <c r="H21" s="12">
        <f t="shared" si="3"/>
        <v>3.2000000000000008E-2</v>
      </c>
      <c r="I21" s="11">
        <f t="shared" si="4"/>
        <v>6.2856000000000005</v>
      </c>
      <c r="J21" s="12">
        <f t="shared" si="8"/>
        <v>5.1299999999999991E-2</v>
      </c>
      <c r="K21" s="12">
        <f t="shared" si="0"/>
        <v>5.6902999999999997</v>
      </c>
    </row>
    <row r="22" spans="1:11" x14ac:dyDescent="0.25">
      <c r="A22" s="6" t="s">
        <v>77</v>
      </c>
      <c r="B22" s="10">
        <v>0.8</v>
      </c>
      <c r="C22" s="10">
        <v>0.8</v>
      </c>
      <c r="D22" s="8">
        <f t="shared" si="6"/>
        <v>0.64000000000000012</v>
      </c>
      <c r="E22" s="7">
        <v>0.8</v>
      </c>
      <c r="F22" s="12">
        <f t="shared" si="1"/>
        <v>0.51200000000000012</v>
      </c>
      <c r="G22" s="12">
        <f t="shared" si="2"/>
        <v>2.5600000000000005</v>
      </c>
      <c r="H22" s="12">
        <f t="shared" si="3"/>
        <v>3.2000000000000008E-2</v>
      </c>
      <c r="I22" s="11">
        <f>(C22+1)*(B22+1)*(1.94)</f>
        <v>6.2856000000000005</v>
      </c>
      <c r="J22" s="12">
        <f t="shared" si="8"/>
        <v>5.1299999999999991E-2</v>
      </c>
      <c r="K22" s="12">
        <f t="shared" si="0"/>
        <v>5.6902999999999997</v>
      </c>
    </row>
    <row r="23" spans="1:11" x14ac:dyDescent="0.25">
      <c r="A23" s="6" t="s">
        <v>78</v>
      </c>
      <c r="B23" s="10">
        <v>0.8</v>
      </c>
      <c r="C23" s="10">
        <v>0.8</v>
      </c>
      <c r="D23" s="8">
        <f t="shared" si="6"/>
        <v>0.64000000000000012</v>
      </c>
      <c r="E23" s="7">
        <v>0.8</v>
      </c>
      <c r="F23" s="12">
        <f t="shared" si="1"/>
        <v>0.51200000000000012</v>
      </c>
      <c r="G23" s="12">
        <f t="shared" si="2"/>
        <v>2.5600000000000005</v>
      </c>
      <c r="H23" s="12">
        <f t="shared" si="3"/>
        <v>3.2000000000000008E-2</v>
      </c>
      <c r="I23" s="11">
        <f t="shared" si="4"/>
        <v>6.2856000000000005</v>
      </c>
      <c r="J23" s="12">
        <f t="shared" si="8"/>
        <v>5.1299999999999991E-2</v>
      </c>
      <c r="K23" s="12">
        <f t="shared" si="0"/>
        <v>5.6902999999999997</v>
      </c>
    </row>
    <row r="24" spans="1:11" x14ac:dyDescent="0.25">
      <c r="A24" s="6" t="s">
        <v>79</v>
      </c>
      <c r="B24" s="10">
        <v>0.8</v>
      </c>
      <c r="C24" s="10">
        <v>1.4</v>
      </c>
      <c r="D24" s="8">
        <f t="shared" si="6"/>
        <v>1.1199999999999999</v>
      </c>
      <c r="E24" s="7">
        <v>0.8</v>
      </c>
      <c r="F24" s="12">
        <f t="shared" si="1"/>
        <v>0.89599999999999991</v>
      </c>
      <c r="G24" s="12">
        <f t="shared" si="2"/>
        <v>3.5200000000000005</v>
      </c>
      <c r="H24" s="12">
        <f t="shared" si="3"/>
        <v>5.5999999999999994E-2</v>
      </c>
      <c r="I24" s="11">
        <f t="shared" si="4"/>
        <v>8.3808000000000007</v>
      </c>
      <c r="J24" s="12">
        <f>1.14*0.15*0.25</f>
        <v>4.2749999999999996E-2</v>
      </c>
      <c r="K24" s="12">
        <f t="shared" si="0"/>
        <v>7.3860500000000018</v>
      </c>
    </row>
    <row r="25" spans="1:11" x14ac:dyDescent="0.25">
      <c r="A25" s="6" t="s">
        <v>80</v>
      </c>
      <c r="B25" s="10">
        <v>0.8</v>
      </c>
      <c r="C25" s="10">
        <v>0.8</v>
      </c>
      <c r="D25" s="8">
        <f t="shared" si="6"/>
        <v>0.64000000000000012</v>
      </c>
      <c r="E25" s="7">
        <v>0.8</v>
      </c>
      <c r="F25" s="12">
        <f t="shared" si="1"/>
        <v>0.51200000000000012</v>
      </c>
      <c r="G25" s="12">
        <f t="shared" si="2"/>
        <v>2.5600000000000005</v>
      </c>
      <c r="H25" s="12">
        <f t="shared" si="3"/>
        <v>3.2000000000000008E-2</v>
      </c>
      <c r="I25" s="11">
        <f t="shared" si="4"/>
        <v>6.2856000000000005</v>
      </c>
      <c r="J25" s="12">
        <f>1.14*0.15*0.25</f>
        <v>4.2749999999999996E-2</v>
      </c>
      <c r="K25" s="12">
        <f t="shared" si="0"/>
        <v>5.6988500000000002</v>
      </c>
    </row>
    <row r="26" spans="1:11" x14ac:dyDescent="0.25">
      <c r="A26" s="6" t="s">
        <v>81</v>
      </c>
      <c r="B26" s="10">
        <v>0.8</v>
      </c>
      <c r="C26" s="10">
        <v>0.8</v>
      </c>
      <c r="D26" s="8">
        <f t="shared" si="6"/>
        <v>0.64000000000000012</v>
      </c>
      <c r="E26" s="7">
        <v>0.8</v>
      </c>
      <c r="F26" s="12">
        <f t="shared" si="1"/>
        <v>0.51200000000000012</v>
      </c>
      <c r="G26" s="12">
        <f t="shared" si="2"/>
        <v>2.5600000000000005</v>
      </c>
      <c r="H26" s="12">
        <f t="shared" si="3"/>
        <v>3.2000000000000008E-2</v>
      </c>
      <c r="I26" s="11">
        <f t="shared" si="4"/>
        <v>6.2856000000000005</v>
      </c>
      <c r="J26" s="12">
        <f>1.14*0.15*0.25</f>
        <v>4.2749999999999996E-2</v>
      </c>
      <c r="K26" s="12">
        <f t="shared" si="0"/>
        <v>5.6988500000000002</v>
      </c>
    </row>
    <row r="27" spans="1:11" x14ac:dyDescent="0.25">
      <c r="A27" s="6" t="s">
        <v>82</v>
      </c>
      <c r="B27" s="10">
        <v>0.8</v>
      </c>
      <c r="C27" s="10">
        <v>0.8</v>
      </c>
      <c r="D27" s="8">
        <f t="shared" si="6"/>
        <v>0.64000000000000012</v>
      </c>
      <c r="E27" s="7">
        <v>0.8</v>
      </c>
      <c r="F27" s="12">
        <f t="shared" si="1"/>
        <v>0.51200000000000012</v>
      </c>
      <c r="G27" s="12">
        <f t="shared" si="2"/>
        <v>2.5600000000000005</v>
      </c>
      <c r="H27" s="12">
        <f t="shared" si="3"/>
        <v>3.2000000000000008E-2</v>
      </c>
      <c r="I27" s="11">
        <f t="shared" si="4"/>
        <v>6.2856000000000005</v>
      </c>
      <c r="J27" s="12">
        <f t="shared" ref="J27:J28" si="9">1.14*0.15*0.25</f>
        <v>4.2749999999999996E-2</v>
      </c>
      <c r="K27" s="12">
        <f t="shared" si="0"/>
        <v>5.6988500000000002</v>
      </c>
    </row>
    <row r="28" spans="1:11" x14ac:dyDescent="0.25">
      <c r="A28" s="6" t="s">
        <v>83</v>
      </c>
      <c r="B28" s="10">
        <v>0.8</v>
      </c>
      <c r="C28" s="10">
        <v>1.4</v>
      </c>
      <c r="D28" s="8">
        <f t="shared" si="6"/>
        <v>1.1199999999999999</v>
      </c>
      <c r="E28" s="7">
        <v>0.8</v>
      </c>
      <c r="F28" s="12">
        <f t="shared" si="1"/>
        <v>0.89599999999999991</v>
      </c>
      <c r="G28" s="12">
        <f t="shared" si="2"/>
        <v>3.5200000000000005</v>
      </c>
      <c r="H28" s="12">
        <f t="shared" si="3"/>
        <v>5.5999999999999994E-2</v>
      </c>
      <c r="I28" s="11">
        <f t="shared" si="4"/>
        <v>8.3808000000000007</v>
      </c>
      <c r="J28" s="12">
        <f t="shared" si="9"/>
        <v>4.2749999999999996E-2</v>
      </c>
      <c r="K28" s="12">
        <f t="shared" si="0"/>
        <v>7.3860500000000018</v>
      </c>
    </row>
    <row r="29" spans="1:11" x14ac:dyDescent="0.25">
      <c r="A29" s="6" t="s">
        <v>84</v>
      </c>
      <c r="B29" s="10">
        <v>0.8</v>
      </c>
      <c r="C29" s="10">
        <v>0.8</v>
      </c>
      <c r="D29" s="8">
        <f t="shared" si="6"/>
        <v>0.64000000000000012</v>
      </c>
      <c r="E29" s="7">
        <v>0.8</v>
      </c>
      <c r="F29" s="12">
        <f t="shared" si="1"/>
        <v>0.51200000000000012</v>
      </c>
      <c r="G29" s="12">
        <f t="shared" si="2"/>
        <v>2.5600000000000005</v>
      </c>
      <c r="H29" s="12">
        <f t="shared" si="3"/>
        <v>3.2000000000000008E-2</v>
      </c>
      <c r="I29" s="11">
        <f t="shared" si="4"/>
        <v>6.2856000000000005</v>
      </c>
      <c r="J29" s="12">
        <f>1.14*0.15*0.35</f>
        <v>5.9849999999999993E-2</v>
      </c>
      <c r="K29" s="12">
        <f t="shared" si="0"/>
        <v>5.6817500000000001</v>
      </c>
    </row>
    <row r="30" spans="1:11" x14ac:dyDescent="0.25">
      <c r="A30" s="6" t="s">
        <v>85</v>
      </c>
      <c r="B30" s="10">
        <v>0.8</v>
      </c>
      <c r="C30" s="10">
        <v>1.4</v>
      </c>
      <c r="D30" s="8">
        <f t="shared" si="6"/>
        <v>1.1199999999999999</v>
      </c>
      <c r="E30" s="7">
        <v>0.8</v>
      </c>
      <c r="F30" s="12">
        <f t="shared" si="1"/>
        <v>0.89599999999999991</v>
      </c>
      <c r="G30" s="12">
        <f t="shared" si="2"/>
        <v>3.5200000000000005</v>
      </c>
      <c r="H30" s="12">
        <f t="shared" si="3"/>
        <v>5.5999999999999994E-2</v>
      </c>
      <c r="I30" s="11">
        <f t="shared" si="4"/>
        <v>8.3808000000000007</v>
      </c>
      <c r="J30" s="12">
        <f>1.14*0.15*0.3</f>
        <v>5.1299999999999991E-2</v>
      </c>
      <c r="K30" s="12">
        <f t="shared" si="0"/>
        <v>7.3775000000000013</v>
      </c>
    </row>
    <row r="31" spans="1:11" x14ac:dyDescent="0.25">
      <c r="A31" s="6" t="s">
        <v>86</v>
      </c>
      <c r="B31" s="10">
        <v>0.8</v>
      </c>
      <c r="C31" s="10">
        <v>0.8</v>
      </c>
      <c r="D31" s="8">
        <f t="shared" si="6"/>
        <v>0.64000000000000012</v>
      </c>
      <c r="E31" s="7">
        <v>0.8</v>
      </c>
      <c r="F31" s="12">
        <f t="shared" si="1"/>
        <v>0.51200000000000012</v>
      </c>
      <c r="G31" s="12">
        <f t="shared" si="2"/>
        <v>2.5600000000000005</v>
      </c>
      <c r="H31" s="12">
        <f t="shared" si="3"/>
        <v>3.2000000000000008E-2</v>
      </c>
      <c r="I31" s="11">
        <f t="shared" si="4"/>
        <v>6.2856000000000005</v>
      </c>
      <c r="J31" s="12">
        <f>1.14*0.2*0.25</f>
        <v>5.6999999999999995E-2</v>
      </c>
      <c r="K31" s="12">
        <f t="shared" si="0"/>
        <v>5.6845999999999997</v>
      </c>
    </row>
    <row r="32" spans="1:11" x14ac:dyDescent="0.25">
      <c r="A32" s="38"/>
      <c r="B32" s="39"/>
      <c r="C32" s="39"/>
      <c r="D32" s="40"/>
      <c r="E32" s="4" t="s">
        <v>27</v>
      </c>
      <c r="F32" s="5">
        <v>17.13</v>
      </c>
      <c r="G32" s="5">
        <f t="shared" ref="F32:K32" si="10">SUM(G3:G31)</f>
        <v>80.000000000000028</v>
      </c>
      <c r="H32" s="5">
        <f t="shared" si="10"/>
        <v>1.0720000000000007</v>
      </c>
      <c r="I32" s="5">
        <f t="shared" si="10"/>
        <v>194.85359999999994</v>
      </c>
      <c r="J32" s="5">
        <f t="shared" si="10"/>
        <v>1.3794</v>
      </c>
      <c r="K32" s="5">
        <f t="shared" si="10"/>
        <v>175.25019999999992</v>
      </c>
    </row>
    <row r="36" spans="11:11" x14ac:dyDescent="0.25">
      <c r="K36" s="31">
        <f>I32-F32-H32-J32</f>
        <v>175.27219999999994</v>
      </c>
    </row>
  </sheetData>
  <mergeCells count="2">
    <mergeCell ref="A1:K1"/>
    <mergeCell ref="A32:D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zoomScale="90" zoomScaleNormal="90" workbookViewId="0">
      <selection activeCell="E10" sqref="E10"/>
    </sheetView>
  </sheetViews>
  <sheetFormatPr defaultRowHeight="15" x14ac:dyDescent="0.25"/>
  <cols>
    <col min="1" max="1" width="10.140625" customWidth="1"/>
    <col min="2" max="2" width="16.5703125" customWidth="1"/>
    <col min="3" max="3" width="8.140625" customWidth="1"/>
    <col min="4" max="4" width="11.42578125" customWidth="1"/>
    <col min="5" max="5" width="9.42578125" customWidth="1"/>
    <col min="6" max="6" width="11.140625" customWidth="1"/>
    <col min="7" max="7" width="9.5703125" customWidth="1"/>
    <col min="8" max="9" width="15.7109375" customWidth="1"/>
    <col min="10" max="10" width="13.140625" customWidth="1"/>
    <col min="11" max="11" width="11.42578125" customWidth="1"/>
  </cols>
  <sheetData>
    <row r="1" spans="1:13" x14ac:dyDescent="0.2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15" customHeight="1" x14ac:dyDescent="0.25">
      <c r="A2" s="37" t="s">
        <v>34</v>
      </c>
      <c r="B2" s="37" t="s">
        <v>51</v>
      </c>
      <c r="C2" s="37" t="s">
        <v>9</v>
      </c>
      <c r="D2" s="37" t="s">
        <v>0</v>
      </c>
      <c r="E2" s="42" t="s">
        <v>62</v>
      </c>
      <c r="F2" s="43"/>
      <c r="G2" s="44"/>
      <c r="H2" s="37" t="s">
        <v>67</v>
      </c>
      <c r="I2" s="37" t="s">
        <v>133</v>
      </c>
      <c r="J2" s="37" t="s">
        <v>131</v>
      </c>
      <c r="K2" s="37" t="s">
        <v>132</v>
      </c>
    </row>
    <row r="3" spans="1:13" x14ac:dyDescent="0.25">
      <c r="A3" s="37"/>
      <c r="B3" s="37"/>
      <c r="C3" s="37"/>
      <c r="D3" s="37"/>
      <c r="E3" s="42" t="s">
        <v>63</v>
      </c>
      <c r="F3" s="43"/>
      <c r="G3" s="44"/>
      <c r="H3" s="37"/>
      <c r="I3" s="37"/>
      <c r="J3" s="37"/>
      <c r="K3" s="37"/>
    </row>
    <row r="4" spans="1:13" ht="27" customHeight="1" x14ac:dyDescent="0.25">
      <c r="A4" s="37"/>
      <c r="B4" s="37"/>
      <c r="C4" s="37"/>
      <c r="D4" s="37"/>
      <c r="E4" s="25" t="s">
        <v>64</v>
      </c>
      <c r="F4" s="25" t="s">
        <v>65</v>
      </c>
      <c r="G4" s="25" t="s">
        <v>66</v>
      </c>
      <c r="H4" s="37"/>
      <c r="I4" s="37"/>
      <c r="J4" s="37"/>
      <c r="K4" s="37"/>
    </row>
    <row r="5" spans="1:13" ht="38.25" x14ac:dyDescent="0.25">
      <c r="A5" s="13" t="s">
        <v>142</v>
      </c>
      <c r="B5" s="13" t="s">
        <v>91</v>
      </c>
      <c r="C5" s="1">
        <v>30</v>
      </c>
      <c r="D5" s="1">
        <v>35</v>
      </c>
      <c r="E5" s="1">
        <v>600</v>
      </c>
      <c r="F5" s="1"/>
      <c r="G5" s="1"/>
      <c r="H5" s="2" t="s">
        <v>90</v>
      </c>
      <c r="I5" s="2">
        <v>8</v>
      </c>
      <c r="J5" s="2">
        <f>D5*I5</f>
        <v>280</v>
      </c>
      <c r="K5" s="3">
        <f>D5</f>
        <v>35</v>
      </c>
    </row>
    <row r="11" spans="1:13" ht="93.75" customHeight="1" x14ac:dyDescent="0.25">
      <c r="A11" t="s">
        <v>52</v>
      </c>
      <c r="B11" s="45" t="s">
        <v>53</v>
      </c>
      <c r="C11" s="45"/>
      <c r="D11" s="45"/>
      <c r="E11" s="45"/>
      <c r="F11" s="45"/>
      <c r="G11" s="45"/>
      <c r="H11" s="45"/>
      <c r="I11" s="24"/>
      <c r="J11" t="s">
        <v>54</v>
      </c>
      <c r="K11">
        <v>1</v>
      </c>
      <c r="L11">
        <v>95.1</v>
      </c>
      <c r="M11">
        <f>K11*L11</f>
        <v>95.1</v>
      </c>
    </row>
    <row r="12" spans="1:13" x14ac:dyDescent="0.25">
      <c r="A12" t="s">
        <v>55</v>
      </c>
      <c r="B12" t="s">
        <v>56</v>
      </c>
      <c r="J12" t="s">
        <v>54</v>
      </c>
      <c r="K12">
        <v>1</v>
      </c>
      <c r="L12">
        <v>95.1</v>
      </c>
      <c r="M12">
        <f>K12*L12</f>
        <v>95.1</v>
      </c>
    </row>
    <row r="13" spans="1:13" x14ac:dyDescent="0.25">
      <c r="K13" t="s">
        <v>57</v>
      </c>
      <c r="M13">
        <f>SUM(M12:M12)</f>
        <v>95.1</v>
      </c>
    </row>
    <row r="15" spans="1:13" ht="101.25" customHeight="1" x14ac:dyDescent="0.25">
      <c r="A15" t="s">
        <v>58</v>
      </c>
      <c r="B15" s="45" t="s">
        <v>59</v>
      </c>
      <c r="C15" s="45"/>
      <c r="D15" s="45"/>
      <c r="E15" s="45"/>
      <c r="F15" s="45"/>
      <c r="G15" s="45"/>
      <c r="H15" s="45"/>
      <c r="I15" s="24"/>
      <c r="J15">
        <v>1</v>
      </c>
      <c r="K15">
        <v>38.1</v>
      </c>
      <c r="L15">
        <f>J15*K15</f>
        <v>38.1</v>
      </c>
    </row>
    <row r="16" spans="1:13" x14ac:dyDescent="0.25">
      <c r="A16" t="s">
        <v>60</v>
      </c>
      <c r="B16" t="s">
        <v>61</v>
      </c>
      <c r="J16">
        <v>1</v>
      </c>
      <c r="K16">
        <v>38.1</v>
      </c>
      <c r="L16">
        <f>J16*K16</f>
        <v>38.1</v>
      </c>
    </row>
    <row r="17" spans="10:12" x14ac:dyDescent="0.25">
      <c r="J17" t="s">
        <v>57</v>
      </c>
      <c r="L17">
        <f>SUM(L16:L16)</f>
        <v>38.1</v>
      </c>
    </row>
  </sheetData>
  <mergeCells count="13">
    <mergeCell ref="B11:H11"/>
    <mergeCell ref="B15:H15"/>
    <mergeCell ref="E3:G3"/>
    <mergeCell ref="H2:H4"/>
    <mergeCell ref="A2:A4"/>
    <mergeCell ref="C2:C4"/>
    <mergeCell ref="D2:D4"/>
    <mergeCell ref="J2:J4"/>
    <mergeCell ref="K2:K4"/>
    <mergeCell ref="I2:I4"/>
    <mergeCell ref="A1:K1"/>
    <mergeCell ref="B2:B4"/>
    <mergeCell ref="E2:G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Normal="100" workbookViewId="0">
      <selection activeCell="D5" sqref="D5"/>
    </sheetView>
  </sheetViews>
  <sheetFormatPr defaultRowHeight="15" x14ac:dyDescent="0.25"/>
  <cols>
    <col min="4" max="4" width="14.140625" customWidth="1"/>
    <col min="5" max="5" width="13.42578125" bestFit="1" customWidth="1"/>
    <col min="6" max="6" width="9.140625" hidden="1" customWidth="1"/>
    <col min="7" max="7" width="8.7109375" hidden="1" customWidth="1"/>
    <col min="8" max="8" width="9.85546875" customWidth="1"/>
    <col min="9" max="9" width="15" customWidth="1"/>
    <col min="10" max="10" width="13.42578125" customWidth="1"/>
  </cols>
  <sheetData>
    <row r="1" spans="1:10" x14ac:dyDescent="0.25">
      <c r="A1" s="46" t="s">
        <v>110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51" x14ac:dyDescent="0.25">
      <c r="A2" s="25" t="s">
        <v>31</v>
      </c>
      <c r="B2" s="25" t="s">
        <v>22</v>
      </c>
      <c r="C2" s="25" t="s">
        <v>21</v>
      </c>
      <c r="D2" s="25" t="s">
        <v>20</v>
      </c>
      <c r="E2" s="25" t="s">
        <v>23</v>
      </c>
      <c r="F2" s="25" t="s">
        <v>30</v>
      </c>
      <c r="G2" s="25" t="s">
        <v>28</v>
      </c>
      <c r="H2" s="25" t="s">
        <v>29</v>
      </c>
      <c r="I2" s="26" t="s">
        <v>89</v>
      </c>
      <c r="J2" s="26" t="s">
        <v>114</v>
      </c>
    </row>
    <row r="3" spans="1:10" x14ac:dyDescent="0.25">
      <c r="A3" s="16" t="s">
        <v>11</v>
      </c>
      <c r="B3" s="17">
        <v>0.15</v>
      </c>
      <c r="C3" s="17">
        <v>0.4</v>
      </c>
      <c r="D3" s="18">
        <f>B3*C3</f>
        <v>0.06</v>
      </c>
      <c r="E3" s="17">
        <v>5.85</v>
      </c>
      <c r="F3" s="19">
        <f>E3*D3</f>
        <v>0.35099999999999998</v>
      </c>
      <c r="G3" s="19">
        <f>(B3+C3+C3)*E3</f>
        <v>5.5575000000000001</v>
      </c>
      <c r="H3" s="19">
        <f>(E3*B3*0.05)</f>
        <v>4.3874999999999997E-2</v>
      </c>
      <c r="I3" s="19">
        <f>(B3+0.25+0.25)*(C3+0.05)*E3</f>
        <v>1.711125</v>
      </c>
      <c r="J3" s="19">
        <f>I3-F3-H3</f>
        <v>1.3162500000000001</v>
      </c>
    </row>
    <row r="4" spans="1:10" x14ac:dyDescent="0.25">
      <c r="A4" s="16" t="s">
        <v>12</v>
      </c>
      <c r="B4" s="17">
        <v>0.15</v>
      </c>
      <c r="C4" s="17">
        <v>0.4</v>
      </c>
      <c r="D4" s="18">
        <f>B4*C4</f>
        <v>0.06</v>
      </c>
      <c r="E4" s="17">
        <v>5.85</v>
      </c>
      <c r="F4" s="19">
        <f t="shared" ref="F4:F12" si="0">E4*D4</f>
        <v>0.35099999999999998</v>
      </c>
      <c r="G4" s="19">
        <f t="shared" ref="G4:G13" si="1">(B4+C4+C4)*E4</f>
        <v>5.5575000000000001</v>
      </c>
      <c r="H4" s="19">
        <f t="shared" ref="H4:H13" si="2">(E4*B4*0.05)</f>
        <v>4.3874999999999997E-2</v>
      </c>
      <c r="I4" s="19">
        <f t="shared" ref="I4:I17" si="3">(B4+0.25+0.25)*(C4+0.05)*E4</f>
        <v>1.711125</v>
      </c>
      <c r="J4" s="19">
        <f t="shared" ref="J4:J13" si="4">I4-F4-H4</f>
        <v>1.3162500000000001</v>
      </c>
    </row>
    <row r="5" spans="1:10" x14ac:dyDescent="0.25">
      <c r="A5" s="16" t="s">
        <v>13</v>
      </c>
      <c r="B5" s="17">
        <v>0.15</v>
      </c>
      <c r="C5" s="17">
        <v>0.4</v>
      </c>
      <c r="D5" s="18">
        <f t="shared" ref="D5:D12" si="5">B5*C5</f>
        <v>0.06</v>
      </c>
      <c r="E5" s="17">
        <v>5.85</v>
      </c>
      <c r="F5" s="19">
        <f t="shared" si="0"/>
        <v>0.35099999999999998</v>
      </c>
      <c r="G5" s="19">
        <f t="shared" si="1"/>
        <v>5.5575000000000001</v>
      </c>
      <c r="H5" s="19">
        <f t="shared" si="2"/>
        <v>4.3874999999999997E-2</v>
      </c>
      <c r="I5" s="19">
        <f t="shared" si="3"/>
        <v>1.711125</v>
      </c>
      <c r="J5" s="19">
        <f t="shared" si="4"/>
        <v>1.3162500000000001</v>
      </c>
    </row>
    <row r="6" spans="1:10" x14ac:dyDescent="0.25">
      <c r="A6" s="16" t="s">
        <v>112</v>
      </c>
      <c r="B6" s="17">
        <v>0.15</v>
      </c>
      <c r="C6" s="17">
        <v>0.4</v>
      </c>
      <c r="D6" s="18">
        <f t="shared" si="5"/>
        <v>0.06</v>
      </c>
      <c r="E6" s="17">
        <v>5.85</v>
      </c>
      <c r="F6" s="19">
        <f t="shared" si="0"/>
        <v>0.35099999999999998</v>
      </c>
      <c r="G6" s="19">
        <f t="shared" si="1"/>
        <v>5.5575000000000001</v>
      </c>
      <c r="H6" s="19">
        <f t="shared" si="2"/>
        <v>4.3874999999999997E-2</v>
      </c>
      <c r="I6" s="19">
        <f t="shared" si="3"/>
        <v>1.711125</v>
      </c>
      <c r="J6" s="19">
        <f t="shared" si="4"/>
        <v>1.3162500000000001</v>
      </c>
    </row>
    <row r="7" spans="1:10" x14ac:dyDescent="0.25">
      <c r="A7" s="16" t="s">
        <v>14</v>
      </c>
      <c r="B7" s="17">
        <v>0.15</v>
      </c>
      <c r="C7" s="17">
        <v>0.4</v>
      </c>
      <c r="D7" s="18">
        <f t="shared" si="5"/>
        <v>0.06</v>
      </c>
      <c r="E7" s="17">
        <v>5.85</v>
      </c>
      <c r="F7" s="19">
        <f t="shared" si="0"/>
        <v>0.35099999999999998</v>
      </c>
      <c r="G7" s="19">
        <f t="shared" si="1"/>
        <v>5.5575000000000001</v>
      </c>
      <c r="H7" s="19">
        <f t="shared" si="2"/>
        <v>4.3874999999999997E-2</v>
      </c>
      <c r="I7" s="19">
        <f t="shared" si="3"/>
        <v>1.711125</v>
      </c>
      <c r="J7" s="19">
        <f t="shared" si="4"/>
        <v>1.3162500000000001</v>
      </c>
    </row>
    <row r="8" spans="1:10" x14ac:dyDescent="0.25">
      <c r="A8" s="16" t="s">
        <v>113</v>
      </c>
      <c r="B8" s="17">
        <v>0.15</v>
      </c>
      <c r="C8" s="17">
        <v>0.4</v>
      </c>
      <c r="D8" s="18">
        <f t="shared" si="5"/>
        <v>0.06</v>
      </c>
      <c r="E8" s="17">
        <v>5.85</v>
      </c>
      <c r="F8" s="19">
        <f t="shared" si="0"/>
        <v>0.35099999999999998</v>
      </c>
      <c r="G8" s="19">
        <f t="shared" si="1"/>
        <v>5.5575000000000001</v>
      </c>
      <c r="H8" s="19">
        <f t="shared" si="2"/>
        <v>4.3874999999999997E-2</v>
      </c>
      <c r="I8" s="19">
        <f t="shared" si="3"/>
        <v>1.711125</v>
      </c>
      <c r="J8" s="19">
        <f t="shared" si="4"/>
        <v>1.3162500000000001</v>
      </c>
    </row>
    <row r="9" spans="1:10" x14ac:dyDescent="0.25">
      <c r="A9" s="16" t="s">
        <v>15</v>
      </c>
      <c r="B9" s="17">
        <v>0.15</v>
      </c>
      <c r="C9" s="17">
        <v>0.4</v>
      </c>
      <c r="D9" s="18">
        <f t="shared" si="5"/>
        <v>0.06</v>
      </c>
      <c r="E9" s="17">
        <v>5.85</v>
      </c>
      <c r="F9" s="19">
        <f t="shared" si="0"/>
        <v>0.35099999999999998</v>
      </c>
      <c r="G9" s="19">
        <f t="shared" si="1"/>
        <v>5.5575000000000001</v>
      </c>
      <c r="H9" s="19">
        <f t="shared" si="2"/>
        <v>4.3874999999999997E-2</v>
      </c>
      <c r="I9" s="19">
        <f t="shared" si="3"/>
        <v>1.711125</v>
      </c>
      <c r="J9" s="19">
        <f t="shared" si="4"/>
        <v>1.3162500000000001</v>
      </c>
    </row>
    <row r="10" spans="1:10" x14ac:dyDescent="0.25">
      <c r="A10" s="16" t="s">
        <v>16</v>
      </c>
      <c r="B10" s="17">
        <v>0.15</v>
      </c>
      <c r="C10" s="17">
        <v>0.4</v>
      </c>
      <c r="D10" s="18">
        <f>B10*C10</f>
        <v>0.06</v>
      </c>
      <c r="E10" s="17">
        <v>5.85</v>
      </c>
      <c r="F10" s="19">
        <f>E10*D10</f>
        <v>0.35099999999999998</v>
      </c>
      <c r="G10" s="19">
        <f t="shared" si="1"/>
        <v>5.5575000000000001</v>
      </c>
      <c r="H10" s="19">
        <f t="shared" si="2"/>
        <v>4.3874999999999997E-2</v>
      </c>
      <c r="I10" s="19">
        <f t="shared" si="3"/>
        <v>1.711125</v>
      </c>
      <c r="J10" s="19">
        <f t="shared" si="4"/>
        <v>1.3162500000000001</v>
      </c>
    </row>
    <row r="11" spans="1:10" x14ac:dyDescent="0.25">
      <c r="A11" s="16" t="s">
        <v>17</v>
      </c>
      <c r="B11" s="17">
        <v>0.15</v>
      </c>
      <c r="C11" s="17">
        <v>0.4</v>
      </c>
      <c r="D11" s="18">
        <f>B11*C11</f>
        <v>0.06</v>
      </c>
      <c r="E11" s="17">
        <v>5.85</v>
      </c>
      <c r="F11" s="19">
        <f>E11*D11</f>
        <v>0.35099999999999998</v>
      </c>
      <c r="G11" s="19">
        <f t="shared" si="1"/>
        <v>5.5575000000000001</v>
      </c>
      <c r="H11" s="19">
        <f t="shared" si="2"/>
        <v>4.3874999999999997E-2</v>
      </c>
      <c r="I11" s="19">
        <f t="shared" si="3"/>
        <v>1.711125</v>
      </c>
      <c r="J11" s="19">
        <f t="shared" si="4"/>
        <v>1.3162500000000001</v>
      </c>
    </row>
    <row r="12" spans="1:10" x14ac:dyDescent="0.25">
      <c r="A12" s="16" t="s">
        <v>18</v>
      </c>
      <c r="B12" s="17">
        <v>0.15</v>
      </c>
      <c r="C12" s="17">
        <v>0.4</v>
      </c>
      <c r="D12" s="18">
        <f t="shared" si="5"/>
        <v>0.06</v>
      </c>
      <c r="E12" s="17">
        <v>5.85</v>
      </c>
      <c r="F12" s="19">
        <f t="shared" si="0"/>
        <v>0.35099999999999998</v>
      </c>
      <c r="G12" s="19">
        <f t="shared" si="1"/>
        <v>5.5575000000000001</v>
      </c>
      <c r="H12" s="19">
        <f t="shared" si="2"/>
        <v>4.3874999999999997E-2</v>
      </c>
      <c r="I12" s="19">
        <f t="shared" si="3"/>
        <v>1.711125</v>
      </c>
      <c r="J12" s="19">
        <f t="shared" si="4"/>
        <v>1.3162500000000001</v>
      </c>
    </row>
    <row r="13" spans="1:10" x14ac:dyDescent="0.25">
      <c r="A13" s="16" t="s">
        <v>25</v>
      </c>
      <c r="B13" s="17">
        <v>0.15</v>
      </c>
      <c r="C13" s="17">
        <v>0.4</v>
      </c>
      <c r="D13" s="18">
        <f>B13*C13</f>
        <v>0.06</v>
      </c>
      <c r="E13" s="17">
        <v>4.93</v>
      </c>
      <c r="F13" s="19">
        <f>E13*D13</f>
        <v>0.29579999999999995</v>
      </c>
      <c r="G13" s="19">
        <f t="shared" si="1"/>
        <v>4.6835000000000004</v>
      </c>
      <c r="H13" s="19">
        <f t="shared" si="2"/>
        <v>3.6975000000000001E-2</v>
      </c>
      <c r="I13" s="19">
        <f t="shared" si="3"/>
        <v>1.4420250000000001</v>
      </c>
      <c r="J13" s="19">
        <f t="shared" si="4"/>
        <v>1.1092500000000003</v>
      </c>
    </row>
    <row r="14" spans="1:10" x14ac:dyDescent="0.25">
      <c r="A14" s="16" t="s">
        <v>26</v>
      </c>
      <c r="B14" s="17">
        <v>0.15</v>
      </c>
      <c r="C14" s="17">
        <v>0.4</v>
      </c>
      <c r="D14" s="18">
        <f t="shared" ref="D14:D17" si="6">B14*C14</f>
        <v>0.06</v>
      </c>
      <c r="E14" s="17">
        <v>4.93</v>
      </c>
      <c r="F14" s="19">
        <f t="shared" ref="F14:F17" si="7">E14*D14</f>
        <v>0.29579999999999995</v>
      </c>
      <c r="G14" s="19">
        <f t="shared" ref="G14:G17" si="8">(B14+C14+C14)*E14</f>
        <v>4.6835000000000004</v>
      </c>
      <c r="H14" s="19">
        <f t="shared" ref="H14:H17" si="9">(E14*B14*0.05)</f>
        <v>3.6975000000000001E-2</v>
      </c>
      <c r="I14" s="19">
        <f t="shared" si="3"/>
        <v>1.4420250000000001</v>
      </c>
      <c r="J14" s="19">
        <f t="shared" ref="J14:J17" si="10">I14-F14-H14</f>
        <v>1.1092500000000003</v>
      </c>
    </row>
    <row r="15" spans="1:10" x14ac:dyDescent="0.25">
      <c r="A15" s="16" t="s">
        <v>48</v>
      </c>
      <c r="B15" s="17">
        <v>0.15</v>
      </c>
      <c r="C15" s="17">
        <v>0.4</v>
      </c>
      <c r="D15" s="18">
        <f t="shared" si="6"/>
        <v>0.06</v>
      </c>
      <c r="E15" s="17">
        <v>4.42</v>
      </c>
      <c r="F15" s="19">
        <f t="shared" si="7"/>
        <v>0.26519999999999999</v>
      </c>
      <c r="G15" s="19">
        <f t="shared" si="8"/>
        <v>4.1989999999999998</v>
      </c>
      <c r="H15" s="19">
        <f t="shared" si="9"/>
        <v>3.3149999999999999E-2</v>
      </c>
      <c r="I15" s="19">
        <f t="shared" si="3"/>
        <v>1.2928500000000001</v>
      </c>
      <c r="J15" s="19">
        <f t="shared" si="10"/>
        <v>0.99449999999999994</v>
      </c>
    </row>
    <row r="16" spans="1:10" x14ac:dyDescent="0.25">
      <c r="A16" s="16" t="s">
        <v>49</v>
      </c>
      <c r="B16" s="17">
        <v>0.15</v>
      </c>
      <c r="C16" s="17">
        <v>0.4</v>
      </c>
      <c r="D16" s="18">
        <f t="shared" si="6"/>
        <v>0.06</v>
      </c>
      <c r="E16" s="17">
        <v>31.58</v>
      </c>
      <c r="F16" s="19">
        <f t="shared" si="7"/>
        <v>1.8947999999999998</v>
      </c>
      <c r="G16" s="19">
        <f t="shared" si="8"/>
        <v>30.001000000000001</v>
      </c>
      <c r="H16" s="19">
        <f t="shared" si="9"/>
        <v>0.23684999999999998</v>
      </c>
      <c r="I16" s="19">
        <f t="shared" si="3"/>
        <v>9.2371500000000015</v>
      </c>
      <c r="J16" s="19">
        <f t="shared" si="10"/>
        <v>7.1055000000000019</v>
      </c>
    </row>
    <row r="17" spans="1:10" x14ac:dyDescent="0.25">
      <c r="A17" s="16" t="s">
        <v>111</v>
      </c>
      <c r="B17" s="17">
        <v>0.15</v>
      </c>
      <c r="C17" s="17">
        <v>0.4</v>
      </c>
      <c r="D17" s="18">
        <f t="shared" si="6"/>
        <v>0.06</v>
      </c>
      <c r="E17" s="17">
        <v>31.58</v>
      </c>
      <c r="F17" s="19">
        <f t="shared" si="7"/>
        <v>1.8947999999999998</v>
      </c>
      <c r="G17" s="19">
        <f t="shared" si="8"/>
        <v>30.001000000000001</v>
      </c>
      <c r="H17" s="19">
        <f t="shared" si="9"/>
        <v>0.23684999999999998</v>
      </c>
      <c r="I17" s="19">
        <f t="shared" si="3"/>
        <v>9.2371500000000015</v>
      </c>
      <c r="J17" s="19">
        <f t="shared" si="10"/>
        <v>7.1055000000000019</v>
      </c>
    </row>
    <row r="18" spans="1:10" x14ac:dyDescent="0.25">
      <c r="A18" s="16"/>
      <c r="B18" s="16"/>
      <c r="C18" s="16"/>
      <c r="D18" s="16"/>
      <c r="E18" s="20" t="s">
        <v>27</v>
      </c>
      <c r="F18" s="21">
        <f>SUM(F3:F17)</f>
        <v>8.1563999999999997</v>
      </c>
      <c r="G18" s="21">
        <f>SUM(G3:G17)</f>
        <v>129.143</v>
      </c>
      <c r="H18" s="21">
        <f>SUM(H3:H17)</f>
        <v>1.01955</v>
      </c>
      <c r="I18" s="21">
        <f>SUM(I3:I17)</f>
        <v>39.762450000000001</v>
      </c>
      <c r="J18" s="21">
        <f>SUM(J3:J17)</f>
        <v>30.586500000000004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workbookViewId="0">
      <selection activeCell="F14" sqref="F14"/>
    </sheetView>
  </sheetViews>
  <sheetFormatPr defaultRowHeight="15" x14ac:dyDescent="0.25"/>
  <cols>
    <col min="1" max="1" width="11.28515625" customWidth="1"/>
    <col min="2" max="2" width="11.5703125" customWidth="1"/>
    <col min="3" max="3" width="16.140625" customWidth="1"/>
    <col min="4" max="4" width="13.28515625" customWidth="1"/>
    <col min="5" max="5" width="13.42578125" customWidth="1"/>
  </cols>
  <sheetData>
    <row r="1" spans="1:5" x14ac:dyDescent="0.25">
      <c r="A1" s="37" t="s">
        <v>35</v>
      </c>
      <c r="B1" s="37" t="s">
        <v>9</v>
      </c>
      <c r="C1" s="37" t="s">
        <v>0</v>
      </c>
      <c r="D1" s="37" t="s">
        <v>1</v>
      </c>
      <c r="E1" s="37"/>
    </row>
    <row r="2" spans="1:5" x14ac:dyDescent="0.25">
      <c r="A2" s="37"/>
      <c r="B2" s="37"/>
      <c r="C2" s="37"/>
      <c r="D2" s="28" t="s">
        <v>8</v>
      </c>
      <c r="E2" s="28" t="s">
        <v>5</v>
      </c>
    </row>
    <row r="3" spans="1:5" x14ac:dyDescent="0.25">
      <c r="A3" s="29" t="s">
        <v>134</v>
      </c>
      <c r="B3" s="16">
        <v>10</v>
      </c>
      <c r="C3" s="16">
        <f>220/10</f>
        <v>22</v>
      </c>
      <c r="D3" s="16">
        <f>10+103+448+22</f>
        <v>583</v>
      </c>
      <c r="E3" s="19">
        <f>(C3*D3)*0.01</f>
        <v>128.26</v>
      </c>
    </row>
    <row r="4" spans="1:5" x14ac:dyDescent="0.25">
      <c r="A4" s="29" t="s">
        <v>135</v>
      </c>
      <c r="B4" s="16">
        <v>10</v>
      </c>
      <c r="C4" s="16">
        <v>17</v>
      </c>
      <c r="D4" s="16">
        <f>243+40+4+20</f>
        <v>307</v>
      </c>
      <c r="E4" s="19">
        <f>(C4*D4)*0.01</f>
        <v>52.19</v>
      </c>
    </row>
    <row r="5" spans="1:5" x14ac:dyDescent="0.25">
      <c r="A5" s="29" t="s">
        <v>136</v>
      </c>
      <c r="B5" s="16">
        <v>8</v>
      </c>
      <c r="C5" s="30">
        <f>(4.2+2.32)/0.14</f>
        <v>46.571428571428562</v>
      </c>
      <c r="D5" s="16">
        <f>220+12+12</f>
        <v>244</v>
      </c>
      <c r="E5" s="19">
        <f t="shared" ref="E5" si="0">(C5*D5)*0.01</f>
        <v>113.6342857142857</v>
      </c>
    </row>
    <row r="6" spans="1:5" x14ac:dyDescent="0.25">
      <c r="A6" s="29" t="s">
        <v>137</v>
      </c>
      <c r="B6" s="16">
        <v>10</v>
      </c>
      <c r="C6" s="16">
        <v>9</v>
      </c>
      <c r="D6" s="16">
        <f>10+245+346+10</f>
        <v>611</v>
      </c>
      <c r="E6" s="19">
        <f t="shared" ref="E6" si="1">(C6*D6)*0.01</f>
        <v>54.99</v>
      </c>
    </row>
    <row r="7" spans="1:5" x14ac:dyDescent="0.25">
      <c r="A7" s="29" t="s">
        <v>143</v>
      </c>
      <c r="B7" s="16">
        <v>10</v>
      </c>
      <c r="C7" s="16">
        <v>9</v>
      </c>
      <c r="D7" s="16">
        <f>40+4+180+80</f>
        <v>304</v>
      </c>
      <c r="E7" s="19">
        <f t="shared" ref="E7:E10" si="2">(C7*D7)*0.01</f>
        <v>27.36</v>
      </c>
    </row>
    <row r="8" spans="1:5" x14ac:dyDescent="0.25">
      <c r="A8" s="29" t="s">
        <v>144</v>
      </c>
      <c r="B8" s="16">
        <v>10</v>
      </c>
      <c r="C8" s="16">
        <v>18</v>
      </c>
      <c r="D8" s="16">
        <f>10+162+48+4</f>
        <v>224</v>
      </c>
      <c r="E8" s="19">
        <f t="shared" si="2"/>
        <v>40.32</v>
      </c>
    </row>
    <row r="9" spans="1:5" x14ac:dyDescent="0.25">
      <c r="A9" s="29" t="s">
        <v>145</v>
      </c>
      <c r="B9" s="16">
        <v>8</v>
      </c>
      <c r="C9" s="16">
        <v>9</v>
      </c>
      <c r="D9" s="16">
        <v>244</v>
      </c>
      <c r="E9" s="19">
        <f t="shared" si="2"/>
        <v>21.96</v>
      </c>
    </row>
    <row r="10" spans="1:5" x14ac:dyDescent="0.25">
      <c r="A10" s="29" t="s">
        <v>146</v>
      </c>
      <c r="B10" s="16">
        <v>10</v>
      </c>
      <c r="C10" s="16">
        <f>220/10</f>
        <v>22</v>
      </c>
      <c r="D10" s="16">
        <f>140+25+10</f>
        <v>175</v>
      </c>
      <c r="E10" s="19">
        <f t="shared" si="2"/>
        <v>38.5</v>
      </c>
    </row>
    <row r="11" spans="1:5" x14ac:dyDescent="0.25">
      <c r="A11" s="52"/>
      <c r="B11" s="52"/>
      <c r="C11" s="52"/>
      <c r="D11" s="52"/>
      <c r="E11" s="52"/>
    </row>
    <row r="12" spans="1:5" x14ac:dyDescent="0.25">
      <c r="A12" s="42" t="s">
        <v>2</v>
      </c>
      <c r="B12" s="43"/>
      <c r="C12" s="43"/>
      <c r="D12" s="43"/>
      <c r="E12" s="44"/>
    </row>
    <row r="13" spans="1:5" ht="25.5" x14ac:dyDescent="0.25">
      <c r="A13" s="28" t="s">
        <v>3</v>
      </c>
      <c r="B13" s="28" t="s">
        <v>9</v>
      </c>
      <c r="C13" s="28" t="s">
        <v>5</v>
      </c>
      <c r="D13" s="28" t="s">
        <v>6</v>
      </c>
      <c r="E13" s="28" t="s">
        <v>7</v>
      </c>
    </row>
    <row r="14" spans="1:5" x14ac:dyDescent="0.25">
      <c r="A14" s="16" t="s">
        <v>4</v>
      </c>
      <c r="B14" s="16">
        <v>8</v>
      </c>
      <c r="C14" s="19">
        <f>((E5+E9)*1.1)</f>
        <v>149.15371428571427</v>
      </c>
      <c r="D14" s="30">
        <f>C14/12</f>
        <v>12.429476190476189</v>
      </c>
      <c r="E14" s="19">
        <f>C14*0.395</f>
        <v>58.91571714285714</v>
      </c>
    </row>
    <row r="15" spans="1:5" x14ac:dyDescent="0.25">
      <c r="A15" s="16" t="s">
        <v>4</v>
      </c>
      <c r="B15" s="16">
        <v>10</v>
      </c>
      <c r="C15" s="19">
        <f>((E3+E6+E4+E7+E8+E10)*1.1)</f>
        <v>375.78200000000004</v>
      </c>
      <c r="D15" s="30">
        <f>C15/12</f>
        <v>31.31516666666667</v>
      </c>
      <c r="E15" s="19">
        <f>C15*0.617</f>
        <v>231.85749400000003</v>
      </c>
    </row>
    <row r="16" spans="1:5" x14ac:dyDescent="0.25">
      <c r="A16" s="49" t="s">
        <v>10</v>
      </c>
      <c r="B16" s="50"/>
      <c r="C16" s="50"/>
      <c r="D16" s="51"/>
      <c r="E16" s="19">
        <f>SUM(E14:E15)</f>
        <v>290.77321114285718</v>
      </c>
    </row>
  </sheetData>
  <mergeCells count="7">
    <mergeCell ref="A16:D16"/>
    <mergeCell ref="A1:A2"/>
    <mergeCell ref="B1:B2"/>
    <mergeCell ref="C1:C2"/>
    <mergeCell ref="D1:E1"/>
    <mergeCell ref="A11:E11"/>
    <mergeCell ref="A12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workbookViewId="0">
      <selection activeCell="F15" sqref="F15"/>
    </sheetView>
  </sheetViews>
  <sheetFormatPr defaultRowHeight="15" x14ac:dyDescent="0.25"/>
  <cols>
    <col min="1" max="1" width="11.5703125" customWidth="1"/>
    <col min="2" max="2" width="16.28515625" customWidth="1"/>
    <col min="3" max="3" width="17" customWidth="1"/>
    <col min="4" max="4" width="14.28515625" customWidth="1"/>
  </cols>
  <sheetData>
    <row r="1" spans="1:6" x14ac:dyDescent="0.25">
      <c r="A1" s="32" t="s">
        <v>138</v>
      </c>
      <c r="B1" s="32"/>
      <c r="C1" s="32"/>
      <c r="D1" s="32"/>
    </row>
    <row r="2" spans="1:6" ht="25.5" x14ac:dyDescent="0.25">
      <c r="A2" s="27" t="s">
        <v>115</v>
      </c>
      <c r="B2" s="27" t="s">
        <v>28</v>
      </c>
      <c r="C2" s="28" t="s">
        <v>116</v>
      </c>
      <c r="D2" s="27" t="s">
        <v>117</v>
      </c>
    </row>
    <row r="3" spans="1:6" x14ac:dyDescent="0.25">
      <c r="A3" s="22" t="s">
        <v>118</v>
      </c>
      <c r="B3" s="9">
        <f>C12</f>
        <v>24.768000000000001</v>
      </c>
      <c r="C3" s="10">
        <f>(1.32+0.37)*2.25</f>
        <v>3.8024999999999998</v>
      </c>
      <c r="D3" s="9">
        <f>'Armação Escada 01'!E16</f>
        <v>290.77321114285718</v>
      </c>
    </row>
    <row r="4" spans="1:6" x14ac:dyDescent="0.25">
      <c r="A4" s="23" t="s">
        <v>27</v>
      </c>
      <c r="B4" s="10">
        <f>B3</f>
        <v>24.768000000000001</v>
      </c>
      <c r="C4" s="10">
        <f t="shared" ref="C4:D4" si="0">C3</f>
        <v>3.8024999999999998</v>
      </c>
      <c r="D4" s="10">
        <f t="shared" si="0"/>
        <v>290.77321114285718</v>
      </c>
    </row>
    <row r="5" spans="1:6" x14ac:dyDescent="0.25">
      <c r="F5">
        <f>D4/C4</f>
        <v>76.468957565511431</v>
      </c>
    </row>
    <row r="7" spans="1:6" x14ac:dyDescent="0.25">
      <c r="B7">
        <v>13</v>
      </c>
    </row>
    <row r="8" spans="1:6" x14ac:dyDescent="0.25">
      <c r="B8">
        <v>5</v>
      </c>
      <c r="C8">
        <f>(B7+B8)*0.18*2.2</f>
        <v>7.1280000000000001</v>
      </c>
    </row>
    <row r="9" spans="1:6" x14ac:dyDescent="0.25">
      <c r="B9">
        <f>4.2*2.25</f>
        <v>9.4500000000000011</v>
      </c>
    </row>
    <row r="10" spans="1:6" x14ac:dyDescent="0.25">
      <c r="B10">
        <f>2.31*2.25</f>
        <v>5.1974999999999998</v>
      </c>
    </row>
    <row r="11" spans="1:6" x14ac:dyDescent="0.25">
      <c r="B11">
        <f>1.33*2.25</f>
        <v>2.9925000000000002</v>
      </c>
    </row>
    <row r="12" spans="1:6" x14ac:dyDescent="0.25">
      <c r="C12">
        <f>B11+B10+B9+C8</f>
        <v>24.768000000000001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7" sqref="D17"/>
    </sheetView>
  </sheetViews>
  <sheetFormatPr defaultRowHeight="15" x14ac:dyDescent="0.25"/>
  <sheetData>
    <row r="1" spans="1:4" x14ac:dyDescent="0.25">
      <c r="A1">
        <v>75</v>
      </c>
    </row>
    <row r="4" spans="1:4" x14ac:dyDescent="0.25">
      <c r="B4" t="s">
        <v>119</v>
      </c>
      <c r="C4">
        <v>13.95</v>
      </c>
    </row>
    <row r="5" spans="1:4" x14ac:dyDescent="0.25">
      <c r="B5" t="s">
        <v>120</v>
      </c>
      <c r="C5">
        <v>13.48</v>
      </c>
    </row>
    <row r="6" spans="1:4" x14ac:dyDescent="0.25">
      <c r="B6" t="s">
        <v>121</v>
      </c>
      <c r="C6">
        <v>10.88</v>
      </c>
    </row>
    <row r="7" spans="1:4" x14ac:dyDescent="0.25">
      <c r="B7" t="s">
        <v>122</v>
      </c>
      <c r="C7">
        <v>15.49</v>
      </c>
    </row>
    <row r="8" spans="1:4" x14ac:dyDescent="0.25">
      <c r="B8" t="s">
        <v>123</v>
      </c>
      <c r="C8">
        <v>14.96</v>
      </c>
    </row>
    <row r="9" spans="1:4" x14ac:dyDescent="0.25">
      <c r="B9" t="s">
        <v>124</v>
      </c>
      <c r="C9">
        <v>15.32</v>
      </c>
    </row>
    <row r="10" spans="1:4" x14ac:dyDescent="0.25">
      <c r="B10" t="s">
        <v>125</v>
      </c>
      <c r="C10">
        <v>13.64</v>
      </c>
    </row>
    <row r="11" spans="1:4" x14ac:dyDescent="0.25">
      <c r="B11" t="s">
        <v>126</v>
      </c>
      <c r="C11">
        <v>13.64</v>
      </c>
    </row>
    <row r="12" spans="1:4" x14ac:dyDescent="0.25">
      <c r="B12" t="s">
        <v>127</v>
      </c>
      <c r="C12">
        <v>15.28</v>
      </c>
    </row>
    <row r="13" spans="1:4" x14ac:dyDescent="0.25">
      <c r="B13" t="s">
        <v>128</v>
      </c>
      <c r="C13">
        <v>15.5</v>
      </c>
    </row>
    <row r="14" spans="1:4" x14ac:dyDescent="0.25">
      <c r="B14" t="s">
        <v>129</v>
      </c>
      <c r="C14">
        <v>14.97</v>
      </c>
    </row>
    <row r="15" spans="1:4" x14ac:dyDescent="0.25">
      <c r="B15" t="s">
        <v>130</v>
      </c>
      <c r="C15">
        <v>10.88</v>
      </c>
    </row>
    <row r="16" spans="1:4" x14ac:dyDescent="0.25">
      <c r="C16">
        <f>SUM(C4:C15)</f>
        <v>167.99</v>
      </c>
      <c r="D16">
        <f>C16*0.045</f>
        <v>7.5595499999999998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Concreto piso</vt:lpstr>
      <vt:lpstr>Concreto Bloco</vt:lpstr>
      <vt:lpstr>Estaca</vt:lpstr>
      <vt:lpstr>Cintamento</vt:lpstr>
      <vt:lpstr>Armação Escada 01</vt:lpstr>
      <vt:lpstr>Concreto escada 01 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Catiele Silvério da Silva</dc:creator>
  <cp:lastModifiedBy>User</cp:lastModifiedBy>
  <cp:lastPrinted>2017-08-25T18:56:04Z</cp:lastPrinted>
  <dcterms:created xsi:type="dcterms:W3CDTF">2017-07-20T13:37:37Z</dcterms:created>
  <dcterms:modified xsi:type="dcterms:W3CDTF">2019-08-07T11:56:30Z</dcterms:modified>
</cp:coreProperties>
</file>