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refeitura BM\081 - Revisão Ginásio Ano Bom - CE Caixa\PDF Muro de Contenção\"/>
    </mc:Choice>
  </mc:AlternateContent>
  <bookViews>
    <workbookView xWindow="240" yWindow="60" windowWidth="20115" windowHeight="8010"/>
  </bookViews>
  <sheets>
    <sheet name="Revisão e detalhamento" sheetId="4" r:id="rId1"/>
    <sheet name="Muro armação" sheetId="5" r:id="rId2"/>
    <sheet name="Estaca" sheetId="3" r:id="rId3"/>
    <sheet name="Plan1" sheetId="1" r:id="rId4"/>
    <sheet name="Plan2" sheetId="6" r:id="rId5"/>
    <sheet name="Estaca armação" sheetId="2" r:id="rId6"/>
  </sheets>
  <calcPr calcId="152511"/>
</workbook>
</file>

<file path=xl/calcChain.xml><?xml version="1.0" encoding="utf-8"?>
<calcChain xmlns="http://schemas.openxmlformats.org/spreadsheetml/2006/main">
  <c r="G9" i="4" l="1"/>
  <c r="G17" i="4"/>
  <c r="D17" i="4"/>
  <c r="D9" i="4"/>
  <c r="C7" i="5"/>
  <c r="C6" i="5"/>
  <c r="C5" i="5"/>
  <c r="C4" i="5"/>
  <c r="D4" i="5"/>
  <c r="D3" i="5"/>
  <c r="C3" i="5"/>
  <c r="G16" i="4"/>
  <c r="G11" i="4"/>
  <c r="D16" i="4"/>
  <c r="G15" i="4"/>
  <c r="G14" i="4"/>
  <c r="G6" i="4" s="1"/>
  <c r="G10" i="4"/>
  <c r="G5" i="4"/>
  <c r="D19" i="4"/>
  <c r="F14" i="4"/>
  <c r="G7" i="4"/>
  <c r="G12" i="4"/>
  <c r="G8" i="4" l="1"/>
  <c r="K5" i="3" l="1"/>
  <c r="J5" i="3"/>
  <c r="F3" i="2" l="1"/>
  <c r="D14" i="4"/>
  <c r="C9" i="2"/>
  <c r="C8" i="2"/>
  <c r="D3" i="2"/>
  <c r="D5" i="5" l="1"/>
  <c r="E5" i="5" l="1"/>
  <c r="E6" i="5"/>
  <c r="E7" i="5"/>
  <c r="E8" i="5"/>
  <c r="E4" i="5"/>
  <c r="C12" i="5" l="1"/>
  <c r="C13" i="5"/>
  <c r="D13" i="5" s="1"/>
  <c r="E3" i="5"/>
  <c r="F4" i="2"/>
  <c r="C3" i="2"/>
  <c r="D8" i="2"/>
  <c r="L10" i="4"/>
  <c r="E14" i="4"/>
  <c r="D15" i="4"/>
  <c r="G10" i="1"/>
  <c r="G12" i="1"/>
  <c r="G9" i="1"/>
  <c r="G7" i="1"/>
  <c r="G8" i="1" s="1"/>
  <c r="C7" i="1"/>
  <c r="E12" i="5" l="1"/>
  <c r="E13" i="5"/>
  <c r="E14" i="5" s="1"/>
  <c r="G13" i="4" s="1"/>
  <c r="D12" i="5"/>
  <c r="D5" i="1"/>
  <c r="G5" i="1" s="1"/>
  <c r="I13" i="4" l="1"/>
  <c r="F13" i="1"/>
  <c r="E13" i="1"/>
  <c r="E9" i="2"/>
  <c r="C14" i="2" s="1"/>
  <c r="E8" i="2" l="1"/>
  <c r="C13" i="2" s="1"/>
  <c r="D13" i="2" s="1"/>
  <c r="E14" i="2"/>
  <c r="D14" i="2"/>
  <c r="E13" i="2" l="1"/>
  <c r="E15" i="2"/>
  <c r="E7" i="1" l="1"/>
  <c r="E4" i="2"/>
  <c r="D4" i="2"/>
  <c r="I12" i="2" l="1"/>
  <c r="D13" i="1" l="1"/>
  <c r="D14" i="1" l="1"/>
  <c r="G14" i="1" s="1"/>
  <c r="G13" i="1"/>
  <c r="D11" i="1" l="1"/>
  <c r="G11" i="1" s="1"/>
  <c r="G6" i="1" l="1"/>
  <c r="C15" i="1"/>
  <c r="G15" i="1" s="1"/>
</calcChain>
</file>

<file path=xl/sharedStrings.xml><?xml version="1.0" encoding="utf-8"?>
<sst xmlns="http://schemas.openxmlformats.org/spreadsheetml/2006/main" count="161" uniqueCount="86">
  <si>
    <t>Quantidade</t>
  </si>
  <si>
    <t>Unidade</t>
  </si>
  <si>
    <t>m³</t>
  </si>
  <si>
    <t>Escavação</t>
  </si>
  <si>
    <t>m²</t>
  </si>
  <si>
    <t>m</t>
  </si>
  <si>
    <t>Quantitativo Muro de Contenção</t>
  </si>
  <si>
    <t xml:space="preserve">Item </t>
  </si>
  <si>
    <t>Descrição</t>
  </si>
  <si>
    <t>Comprimento</t>
  </si>
  <si>
    <t>Largura</t>
  </si>
  <si>
    <t>Altura</t>
  </si>
  <si>
    <t>Total</t>
  </si>
  <si>
    <t xml:space="preserve">Reaterro </t>
  </si>
  <si>
    <t>Estaca trado Ø30cm fck = 30MPa</t>
  </si>
  <si>
    <t>Item</t>
  </si>
  <si>
    <t>D (m)</t>
  </si>
  <si>
    <t>Área da seção (m²)</t>
  </si>
  <si>
    <t>Total=</t>
  </si>
  <si>
    <t>N (Número da barra)</t>
  </si>
  <si>
    <t>Ø (mm)</t>
  </si>
  <si>
    <t>Unitário (cm)</t>
  </si>
  <si>
    <t>Total (m)</t>
  </si>
  <si>
    <t>6.3</t>
  </si>
  <si>
    <t>Quadro de Resumo (+10%)</t>
  </si>
  <si>
    <t>Aço</t>
  </si>
  <si>
    <t>Nº de Barras (12 m)</t>
  </si>
  <si>
    <t>Peso (kg)</t>
  </si>
  <si>
    <t>CA50</t>
  </si>
  <si>
    <t>Total:</t>
  </si>
  <si>
    <t>kg</t>
  </si>
  <si>
    <t>Forma - 12m²/m³</t>
  </si>
  <si>
    <t>(m)</t>
  </si>
  <si>
    <t>(m²)</t>
  </si>
  <si>
    <t>Armação do Muro</t>
  </si>
  <si>
    <t>Armação estaca/trado</t>
  </si>
  <si>
    <t>Concreto 30MPa</t>
  </si>
  <si>
    <t>Estaca/Trado - 3m de profun. Concreto 30MPa</t>
  </si>
  <si>
    <t>Camada drenante em brita 01 e 02</t>
  </si>
  <si>
    <t>Tubo drenante Ø100mm</t>
  </si>
  <si>
    <t>Barbacã Ø50mm</t>
  </si>
  <si>
    <t>Lastro de Concreto 15MPa (2,8+4,5+4,15+11,85+3+23,25+10+8,6)</t>
  </si>
  <si>
    <t xml:space="preserve">indice </t>
  </si>
  <si>
    <t>Escavação a trado comprimento ( 3 m)</t>
  </si>
  <si>
    <t xml:space="preserve">Lastro de Concreto 15MPa </t>
  </si>
  <si>
    <r>
      <t xml:space="preserve">N1 </t>
    </r>
    <r>
      <rPr>
        <sz val="8"/>
        <color theme="1"/>
        <rFont val="Arial"/>
        <family val="2"/>
      </rPr>
      <t>Muro</t>
    </r>
  </si>
  <si>
    <r>
      <t xml:space="preserve">N2 </t>
    </r>
    <r>
      <rPr>
        <sz val="8"/>
        <color theme="1"/>
        <rFont val="Arial"/>
        <family val="2"/>
      </rPr>
      <t>Muro</t>
    </r>
  </si>
  <si>
    <r>
      <t xml:space="preserve">N3 </t>
    </r>
    <r>
      <rPr>
        <sz val="8"/>
        <color theme="1"/>
        <rFont val="Arial"/>
        <family val="2"/>
      </rPr>
      <t>Muro</t>
    </r>
  </si>
  <si>
    <r>
      <t xml:space="preserve">N4 </t>
    </r>
    <r>
      <rPr>
        <sz val="8"/>
        <color theme="1"/>
        <rFont val="Arial"/>
        <family val="2"/>
      </rPr>
      <t>Muro</t>
    </r>
  </si>
  <si>
    <r>
      <t xml:space="preserve">N5 </t>
    </r>
    <r>
      <rPr>
        <sz val="8"/>
        <color theme="1"/>
        <rFont val="Arial"/>
        <family val="2"/>
      </rPr>
      <t>Muro</t>
    </r>
  </si>
  <si>
    <r>
      <t xml:space="preserve">N6 </t>
    </r>
    <r>
      <rPr>
        <sz val="8"/>
        <color theme="1"/>
        <rFont val="Arial"/>
        <family val="2"/>
      </rPr>
      <t>Muro</t>
    </r>
  </si>
  <si>
    <t>12.5</t>
  </si>
  <si>
    <t>Concreto 30MPa (+10%)</t>
  </si>
  <si>
    <t>escavação - concreto - lastro - camada drenante</t>
  </si>
  <si>
    <t xml:space="preserve">Escavação </t>
  </si>
  <si>
    <t>E1 a E27</t>
  </si>
  <si>
    <t>Forma (+10%)</t>
  </si>
  <si>
    <t>Armação do Muro (+10%)</t>
  </si>
  <si>
    <t>Concreto (m³)  (+10%)</t>
  </si>
  <si>
    <r>
      <t xml:space="preserve">N1 </t>
    </r>
    <r>
      <rPr>
        <sz val="8"/>
        <rFont val="Arial"/>
        <family val="2"/>
      </rPr>
      <t>Estaca</t>
    </r>
  </si>
  <si>
    <r>
      <t xml:space="preserve">N2 </t>
    </r>
    <r>
      <rPr>
        <sz val="8"/>
        <rFont val="Arial"/>
        <family val="2"/>
      </rPr>
      <t>Estaca</t>
    </r>
  </si>
  <si>
    <t xml:space="preserve">Estaca em Concreto Armado Pré-Moldada Ø30cm - 600KN a cada 3 metros do muro, comprimento variado de aprox. 8 metros </t>
  </si>
  <si>
    <t>TABELA DE ESTACAS</t>
  </si>
  <si>
    <t>Estacas</t>
  </si>
  <si>
    <t>Tipo</t>
  </si>
  <si>
    <t>Cargas Atuantes</t>
  </si>
  <si>
    <t>Cota de Arrasamento + (m)</t>
  </si>
  <si>
    <t>Comprimento médio por estaca  (m)</t>
  </si>
  <si>
    <t>Comprimento total (m)</t>
  </si>
  <si>
    <t>Emendas metálicas (unidade)</t>
  </si>
  <si>
    <t>Compressão Máxima (kN)</t>
  </si>
  <si>
    <t xml:space="preserve">Serviço </t>
  </si>
  <si>
    <t xml:space="preserve">Atrito Negativo </t>
  </si>
  <si>
    <t>Estaca Pré-Moldada em Concreto Armado</t>
  </si>
  <si>
    <t>(+1.15)</t>
  </si>
  <si>
    <t>Emenda metálica - Estaqueamento</t>
  </si>
  <si>
    <t>Demolição  arrasamento de estaca Ø30 - 20cm</t>
  </si>
  <si>
    <t>und.</t>
  </si>
  <si>
    <t>39,75+11,57+5,30</t>
  </si>
  <si>
    <t>perímetro (1,4+0,3+1,3+0,27+0,2)</t>
  </si>
  <si>
    <t>Tabela do aço</t>
  </si>
  <si>
    <t>Pintura impermeabilizante</t>
  </si>
  <si>
    <t>perímetro (1,3+0,27+0,7)</t>
  </si>
  <si>
    <t>E1 a E19</t>
  </si>
  <si>
    <t>Geocomposto drenante - 16mm</t>
  </si>
  <si>
    <t>perímetro (1,3+0,27+0,4+0,2)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</si>
</sst>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0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2" fontId="3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0" borderId="7" xfId="1" applyNumberFormat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164" fontId="2" fillId="0" borderId="5" xfId="1" applyNumberFormat="1" applyFont="1" applyFill="1" applyBorder="1" applyAlignment="1">
      <alignment horizontal="center" vertical="center" wrapText="1"/>
    </xf>
    <xf numFmtId="164" fontId="2" fillId="0" borderId="6" xfId="1" applyNumberFormat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2" fontId="3" fillId="0" borderId="5" xfId="1" applyNumberFormat="1" applyFont="1" applyFill="1" applyBorder="1" applyAlignment="1">
      <alignment horizontal="center" vertical="center" wrapText="1"/>
    </xf>
    <xf numFmtId="2" fontId="3" fillId="0" borderId="4" xfId="1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164" fontId="3" fillId="0" borderId="1" xfId="1" applyNumberFormat="1" applyFont="1" applyFill="1" applyBorder="1" applyAlignment="1">
      <alignment vertical="center" wrapText="1"/>
    </xf>
    <xf numFmtId="2" fontId="3" fillId="0" borderId="7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1"/>
  <sheetViews>
    <sheetView tabSelected="1" workbookViewId="0">
      <selection activeCell="E20" sqref="E20"/>
    </sheetView>
  </sheetViews>
  <sheetFormatPr defaultRowHeight="15" x14ac:dyDescent="0.25"/>
  <cols>
    <col min="1" max="1" width="6.140625" style="1" customWidth="1"/>
    <col min="2" max="2" width="42.5703125" style="1" customWidth="1"/>
    <col min="3" max="3" width="11.42578125" style="1" customWidth="1"/>
    <col min="4" max="5" width="17.85546875" style="1" customWidth="1"/>
    <col min="6" max="6" width="13.7109375" style="1" customWidth="1"/>
    <col min="7" max="7" width="11.140625" style="1" customWidth="1"/>
    <col min="8" max="16384" width="9.140625" style="1"/>
  </cols>
  <sheetData>
    <row r="1" spans="1:12" ht="16.5" customHeight="1" x14ac:dyDescent="0.25">
      <c r="A1" s="39" t="s">
        <v>6</v>
      </c>
      <c r="B1" s="39"/>
      <c r="C1" s="39"/>
      <c r="D1" s="39"/>
      <c r="E1" s="39"/>
      <c r="F1" s="39"/>
      <c r="G1" s="39"/>
      <c r="H1" s="39"/>
    </row>
    <row r="2" spans="1:12" ht="17.25" customHeight="1" x14ac:dyDescent="0.25">
      <c r="A2" s="39" t="s">
        <v>7</v>
      </c>
      <c r="B2" s="39" t="s">
        <v>8</v>
      </c>
      <c r="C2" s="5" t="s">
        <v>0</v>
      </c>
      <c r="D2" s="5" t="s">
        <v>9</v>
      </c>
      <c r="E2" s="5" t="s">
        <v>10</v>
      </c>
      <c r="F2" s="5" t="s">
        <v>11</v>
      </c>
      <c r="G2" s="39" t="s">
        <v>12</v>
      </c>
      <c r="H2" s="39" t="s">
        <v>1</v>
      </c>
    </row>
    <row r="3" spans="1:12" ht="6" hidden="1" customHeight="1" x14ac:dyDescent="0.25">
      <c r="A3" s="39"/>
      <c r="B3" s="39"/>
      <c r="C3" s="39" t="s">
        <v>32</v>
      </c>
      <c r="D3" s="39" t="s">
        <v>32</v>
      </c>
      <c r="E3" s="5" t="s">
        <v>32</v>
      </c>
      <c r="F3" s="5" t="s">
        <v>32</v>
      </c>
      <c r="G3" s="39"/>
      <c r="H3" s="39"/>
    </row>
    <row r="4" spans="1:12" ht="16.5" hidden="1" customHeight="1" x14ac:dyDescent="0.25">
      <c r="A4" s="39"/>
      <c r="B4" s="39"/>
      <c r="C4" s="39"/>
      <c r="D4" s="39"/>
      <c r="E4" s="39" t="s">
        <v>33</v>
      </c>
      <c r="F4" s="39"/>
      <c r="G4" s="39"/>
      <c r="H4" s="39"/>
    </row>
    <row r="5" spans="1:12" ht="18" customHeight="1" x14ac:dyDescent="0.25">
      <c r="A5" s="6">
        <v>1</v>
      </c>
      <c r="B5" s="31" t="s">
        <v>54</v>
      </c>
      <c r="C5" s="4">
        <v>1</v>
      </c>
      <c r="D5" s="35" t="s">
        <v>78</v>
      </c>
      <c r="E5" s="4">
        <v>1.4</v>
      </c>
      <c r="F5" s="4">
        <v>1.75</v>
      </c>
      <c r="G5" s="4">
        <f>56.62*E5*F5</f>
        <v>138.71899999999997</v>
      </c>
      <c r="H5" s="4" t="s">
        <v>2</v>
      </c>
    </row>
    <row r="6" spans="1:12" ht="17.25" customHeight="1" x14ac:dyDescent="0.25">
      <c r="A6" s="6">
        <v>2</v>
      </c>
      <c r="B6" s="31" t="s">
        <v>13</v>
      </c>
      <c r="C6" s="38" t="s">
        <v>53</v>
      </c>
      <c r="D6" s="38"/>
      <c r="E6" s="38"/>
      <c r="F6" s="38"/>
      <c r="G6" s="4">
        <f>G5-G10-G12-G14</f>
        <v>89.25010599999996</v>
      </c>
      <c r="H6" s="4" t="s">
        <v>2</v>
      </c>
    </row>
    <row r="7" spans="1:12" ht="38.25" x14ac:dyDescent="0.25">
      <c r="A7" s="6">
        <v>3</v>
      </c>
      <c r="B7" s="31" t="s">
        <v>61</v>
      </c>
      <c r="C7" s="35">
        <v>19</v>
      </c>
      <c r="D7" s="4">
        <v>8</v>
      </c>
      <c r="E7" s="69"/>
      <c r="F7" s="69"/>
      <c r="G7" s="4">
        <f>D7*C7</f>
        <v>152</v>
      </c>
      <c r="H7" s="4" t="s">
        <v>5</v>
      </c>
    </row>
    <row r="8" spans="1:12" ht="18" customHeight="1" x14ac:dyDescent="0.25">
      <c r="A8" s="6">
        <v>4</v>
      </c>
      <c r="B8" s="31" t="s">
        <v>75</v>
      </c>
      <c r="C8" s="35">
        <v>19</v>
      </c>
      <c r="D8" s="30"/>
      <c r="E8" s="30"/>
      <c r="F8" s="30"/>
      <c r="G8" s="4">
        <f>C8</f>
        <v>19</v>
      </c>
      <c r="H8" s="4" t="s">
        <v>77</v>
      </c>
    </row>
    <row r="9" spans="1:12" ht="18" customHeight="1" x14ac:dyDescent="0.25">
      <c r="A9" s="6">
        <v>5</v>
      </c>
      <c r="B9" s="31" t="s">
        <v>76</v>
      </c>
      <c r="C9" s="70">
        <v>19</v>
      </c>
      <c r="D9" s="36">
        <f>(0.2*((0.15*0.15)*3.14))</f>
        <v>1.4130000000000002E-2</v>
      </c>
      <c r="E9" s="4"/>
      <c r="F9" s="4"/>
      <c r="G9" s="4">
        <f>D9*C9</f>
        <v>0.26847000000000004</v>
      </c>
      <c r="H9" s="30" t="s">
        <v>2</v>
      </c>
    </row>
    <row r="10" spans="1:12" x14ac:dyDescent="0.25">
      <c r="A10" s="6">
        <v>6</v>
      </c>
      <c r="B10" s="31" t="s">
        <v>44</v>
      </c>
      <c r="C10" s="30">
        <v>1</v>
      </c>
      <c r="D10" s="35" t="s">
        <v>78</v>
      </c>
      <c r="E10" s="4">
        <v>1.1000000000000001</v>
      </c>
      <c r="F10" s="4">
        <v>0.05</v>
      </c>
      <c r="G10" s="4">
        <f>(39.75+11.57+5.3)*E10*F10</f>
        <v>3.1141000000000005</v>
      </c>
      <c r="H10" s="4" t="s">
        <v>2</v>
      </c>
      <c r="L10" s="1">
        <f>2250+2250+2250</f>
        <v>6750</v>
      </c>
    </row>
    <row r="11" spans="1:12" x14ac:dyDescent="0.25">
      <c r="A11" s="6">
        <v>7</v>
      </c>
      <c r="B11" s="31" t="s">
        <v>56</v>
      </c>
      <c r="C11" s="4">
        <v>1</v>
      </c>
      <c r="D11" s="35" t="s">
        <v>78</v>
      </c>
      <c r="E11" s="38" t="s">
        <v>79</v>
      </c>
      <c r="F11" s="38"/>
      <c r="G11" s="4">
        <f>56.62*(1.4+0.3+1.3+0.27+0.2)</f>
        <v>196.47139999999999</v>
      </c>
      <c r="H11" s="4" t="s">
        <v>4</v>
      </c>
      <c r="J11" s="1" t="s">
        <v>42</v>
      </c>
    </row>
    <row r="12" spans="1:12" x14ac:dyDescent="0.25">
      <c r="A12" s="6">
        <v>8</v>
      </c>
      <c r="B12" s="31" t="s">
        <v>52</v>
      </c>
      <c r="C12" s="4">
        <v>1</v>
      </c>
      <c r="D12" s="4" t="s">
        <v>78</v>
      </c>
      <c r="E12" s="37">
        <v>0.53869999999999996</v>
      </c>
      <c r="F12" s="37"/>
      <c r="G12" s="4">
        <f>(39.75+11.57+5.3)*E12</f>
        <v>30.501193999999995</v>
      </c>
      <c r="H12" s="4" t="s">
        <v>2</v>
      </c>
      <c r="I12" s="1" t="s">
        <v>42</v>
      </c>
    </row>
    <row r="13" spans="1:12" ht="16.5" customHeight="1" x14ac:dyDescent="0.25">
      <c r="A13" s="6">
        <v>9</v>
      </c>
      <c r="B13" s="31" t="s">
        <v>57</v>
      </c>
      <c r="C13" s="38" t="s">
        <v>80</v>
      </c>
      <c r="D13" s="38"/>
      <c r="E13" s="38"/>
      <c r="F13" s="38"/>
      <c r="G13" s="4">
        <f>'Muro armação'!E14</f>
        <v>2823.088393033333</v>
      </c>
      <c r="H13" s="4" t="s">
        <v>30</v>
      </c>
      <c r="I13" s="1">
        <f>G13/G12</f>
        <v>92.556651816100498</v>
      </c>
    </row>
    <row r="14" spans="1:12" x14ac:dyDescent="0.25">
      <c r="A14" s="6">
        <v>10</v>
      </c>
      <c r="B14" s="31" t="s">
        <v>38</v>
      </c>
      <c r="C14" s="4">
        <v>1</v>
      </c>
      <c r="D14" s="4" t="str">
        <f>D5</f>
        <v>39,75+11,57+5,30</v>
      </c>
      <c r="E14" s="4">
        <f>0.2</f>
        <v>0.2</v>
      </c>
      <c r="F14" s="4">
        <f>1.4</f>
        <v>1.4</v>
      </c>
      <c r="G14" s="4">
        <f>E14*F14*56.62</f>
        <v>15.853599999999998</v>
      </c>
      <c r="H14" s="4" t="s">
        <v>2</v>
      </c>
    </row>
    <row r="15" spans="1:12" x14ac:dyDescent="0.25">
      <c r="A15" s="6">
        <v>11</v>
      </c>
      <c r="B15" s="31" t="s">
        <v>39</v>
      </c>
      <c r="C15" s="4">
        <v>1</v>
      </c>
      <c r="D15" s="4" t="str">
        <f>D14</f>
        <v>39,75+11,57+5,30</v>
      </c>
      <c r="E15" s="4"/>
      <c r="F15" s="4"/>
      <c r="G15" s="4">
        <f>56.62</f>
        <v>56.62</v>
      </c>
      <c r="H15" s="4" t="s">
        <v>5</v>
      </c>
    </row>
    <row r="16" spans="1:12" x14ac:dyDescent="0.25">
      <c r="A16" s="6">
        <v>12</v>
      </c>
      <c r="B16" s="36" t="s">
        <v>81</v>
      </c>
      <c r="C16" s="35">
        <v>1</v>
      </c>
      <c r="D16" s="35" t="str">
        <f>D15</f>
        <v>39,75+11,57+5,30</v>
      </c>
      <c r="E16" s="38" t="s">
        <v>82</v>
      </c>
      <c r="F16" s="38"/>
      <c r="G16" s="35">
        <f>56.62*(1.3+0.27+0.7)</f>
        <v>128.5274</v>
      </c>
      <c r="H16" s="35" t="s">
        <v>4</v>
      </c>
    </row>
    <row r="17" spans="1:8" x14ac:dyDescent="0.25">
      <c r="A17" s="6">
        <v>13</v>
      </c>
      <c r="B17" s="36" t="s">
        <v>84</v>
      </c>
      <c r="C17" s="35">
        <v>1</v>
      </c>
      <c r="D17" s="35" t="str">
        <f>D16</f>
        <v>39,75+11,57+5,30</v>
      </c>
      <c r="E17" s="38" t="s">
        <v>85</v>
      </c>
      <c r="F17" s="38"/>
      <c r="G17" s="35">
        <f>56.62*(1.3+0.27+0.4+0.2)</f>
        <v>122.86540000000002</v>
      </c>
      <c r="H17" s="35" t="s">
        <v>4</v>
      </c>
    </row>
    <row r="19" spans="1:8" x14ac:dyDescent="0.25">
      <c r="D19" s="32">
        <f>39.75+11.57+5.3</f>
        <v>56.62</v>
      </c>
      <c r="E19" s="33"/>
      <c r="F19" s="34"/>
    </row>
    <row r="20" spans="1:8" x14ac:dyDescent="0.25">
      <c r="E20" s="33"/>
      <c r="F20" s="34"/>
    </row>
    <row r="21" spans="1:8" x14ac:dyDescent="0.25">
      <c r="F21" s="34"/>
    </row>
  </sheetData>
  <mergeCells count="14">
    <mergeCell ref="E16:F16"/>
    <mergeCell ref="E17:F17"/>
    <mergeCell ref="A1:H1"/>
    <mergeCell ref="A2:A4"/>
    <mergeCell ref="B2:B4"/>
    <mergeCell ref="G2:G4"/>
    <mergeCell ref="H2:H4"/>
    <mergeCell ref="C3:C4"/>
    <mergeCell ref="D3:D4"/>
    <mergeCell ref="E4:F4"/>
    <mergeCell ref="E12:F12"/>
    <mergeCell ref="C13:F13"/>
    <mergeCell ref="E11:F11"/>
    <mergeCell ref="C6:F6"/>
  </mergeCells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7"/>
  <sheetViews>
    <sheetView workbookViewId="0">
      <selection activeCell="D20" sqref="D20"/>
    </sheetView>
  </sheetViews>
  <sheetFormatPr defaultRowHeight="15" x14ac:dyDescent="0.25"/>
  <cols>
    <col min="1" max="1" width="15.28515625" style="1" customWidth="1"/>
    <col min="2" max="2" width="10.28515625" style="1" customWidth="1"/>
    <col min="3" max="3" width="12.5703125" style="1" customWidth="1"/>
    <col min="4" max="4" width="18.140625" style="1" customWidth="1"/>
    <col min="5" max="5" width="15.140625" style="1" customWidth="1"/>
    <col min="6" max="6" width="13.5703125" style="1" customWidth="1"/>
    <col min="7" max="16384" width="9.140625" style="1"/>
  </cols>
  <sheetData>
    <row r="1" spans="1:7" x14ac:dyDescent="0.25">
      <c r="A1" s="47" t="s">
        <v>19</v>
      </c>
      <c r="B1" s="47" t="s">
        <v>20</v>
      </c>
      <c r="C1" s="47" t="s">
        <v>0</v>
      </c>
      <c r="D1" s="47" t="s">
        <v>9</v>
      </c>
      <c r="E1" s="47"/>
    </row>
    <row r="2" spans="1:7" x14ac:dyDescent="0.25">
      <c r="A2" s="47"/>
      <c r="B2" s="47"/>
      <c r="C2" s="47"/>
      <c r="D2" s="17" t="s">
        <v>21</v>
      </c>
      <c r="E2" s="17" t="s">
        <v>22</v>
      </c>
    </row>
    <row r="3" spans="1:7" x14ac:dyDescent="0.25">
      <c r="A3" s="18" t="s">
        <v>45</v>
      </c>
      <c r="B3" s="18" t="s">
        <v>23</v>
      </c>
      <c r="C3" s="19">
        <f>56.62/0.12</f>
        <v>471.83333333333331</v>
      </c>
      <c r="D3" s="18">
        <f>14+164+103+14</f>
        <v>295</v>
      </c>
      <c r="E3" s="20">
        <f t="shared" ref="E3:E8" si="0">(C3*D3)*0.01</f>
        <v>1391.9083333333331</v>
      </c>
    </row>
    <row r="4" spans="1:7" x14ac:dyDescent="0.25">
      <c r="A4" s="18" t="s">
        <v>46</v>
      </c>
      <c r="B4" s="18" t="s">
        <v>51</v>
      </c>
      <c r="C4" s="19">
        <f>56.62/0.15</f>
        <v>377.46666666666664</v>
      </c>
      <c r="D4" s="19">
        <f>14+164+103+14+14+14</f>
        <v>323</v>
      </c>
      <c r="E4" s="20">
        <f t="shared" si="0"/>
        <v>1219.2173333333333</v>
      </c>
      <c r="F4" s="11">
        <v>5</v>
      </c>
      <c r="G4" s="11">
        <v>0.154</v>
      </c>
    </row>
    <row r="5" spans="1:7" x14ac:dyDescent="0.25">
      <c r="A5" s="18" t="s">
        <v>47</v>
      </c>
      <c r="B5" s="18" t="s">
        <v>51</v>
      </c>
      <c r="C5" s="19">
        <f>56.62/0.15</f>
        <v>377.46666666666664</v>
      </c>
      <c r="D5" s="19">
        <f>30+70+30</f>
        <v>130</v>
      </c>
      <c r="E5" s="20">
        <f t="shared" si="0"/>
        <v>490.70666666666665</v>
      </c>
      <c r="F5" s="11">
        <v>6.3</v>
      </c>
      <c r="G5" s="11">
        <v>0.245</v>
      </c>
    </row>
    <row r="6" spans="1:7" x14ac:dyDescent="0.25">
      <c r="A6" s="18" t="s">
        <v>48</v>
      </c>
      <c r="B6" s="18" t="s">
        <v>23</v>
      </c>
      <c r="C6" s="19">
        <f>(1.6/0.2)*2</f>
        <v>16</v>
      </c>
      <c r="D6" s="19">
        <v>5662</v>
      </c>
      <c r="E6" s="20">
        <f t="shared" si="0"/>
        <v>905.92000000000007</v>
      </c>
      <c r="F6" s="11">
        <v>8</v>
      </c>
      <c r="G6" s="11">
        <v>0.39500000000000002</v>
      </c>
    </row>
    <row r="7" spans="1:7" x14ac:dyDescent="0.25">
      <c r="A7" s="18" t="s">
        <v>49</v>
      </c>
      <c r="B7" s="18" t="s">
        <v>23</v>
      </c>
      <c r="C7" s="19">
        <f>(100/20)*2</f>
        <v>10</v>
      </c>
      <c r="D7" s="19">
        <v>5662</v>
      </c>
      <c r="E7" s="20">
        <f t="shared" si="0"/>
        <v>566.20000000000005</v>
      </c>
      <c r="F7" s="11">
        <v>10</v>
      </c>
      <c r="G7" s="11">
        <v>0.61699999999999999</v>
      </c>
    </row>
    <row r="8" spans="1:7" x14ac:dyDescent="0.25">
      <c r="A8" s="21" t="s">
        <v>50</v>
      </c>
      <c r="B8" s="18" t="s">
        <v>51</v>
      </c>
      <c r="C8" s="19">
        <v>4</v>
      </c>
      <c r="D8" s="19">
        <v>5662</v>
      </c>
      <c r="E8" s="20">
        <f t="shared" si="0"/>
        <v>226.48000000000002</v>
      </c>
      <c r="F8" s="11">
        <v>12</v>
      </c>
      <c r="G8" s="11">
        <v>0.96299999999999997</v>
      </c>
    </row>
    <row r="9" spans="1:7" x14ac:dyDescent="0.25">
      <c r="A9" s="40"/>
      <c r="B9" s="40"/>
      <c r="C9" s="40"/>
      <c r="D9" s="40"/>
      <c r="E9" s="40"/>
    </row>
    <row r="10" spans="1:7" x14ac:dyDescent="0.25">
      <c r="A10" s="41" t="s">
        <v>24</v>
      </c>
      <c r="B10" s="42"/>
      <c r="C10" s="42"/>
      <c r="D10" s="42"/>
      <c r="E10" s="43"/>
    </row>
    <row r="11" spans="1:7" ht="25.5" x14ac:dyDescent="0.25">
      <c r="A11" s="17" t="s">
        <v>25</v>
      </c>
      <c r="B11" s="17" t="s">
        <v>20</v>
      </c>
      <c r="C11" s="17" t="s">
        <v>22</v>
      </c>
      <c r="D11" s="17" t="s">
        <v>26</v>
      </c>
      <c r="E11" s="17" t="s">
        <v>27</v>
      </c>
    </row>
    <row r="12" spans="1:7" x14ac:dyDescent="0.25">
      <c r="A12" s="18" t="s">
        <v>28</v>
      </c>
      <c r="B12" s="18" t="s">
        <v>23</v>
      </c>
      <c r="C12" s="20">
        <f>(E3+E6+E7)*1.1</f>
        <v>3150.4311666666663</v>
      </c>
      <c r="D12" s="19">
        <f>C12/12</f>
        <v>262.53593055555552</v>
      </c>
      <c r="E12" s="20">
        <f>C12*0.245</f>
        <v>771.85563583333328</v>
      </c>
    </row>
    <row r="13" spans="1:7" x14ac:dyDescent="0.25">
      <c r="A13" s="18" t="s">
        <v>28</v>
      </c>
      <c r="B13" s="18" t="s">
        <v>51</v>
      </c>
      <c r="C13" s="20">
        <f>((E4+E5+E8)*1.1)</f>
        <v>2130.0444000000002</v>
      </c>
      <c r="D13" s="19">
        <f>C13/12</f>
        <v>177.50370000000001</v>
      </c>
      <c r="E13" s="20">
        <f>C13*0.963</f>
        <v>2051.2327571999999</v>
      </c>
    </row>
    <row r="14" spans="1:7" x14ac:dyDescent="0.25">
      <c r="A14" s="44" t="s">
        <v>29</v>
      </c>
      <c r="B14" s="45"/>
      <c r="C14" s="45"/>
      <c r="D14" s="46"/>
      <c r="E14" s="20">
        <f>SUM(E12:E13)</f>
        <v>2823.088393033333</v>
      </c>
    </row>
    <row r="17" spans="3:3" x14ac:dyDescent="0.25">
      <c r="C17" s="1">
        <v>56.62</v>
      </c>
    </row>
  </sheetData>
  <mergeCells count="7">
    <mergeCell ref="A9:E9"/>
    <mergeCell ref="A10:E10"/>
    <mergeCell ref="A14:D14"/>
    <mergeCell ref="A1:A2"/>
    <mergeCell ref="B1:B2"/>
    <mergeCell ref="C1:C2"/>
    <mergeCell ref="D1:E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"/>
  <sheetViews>
    <sheetView workbookViewId="0">
      <selection activeCell="G9" sqref="G9"/>
    </sheetView>
  </sheetViews>
  <sheetFormatPr defaultRowHeight="15" x14ac:dyDescent="0.25"/>
  <cols>
    <col min="2" max="2" width="20.28515625" customWidth="1"/>
    <col min="4" max="4" width="11.7109375" customWidth="1"/>
    <col min="8" max="8" width="14.7109375" hidden="1" customWidth="1"/>
    <col min="9" max="9" width="18.85546875" customWidth="1"/>
    <col min="10" max="10" width="13.140625" customWidth="1"/>
    <col min="11" max="11" width="14.5703125" customWidth="1"/>
  </cols>
  <sheetData>
    <row r="1" spans="1:11" x14ac:dyDescent="0.25">
      <c r="A1" s="48" t="s">
        <v>62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x14ac:dyDescent="0.25">
      <c r="A2" s="47" t="s">
        <v>63</v>
      </c>
      <c r="B2" s="47" t="s">
        <v>64</v>
      </c>
      <c r="C2" s="47" t="s">
        <v>20</v>
      </c>
      <c r="D2" s="47" t="s">
        <v>0</v>
      </c>
      <c r="E2" s="41" t="s">
        <v>65</v>
      </c>
      <c r="F2" s="42"/>
      <c r="G2" s="43"/>
      <c r="H2" s="47" t="s">
        <v>66</v>
      </c>
      <c r="I2" s="47" t="s">
        <v>67</v>
      </c>
      <c r="J2" s="47" t="s">
        <v>68</v>
      </c>
      <c r="K2" s="47" t="s">
        <v>69</v>
      </c>
    </row>
    <row r="3" spans="1:11" x14ac:dyDescent="0.25">
      <c r="A3" s="47"/>
      <c r="B3" s="47"/>
      <c r="C3" s="47"/>
      <c r="D3" s="47"/>
      <c r="E3" s="41" t="s">
        <v>70</v>
      </c>
      <c r="F3" s="42"/>
      <c r="G3" s="43"/>
      <c r="H3" s="47"/>
      <c r="I3" s="47"/>
      <c r="J3" s="47"/>
      <c r="K3" s="47"/>
    </row>
    <row r="4" spans="1:11" ht="25.5" x14ac:dyDescent="0.25">
      <c r="A4" s="47"/>
      <c r="B4" s="47"/>
      <c r="C4" s="47"/>
      <c r="D4" s="47"/>
      <c r="E4" s="17" t="s">
        <v>71</v>
      </c>
      <c r="F4" s="17" t="s">
        <v>72</v>
      </c>
      <c r="G4" s="17" t="s">
        <v>12</v>
      </c>
      <c r="H4" s="47"/>
      <c r="I4" s="47"/>
      <c r="J4" s="47"/>
      <c r="K4" s="47"/>
    </row>
    <row r="5" spans="1:11" ht="39" customHeight="1" x14ac:dyDescent="0.25">
      <c r="A5" s="26" t="s">
        <v>83</v>
      </c>
      <c r="B5" s="26" t="s">
        <v>73</v>
      </c>
      <c r="C5" s="27">
        <v>30</v>
      </c>
      <c r="D5" s="27">
        <v>19</v>
      </c>
      <c r="E5" s="27">
        <v>600</v>
      </c>
      <c r="F5" s="27"/>
      <c r="G5" s="27"/>
      <c r="H5" s="28" t="s">
        <v>74</v>
      </c>
      <c r="I5" s="28">
        <v>8</v>
      </c>
      <c r="J5" s="28">
        <f>D5*I5</f>
        <v>152</v>
      </c>
      <c r="K5" s="29">
        <f>D5</f>
        <v>19</v>
      </c>
    </row>
  </sheetData>
  <mergeCells count="11">
    <mergeCell ref="E3:G3"/>
    <mergeCell ref="A1:K1"/>
    <mergeCell ref="A2:A4"/>
    <mergeCell ref="B2:B4"/>
    <mergeCell ref="C2:C4"/>
    <mergeCell ref="D2:D4"/>
    <mergeCell ref="E2:G2"/>
    <mergeCell ref="H2:H4"/>
    <mergeCell ref="I2:I4"/>
    <mergeCell ref="J2:J4"/>
    <mergeCell ref="K2:K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D13" sqref="D13"/>
    </sheetView>
  </sheetViews>
  <sheetFormatPr defaultRowHeight="15" x14ac:dyDescent="0.25"/>
  <cols>
    <col min="1" max="1" width="6.140625" customWidth="1"/>
    <col min="2" max="2" width="36.5703125" customWidth="1"/>
    <col min="3" max="3" width="12.7109375" style="1" customWidth="1"/>
    <col min="4" max="4" width="14.140625" customWidth="1"/>
    <col min="5" max="5" width="13.85546875" customWidth="1"/>
    <col min="6" max="6" width="10.7109375" customWidth="1"/>
    <col min="7" max="7" width="11.140625" customWidth="1"/>
  </cols>
  <sheetData>
    <row r="1" spans="1:8" ht="16.5" customHeight="1" x14ac:dyDescent="0.25">
      <c r="A1" s="52" t="s">
        <v>6</v>
      </c>
      <c r="B1" s="53"/>
      <c r="C1" s="53"/>
      <c r="D1" s="53"/>
      <c r="E1" s="53"/>
      <c r="F1" s="53"/>
      <c r="G1" s="53"/>
      <c r="H1" s="54"/>
    </row>
    <row r="2" spans="1:8" ht="26.25" customHeight="1" x14ac:dyDescent="0.25">
      <c r="A2" s="49" t="s">
        <v>7</v>
      </c>
      <c r="B2" s="49" t="s">
        <v>8</v>
      </c>
      <c r="C2" s="5" t="s">
        <v>0</v>
      </c>
      <c r="D2" s="5" t="s">
        <v>9</v>
      </c>
      <c r="E2" s="5" t="s">
        <v>10</v>
      </c>
      <c r="F2" s="5" t="s">
        <v>11</v>
      </c>
      <c r="G2" s="49" t="s">
        <v>12</v>
      </c>
      <c r="H2" s="49" t="s">
        <v>1</v>
      </c>
    </row>
    <row r="3" spans="1:8" s="1" customFormat="1" ht="15.75" customHeight="1" x14ac:dyDescent="0.25">
      <c r="A3" s="50"/>
      <c r="B3" s="50"/>
      <c r="C3" s="49" t="s">
        <v>32</v>
      </c>
      <c r="D3" s="49" t="s">
        <v>32</v>
      </c>
      <c r="E3" s="5" t="s">
        <v>32</v>
      </c>
      <c r="F3" s="5" t="s">
        <v>32</v>
      </c>
      <c r="G3" s="50"/>
      <c r="H3" s="50"/>
    </row>
    <row r="4" spans="1:8" s="1" customFormat="1" ht="16.5" customHeight="1" x14ac:dyDescent="0.25">
      <c r="A4" s="51"/>
      <c r="B4" s="51"/>
      <c r="C4" s="51"/>
      <c r="D4" s="51"/>
      <c r="E4" s="52" t="s">
        <v>33</v>
      </c>
      <c r="F4" s="54"/>
      <c r="G4" s="51"/>
      <c r="H4" s="51"/>
    </row>
    <row r="5" spans="1:8" x14ac:dyDescent="0.25">
      <c r="A5" s="6">
        <v>1</v>
      </c>
      <c r="B5" s="3" t="s">
        <v>3</v>
      </c>
      <c r="C5" s="4">
        <v>1</v>
      </c>
      <c r="D5" s="4">
        <f>2.78+4.7+4.15+11.85+3+23.25+10+8.59</f>
        <v>68.320000000000007</v>
      </c>
      <c r="E5" s="4">
        <v>1.3</v>
      </c>
      <c r="F5" s="4">
        <v>1.65</v>
      </c>
      <c r="G5" s="4">
        <f>D5*E5*F5</f>
        <v>146.54640000000001</v>
      </c>
      <c r="H5" s="4" t="s">
        <v>2</v>
      </c>
    </row>
    <row r="6" spans="1:8" x14ac:dyDescent="0.25">
      <c r="A6" s="6">
        <v>2</v>
      </c>
      <c r="B6" s="3" t="s">
        <v>13</v>
      </c>
      <c r="C6" s="4"/>
      <c r="D6" s="4"/>
      <c r="E6" s="4"/>
      <c r="F6" s="4"/>
      <c r="G6" s="4">
        <f>G5-G9-G11-G13</f>
        <v>92.322949999999992</v>
      </c>
      <c r="H6" s="4" t="s">
        <v>2</v>
      </c>
    </row>
    <row r="7" spans="1:8" ht="25.5" x14ac:dyDescent="0.25">
      <c r="A7" s="6">
        <v>1</v>
      </c>
      <c r="B7" s="3" t="s">
        <v>37</v>
      </c>
      <c r="C7" s="8">
        <f>68.15/3</f>
        <v>22.716666666666669</v>
      </c>
      <c r="D7" s="4">
        <v>3</v>
      </c>
      <c r="E7" s="55">
        <f>3.14*(0.3/2)^2</f>
        <v>7.0650000000000004E-2</v>
      </c>
      <c r="F7" s="56"/>
      <c r="G7" s="4">
        <f>E7*D7*C7</f>
        <v>4.814797500000001</v>
      </c>
      <c r="H7" s="4" t="s">
        <v>2</v>
      </c>
    </row>
    <row r="8" spans="1:8" ht="18" customHeight="1" x14ac:dyDescent="0.25">
      <c r="A8" s="6">
        <v>2</v>
      </c>
      <c r="B8" s="7" t="s">
        <v>35</v>
      </c>
      <c r="C8" s="4"/>
      <c r="D8" s="4"/>
      <c r="E8" s="4"/>
      <c r="F8" s="4"/>
      <c r="G8" s="4">
        <f>G7*70</f>
        <v>337.03582500000005</v>
      </c>
      <c r="H8" s="4" t="s">
        <v>30</v>
      </c>
    </row>
    <row r="9" spans="1:8" ht="25.5" x14ac:dyDescent="0.25">
      <c r="A9" s="6">
        <v>3</v>
      </c>
      <c r="B9" s="3" t="s">
        <v>41</v>
      </c>
      <c r="C9" s="4"/>
      <c r="D9" s="4">
        <v>68.150000000000006</v>
      </c>
      <c r="E9" s="4">
        <v>1.1000000000000001</v>
      </c>
      <c r="F9" s="4">
        <v>0.05</v>
      </c>
      <c r="G9" s="4">
        <f>D9*E9*F9</f>
        <v>3.748250000000001</v>
      </c>
      <c r="H9" s="4" t="s">
        <v>2</v>
      </c>
    </row>
    <row r="10" spans="1:8" x14ac:dyDescent="0.25">
      <c r="A10" s="6">
        <v>4</v>
      </c>
      <c r="B10" s="3" t="s">
        <v>31</v>
      </c>
      <c r="C10" s="4"/>
      <c r="D10" s="4"/>
      <c r="E10" s="4"/>
      <c r="F10" s="4"/>
      <c r="G10" s="4">
        <f>12*G11</f>
        <v>392.54400000000004</v>
      </c>
      <c r="H10" s="4" t="s">
        <v>4</v>
      </c>
    </row>
    <row r="11" spans="1:8" x14ac:dyDescent="0.25">
      <c r="A11" s="6">
        <v>5</v>
      </c>
      <c r="B11" s="3" t="s">
        <v>36</v>
      </c>
      <c r="C11" s="4">
        <v>1</v>
      </c>
      <c r="D11" s="4">
        <f>D9</f>
        <v>68.150000000000006</v>
      </c>
      <c r="E11" s="55">
        <v>0.48</v>
      </c>
      <c r="F11" s="56"/>
      <c r="G11" s="4">
        <f>E11*D11</f>
        <v>32.712000000000003</v>
      </c>
      <c r="H11" s="4" t="s">
        <v>2</v>
      </c>
    </row>
    <row r="12" spans="1:8" ht="16.5" customHeight="1" x14ac:dyDescent="0.25">
      <c r="A12" s="6">
        <v>6</v>
      </c>
      <c r="B12" s="3" t="s">
        <v>34</v>
      </c>
      <c r="C12" s="4"/>
      <c r="D12" s="4"/>
      <c r="E12" s="4"/>
      <c r="F12" s="4"/>
      <c r="G12" s="4">
        <f>G11*80</f>
        <v>2616.96</v>
      </c>
      <c r="H12" s="4" t="s">
        <v>30</v>
      </c>
    </row>
    <row r="13" spans="1:8" x14ac:dyDescent="0.25">
      <c r="A13" s="6">
        <v>7</v>
      </c>
      <c r="B13" s="3" t="s">
        <v>38</v>
      </c>
      <c r="C13" s="4">
        <v>1</v>
      </c>
      <c r="D13" s="4">
        <f>D5</f>
        <v>68.320000000000007</v>
      </c>
      <c r="E13" s="4">
        <f>0.2</f>
        <v>0.2</v>
      </c>
      <c r="F13" s="4">
        <f>1.3</f>
        <v>1.3</v>
      </c>
      <c r="G13" s="4">
        <f>F13*E13*D13*C13</f>
        <v>17.763200000000001</v>
      </c>
      <c r="H13" s="4" t="s">
        <v>2</v>
      </c>
    </row>
    <row r="14" spans="1:8" x14ac:dyDescent="0.25">
      <c r="A14" s="6">
        <v>8</v>
      </c>
      <c r="B14" s="3" t="s">
        <v>39</v>
      </c>
      <c r="C14" s="4">
        <v>1</v>
      </c>
      <c r="D14" s="4">
        <f>D13</f>
        <v>68.320000000000007</v>
      </c>
      <c r="E14" s="4"/>
      <c r="F14" s="4"/>
      <c r="G14" s="4">
        <f>D14</f>
        <v>68.320000000000007</v>
      </c>
      <c r="H14" s="4" t="s">
        <v>5</v>
      </c>
    </row>
    <row r="15" spans="1:8" x14ac:dyDescent="0.25">
      <c r="A15" s="6">
        <v>9</v>
      </c>
      <c r="B15" s="3" t="s">
        <v>40</v>
      </c>
      <c r="C15" s="8">
        <f>D11/2</f>
        <v>34.075000000000003</v>
      </c>
      <c r="D15" s="4">
        <v>0.3</v>
      </c>
      <c r="E15" s="4"/>
      <c r="F15" s="4"/>
      <c r="G15" s="4">
        <f>C15*D15</f>
        <v>10.2225</v>
      </c>
      <c r="H15" s="4" t="s">
        <v>5</v>
      </c>
    </row>
  </sheetData>
  <mergeCells count="10">
    <mergeCell ref="G2:G4"/>
    <mergeCell ref="H2:H4"/>
    <mergeCell ref="A1:H1"/>
    <mergeCell ref="E7:F7"/>
    <mergeCell ref="E11:F11"/>
    <mergeCell ref="A2:A4"/>
    <mergeCell ref="B2:B4"/>
    <mergeCell ref="C3:C4"/>
    <mergeCell ref="D3:D4"/>
    <mergeCell ref="E4:F4"/>
  </mergeCells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s="25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F13" sqref="F13"/>
    </sheetView>
  </sheetViews>
  <sheetFormatPr defaultRowHeight="15" x14ac:dyDescent="0.25"/>
  <cols>
    <col min="1" max="1" width="10.85546875" customWidth="1"/>
    <col min="2" max="2" width="10.28515625" customWidth="1"/>
    <col min="3" max="3" width="12.5703125" customWidth="1"/>
    <col min="4" max="4" width="19" customWidth="1"/>
    <col min="5" max="5" width="21.85546875" customWidth="1"/>
    <col min="6" max="6" width="13.5703125" customWidth="1"/>
  </cols>
  <sheetData>
    <row r="1" spans="1:9" x14ac:dyDescent="0.25">
      <c r="A1" s="41" t="s">
        <v>14</v>
      </c>
      <c r="B1" s="42"/>
      <c r="C1" s="42"/>
      <c r="D1" s="42"/>
      <c r="E1" s="42"/>
      <c r="F1" s="43"/>
    </row>
    <row r="2" spans="1:9" ht="25.5" x14ac:dyDescent="0.25">
      <c r="A2" s="22" t="s">
        <v>15</v>
      </c>
      <c r="B2" s="22" t="s">
        <v>16</v>
      </c>
      <c r="C2" s="17" t="s">
        <v>17</v>
      </c>
      <c r="D2" s="17" t="s">
        <v>43</v>
      </c>
      <c r="E2" s="22" t="s">
        <v>0</v>
      </c>
      <c r="F2" s="17" t="s">
        <v>58</v>
      </c>
    </row>
    <row r="3" spans="1:9" x14ac:dyDescent="0.25">
      <c r="A3" s="9" t="s">
        <v>55</v>
      </c>
      <c r="B3" s="2">
        <v>0.3</v>
      </c>
      <c r="C3" s="23">
        <f>3.14*(B3/2)^2</f>
        <v>7.0650000000000004E-2</v>
      </c>
      <c r="D3" s="2">
        <f>3*27</f>
        <v>81</v>
      </c>
      <c r="E3" s="24">
        <v>27</v>
      </c>
      <c r="F3" s="24">
        <f>C3*3*E3*1.1</f>
        <v>6.2949150000000014</v>
      </c>
    </row>
    <row r="4" spans="1:9" x14ac:dyDescent="0.25">
      <c r="A4" s="64" t="s">
        <v>18</v>
      </c>
      <c r="B4" s="65"/>
      <c r="C4" s="66"/>
      <c r="D4" s="10">
        <f>SUM(D3:D3)</f>
        <v>81</v>
      </c>
      <c r="E4" s="10">
        <f>SUM(E3:E3)</f>
        <v>27</v>
      </c>
      <c r="F4" s="10">
        <f>SUM(F3:F3)</f>
        <v>6.2949150000000014</v>
      </c>
    </row>
    <row r="5" spans="1:9" x14ac:dyDescent="0.25">
      <c r="A5" s="68"/>
      <c r="B5" s="68"/>
      <c r="C5" s="68"/>
      <c r="D5" s="68"/>
      <c r="E5" s="68"/>
      <c r="F5" s="68"/>
    </row>
    <row r="6" spans="1:9" x14ac:dyDescent="0.25">
      <c r="A6" s="67" t="s">
        <v>19</v>
      </c>
      <c r="B6" s="67" t="s">
        <v>20</v>
      </c>
      <c r="C6" s="67" t="s">
        <v>0</v>
      </c>
      <c r="D6" s="67" t="s">
        <v>9</v>
      </c>
      <c r="E6" s="67"/>
    </row>
    <row r="7" spans="1:9" x14ac:dyDescent="0.25">
      <c r="A7" s="67"/>
      <c r="B7" s="67"/>
      <c r="C7" s="67"/>
      <c r="D7" s="12" t="s">
        <v>21</v>
      </c>
      <c r="E7" s="12" t="s">
        <v>22</v>
      </c>
    </row>
    <row r="8" spans="1:9" x14ac:dyDescent="0.25">
      <c r="A8" s="13" t="s">
        <v>59</v>
      </c>
      <c r="B8" s="14" t="s">
        <v>23</v>
      </c>
      <c r="C8" s="14">
        <f>20*27</f>
        <v>540</v>
      </c>
      <c r="D8" s="14">
        <f>75</f>
        <v>75</v>
      </c>
      <c r="E8" s="15">
        <f t="shared" ref="E8:E9" si="0">(C8*D8)*0.01</f>
        <v>405</v>
      </c>
    </row>
    <row r="9" spans="1:9" x14ac:dyDescent="0.25">
      <c r="A9" s="13" t="s">
        <v>60</v>
      </c>
      <c r="B9" s="14">
        <v>10</v>
      </c>
      <c r="C9" s="14">
        <f>4*27</f>
        <v>108</v>
      </c>
      <c r="D9" s="14">
        <v>300</v>
      </c>
      <c r="E9" s="15">
        <f t="shared" si="0"/>
        <v>324</v>
      </c>
    </row>
    <row r="10" spans="1:9" x14ac:dyDescent="0.25">
      <c r="A10" s="57"/>
      <c r="B10" s="57"/>
      <c r="C10" s="57"/>
      <c r="D10" s="57"/>
      <c r="E10" s="57"/>
    </row>
    <row r="11" spans="1:9" x14ac:dyDescent="0.25">
      <c r="A11" s="58" t="s">
        <v>24</v>
      </c>
      <c r="B11" s="59"/>
      <c r="C11" s="59"/>
      <c r="D11" s="59"/>
      <c r="E11" s="60"/>
    </row>
    <row r="12" spans="1:9" x14ac:dyDescent="0.25">
      <c r="A12" s="12" t="s">
        <v>25</v>
      </c>
      <c r="B12" s="12" t="s">
        <v>20</v>
      </c>
      <c r="C12" s="12" t="s">
        <v>22</v>
      </c>
      <c r="D12" s="12" t="s">
        <v>26</v>
      </c>
      <c r="E12" s="12" t="s">
        <v>27</v>
      </c>
      <c r="I12">
        <f>E15/F4</f>
        <v>52.271762208067933</v>
      </c>
    </row>
    <row r="13" spans="1:9" x14ac:dyDescent="0.25">
      <c r="A13" s="14" t="s">
        <v>28</v>
      </c>
      <c r="B13" s="14" t="s">
        <v>23</v>
      </c>
      <c r="C13" s="15">
        <f>(E8*1.1)</f>
        <v>445.50000000000006</v>
      </c>
      <c r="D13" s="16">
        <f>C13/12</f>
        <v>37.125000000000007</v>
      </c>
      <c r="E13" s="15">
        <f>C13*0.245</f>
        <v>109.14750000000001</v>
      </c>
    </row>
    <row r="14" spans="1:9" x14ac:dyDescent="0.25">
      <c r="A14" s="14" t="s">
        <v>28</v>
      </c>
      <c r="B14" s="14">
        <v>10</v>
      </c>
      <c r="C14" s="15">
        <f>(E9*1.1)</f>
        <v>356.40000000000003</v>
      </c>
      <c r="D14" s="16">
        <f>C14/12</f>
        <v>29.700000000000003</v>
      </c>
      <c r="E14" s="15">
        <f>C14*0.617</f>
        <v>219.89880000000002</v>
      </c>
    </row>
    <row r="15" spans="1:9" x14ac:dyDescent="0.25">
      <c r="A15" s="61" t="s">
        <v>29</v>
      </c>
      <c r="B15" s="62"/>
      <c r="C15" s="62"/>
      <c r="D15" s="63"/>
      <c r="E15" s="15">
        <f>SUM(E13:E14)</f>
        <v>329.04630000000003</v>
      </c>
    </row>
  </sheetData>
  <mergeCells count="10">
    <mergeCell ref="A10:E10"/>
    <mergeCell ref="A11:E11"/>
    <mergeCell ref="A15:D15"/>
    <mergeCell ref="A1:F1"/>
    <mergeCell ref="A4:C4"/>
    <mergeCell ref="A6:A7"/>
    <mergeCell ref="B6:B7"/>
    <mergeCell ref="C6:C7"/>
    <mergeCell ref="D6:E6"/>
    <mergeCell ref="A5:F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Revisão e detalhamento</vt:lpstr>
      <vt:lpstr>Muro armação</vt:lpstr>
      <vt:lpstr>Estaca</vt:lpstr>
      <vt:lpstr>Plan1</vt:lpstr>
      <vt:lpstr>Plan2</vt:lpstr>
      <vt:lpstr>Estaca armação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Catiele Silvério da Silva</dc:creator>
  <cp:lastModifiedBy>User</cp:lastModifiedBy>
  <cp:lastPrinted>2018-05-10T17:56:43Z</cp:lastPrinted>
  <dcterms:created xsi:type="dcterms:W3CDTF">2018-05-10T14:07:34Z</dcterms:created>
  <dcterms:modified xsi:type="dcterms:W3CDTF">2019-08-14T13:45:18Z</dcterms:modified>
</cp:coreProperties>
</file>