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feitura BM\081 - Revisão Ginásio Ano Bom - CE Caixa\PDF Muro Frontal\"/>
    </mc:Choice>
  </mc:AlternateContent>
  <bookViews>
    <workbookView xWindow="240" yWindow="60" windowWidth="20115" windowHeight="7695" tabRatio="812" firstSheet="2" activeTab="2"/>
  </bookViews>
  <sheets>
    <sheet name="Escada Acesso A" sheetId="49" r:id="rId1"/>
    <sheet name="Escada Acesso Pórtico" sheetId="32" r:id="rId2"/>
    <sheet name="Armação" sheetId="46" r:id="rId3"/>
    <sheet name="Concreto" sheetId="47" r:id="rId4"/>
    <sheet name="Lista de Materiais" sheetId="48" r:id="rId5"/>
  </sheets>
  <calcPr calcId="152511"/>
</workbook>
</file>

<file path=xl/calcChain.xml><?xml version="1.0" encoding="utf-8"?>
<calcChain xmlns="http://schemas.openxmlformats.org/spreadsheetml/2006/main">
  <c r="E62" i="46" l="1"/>
  <c r="C62" i="46"/>
  <c r="D62" i="46" s="1"/>
  <c r="C60" i="46"/>
  <c r="D55" i="46"/>
  <c r="D56" i="46"/>
  <c r="E56" i="46" s="1"/>
  <c r="E55" i="46"/>
  <c r="D54" i="46"/>
  <c r="D52" i="46"/>
  <c r="C54" i="46"/>
  <c r="D53" i="46"/>
  <c r="C53" i="46"/>
  <c r="E53" i="46" s="1"/>
  <c r="C52" i="46"/>
  <c r="D51" i="46"/>
  <c r="E51" i="46" s="1"/>
  <c r="C51" i="46"/>
  <c r="E52" i="46"/>
  <c r="D50" i="46"/>
  <c r="C50" i="46"/>
  <c r="C49" i="46"/>
  <c r="F15" i="47"/>
  <c r="F14" i="47"/>
  <c r="D14" i="47"/>
  <c r="D15" i="47"/>
  <c r="D16" i="47"/>
  <c r="C12" i="46"/>
  <c r="E12" i="46" s="1"/>
  <c r="C11" i="46"/>
  <c r="C10" i="46"/>
  <c r="E10" i="46" s="1"/>
  <c r="C9" i="46"/>
  <c r="E9" i="46" s="1"/>
  <c r="C8" i="46"/>
  <c r="E8" i="46" s="1"/>
  <c r="E11" i="46"/>
  <c r="G4" i="47"/>
  <c r="F4" i="47"/>
  <c r="H9" i="47"/>
  <c r="G9" i="47"/>
  <c r="F9" i="47"/>
  <c r="H22" i="47"/>
  <c r="G22" i="47"/>
  <c r="F22" i="47"/>
  <c r="F38" i="47"/>
  <c r="G38" i="47"/>
  <c r="G31" i="47"/>
  <c r="F31" i="47"/>
  <c r="F8" i="47"/>
  <c r="G8" i="47"/>
  <c r="H8" i="47"/>
  <c r="G14" i="47"/>
  <c r="H14" i="47"/>
  <c r="H15" i="47"/>
  <c r="G16" i="47"/>
  <c r="H16" i="47"/>
  <c r="G37" i="47"/>
  <c r="D37" i="47"/>
  <c r="F37" i="47" s="1"/>
  <c r="G36" i="47"/>
  <c r="D36" i="47"/>
  <c r="F36" i="47" s="1"/>
  <c r="G35" i="47"/>
  <c r="F35" i="47"/>
  <c r="D35" i="47"/>
  <c r="D38" i="46"/>
  <c r="D37" i="46"/>
  <c r="G15" i="32"/>
  <c r="G16" i="32" s="1"/>
  <c r="E15" i="32"/>
  <c r="F15" i="32" s="1"/>
  <c r="F16" i="32" s="1"/>
  <c r="I15" i="32"/>
  <c r="I16" i="32" s="1"/>
  <c r="D15" i="32"/>
  <c r="D16" i="32" s="1"/>
  <c r="F15" i="49"/>
  <c r="E15" i="49"/>
  <c r="E54" i="46" l="1"/>
  <c r="G15" i="47"/>
  <c r="G17" i="47" s="1"/>
  <c r="H17" i="47"/>
  <c r="D5" i="32"/>
  <c r="D4" i="32"/>
  <c r="D3" i="32"/>
  <c r="C5" i="32"/>
  <c r="C4" i="32"/>
  <c r="E4" i="32"/>
  <c r="E3" i="32"/>
  <c r="G15" i="49"/>
  <c r="D5" i="49"/>
  <c r="C5" i="49"/>
  <c r="C4" i="49"/>
  <c r="D4" i="49"/>
  <c r="D3" i="49"/>
  <c r="E5" i="49"/>
  <c r="E5" i="32" l="1"/>
  <c r="C10" i="32"/>
  <c r="C22" i="49"/>
  <c r="I15" i="49"/>
  <c r="I16" i="49" s="1"/>
  <c r="B21" i="49" s="1"/>
  <c r="G16" i="49"/>
  <c r="B23" i="49" s="1"/>
  <c r="F16" i="49"/>
  <c r="B22" i="49" s="1"/>
  <c r="D15" i="49"/>
  <c r="D16" i="49" s="1"/>
  <c r="B24" i="49" s="1"/>
  <c r="E4" i="49"/>
  <c r="C10" i="49" s="1"/>
  <c r="E3" i="49"/>
  <c r="C9" i="49" s="1"/>
  <c r="E41" i="48"/>
  <c r="F31" i="48" s="1"/>
  <c r="E39" i="48"/>
  <c r="E37" i="48"/>
  <c r="E35" i="48"/>
  <c r="E33" i="48"/>
  <c r="F43" i="48"/>
  <c r="E29" i="48"/>
  <c r="E27" i="48"/>
  <c r="E25" i="48"/>
  <c r="E23" i="48"/>
  <c r="E21" i="48"/>
  <c r="E19" i="48"/>
  <c r="E17" i="48"/>
  <c r="E15" i="48"/>
  <c r="E13" i="48"/>
  <c r="E11" i="48"/>
  <c r="E9" i="48"/>
  <c r="E7" i="48"/>
  <c r="E5" i="48"/>
  <c r="D27" i="47"/>
  <c r="F27" i="47"/>
  <c r="G27" i="47"/>
  <c r="D28" i="47"/>
  <c r="F28" i="47"/>
  <c r="G28" i="47"/>
  <c r="D29" i="47"/>
  <c r="F29" i="47" s="1"/>
  <c r="G29" i="47"/>
  <c r="D30" i="47"/>
  <c r="F30" i="47"/>
  <c r="G30" i="47"/>
  <c r="G26" i="47"/>
  <c r="D26" i="47"/>
  <c r="F26" i="47" s="1"/>
  <c r="H21" i="47"/>
  <c r="G21" i="47"/>
  <c r="D21" i="47"/>
  <c r="F21" i="47" s="1"/>
  <c r="E37" i="46"/>
  <c r="D36" i="46"/>
  <c r="E36" i="46" s="1"/>
  <c r="D35" i="46"/>
  <c r="C33" i="46"/>
  <c r="I33" i="46"/>
  <c r="G33" i="46"/>
  <c r="H33" i="46"/>
  <c r="E35" i="46"/>
  <c r="E38" i="46"/>
  <c r="D34" i="46"/>
  <c r="D23" i="46"/>
  <c r="C22" i="46"/>
  <c r="D49" i="46"/>
  <c r="E49" i="46"/>
  <c r="H13" i="47"/>
  <c r="D13" i="47"/>
  <c r="G13" i="47" s="1"/>
  <c r="G49" i="46"/>
  <c r="G57" i="46"/>
  <c r="J7" i="47"/>
  <c r="J9" i="47" s="1"/>
  <c r="H7" i="47"/>
  <c r="G7" i="47"/>
  <c r="F7" i="47"/>
  <c r="C5" i="46"/>
  <c r="C4" i="46"/>
  <c r="E4" i="46" s="1"/>
  <c r="C3" i="46"/>
  <c r="E5" i="46"/>
  <c r="E3" i="46"/>
  <c r="C7" i="46"/>
  <c r="E7" i="46" s="1"/>
  <c r="C6" i="46"/>
  <c r="E6" i="46" s="1"/>
  <c r="C67" i="46"/>
  <c r="E67" i="46" s="1"/>
  <c r="C72" i="46" s="1"/>
  <c r="C68" i="46"/>
  <c r="E68" i="46" s="1"/>
  <c r="C73" i="46" s="1"/>
  <c r="F3" i="47"/>
  <c r="C3" i="47"/>
  <c r="G3" i="47" s="1"/>
  <c r="C16" i="46" l="1"/>
  <c r="E16" i="46" s="1"/>
  <c r="C17" i="46"/>
  <c r="E9" i="49"/>
  <c r="E11" i="49" s="1"/>
  <c r="D9" i="49"/>
  <c r="D10" i="49"/>
  <c r="E10" i="49"/>
  <c r="F3" i="48"/>
  <c r="K7" i="47"/>
  <c r="K9" i="47" s="1"/>
  <c r="E72" i="46"/>
  <c r="D72" i="46"/>
  <c r="E73" i="46"/>
  <c r="D73" i="46"/>
  <c r="E74" i="46" l="1"/>
  <c r="E50" i="46" l="1"/>
  <c r="C61" i="46" s="1"/>
  <c r="E34" i="46"/>
  <c r="C43" i="46" s="1"/>
  <c r="E43" i="46" s="1"/>
  <c r="D33" i="46"/>
  <c r="E33" i="46"/>
  <c r="C42" i="46" s="1"/>
  <c r="E42" i="46" s="1"/>
  <c r="E23" i="46"/>
  <c r="C28" i="46" s="1"/>
  <c r="D22" i="46"/>
  <c r="E22" i="46" s="1"/>
  <c r="C27" i="46" s="1"/>
  <c r="E28" i="46" l="1"/>
  <c r="D28" i="46"/>
  <c r="D43" i="46"/>
  <c r="E61" i="46"/>
  <c r="D61" i="46"/>
  <c r="E27" i="46"/>
  <c r="D27" i="46"/>
  <c r="D42" i="46"/>
  <c r="D60" i="46"/>
  <c r="E60" i="46"/>
  <c r="E63" i="46" s="1"/>
  <c r="D16" i="46"/>
  <c r="E44" i="46" l="1"/>
  <c r="E29" i="46"/>
  <c r="E17" i="46"/>
  <c r="E18" i="46" s="1"/>
  <c r="D17" i="46"/>
  <c r="D22" i="32" l="1"/>
  <c r="B23" i="32"/>
  <c r="C23" i="32" s="1"/>
  <c r="B24" i="32"/>
  <c r="C24" i="32" s="1"/>
  <c r="B21" i="32" l="1"/>
  <c r="C21" i="32" s="1"/>
  <c r="B22" i="32"/>
  <c r="C22" i="32" s="1"/>
  <c r="E10" i="32"/>
  <c r="C9" i="32"/>
  <c r="E9" i="32" s="1"/>
  <c r="B28" i="32" l="1"/>
  <c r="E11" i="32"/>
  <c r="E12" i="32" s="1"/>
  <c r="D9" i="32"/>
  <c r="D10" i="32"/>
</calcChain>
</file>

<file path=xl/sharedStrings.xml><?xml version="1.0" encoding="utf-8"?>
<sst xmlns="http://schemas.openxmlformats.org/spreadsheetml/2006/main" count="311" uniqueCount="155">
  <si>
    <t>Quantidade</t>
  </si>
  <si>
    <t>Comprimento</t>
  </si>
  <si>
    <t>Quadro de Resumo (+10%)</t>
  </si>
  <si>
    <t>Aço</t>
  </si>
  <si>
    <t>CA50</t>
  </si>
  <si>
    <t>Total (m)</t>
  </si>
  <si>
    <t>Nº de Barras (12 m)</t>
  </si>
  <si>
    <t>Peso (kg)</t>
  </si>
  <si>
    <t>Unitário (cm)</t>
  </si>
  <si>
    <t>Ø (mm)</t>
  </si>
  <si>
    <t>Total:</t>
  </si>
  <si>
    <t>V1</t>
  </si>
  <si>
    <t>Área da seção (m²)</t>
  </si>
  <si>
    <t>b(m)</t>
  </si>
  <si>
    <t>h(m)</t>
  </si>
  <si>
    <t>a(m)</t>
  </si>
  <si>
    <t>bw(m)</t>
  </si>
  <si>
    <t>Comprimento (m)</t>
  </si>
  <si>
    <t>Total=</t>
  </si>
  <si>
    <t>Forma (m²)</t>
  </si>
  <si>
    <t>Concreto (m³)</t>
  </si>
  <si>
    <t>Itens</t>
  </si>
  <si>
    <t xml:space="preserve">Elemento </t>
  </si>
  <si>
    <t>N (Número da barra)</t>
  </si>
  <si>
    <t>12.5</t>
  </si>
  <si>
    <t>6.3</t>
  </si>
  <si>
    <t>Lastro de Concreto  fck 15MPa (m³)</t>
  </si>
  <si>
    <t>Unidade</t>
  </si>
  <si>
    <t>m³</t>
  </si>
  <si>
    <t>m²</t>
  </si>
  <si>
    <t>Escada</t>
  </si>
  <si>
    <t>Concreto (m³) (C*A)</t>
  </si>
  <si>
    <t>Escavação</t>
  </si>
  <si>
    <t>Área do Corte da escavação (m²)</t>
  </si>
  <si>
    <t>Área do Corte. Concreto (A) (m²)</t>
  </si>
  <si>
    <t>Comp. (C) (m)</t>
  </si>
  <si>
    <t>Escavação
(Área*C) 
(m³)</t>
  </si>
  <si>
    <t>Lastro Fck 15 MPa</t>
  </si>
  <si>
    <r>
      <t xml:space="preserve">N1 </t>
    </r>
    <r>
      <rPr>
        <sz val="8"/>
        <color theme="1"/>
        <rFont val="Arial"/>
        <family val="2"/>
      </rPr>
      <t>Bloco</t>
    </r>
  </si>
  <si>
    <r>
      <t xml:space="preserve">N2 </t>
    </r>
    <r>
      <rPr>
        <sz val="8"/>
        <color theme="1"/>
        <rFont val="Arial"/>
        <family val="2"/>
      </rPr>
      <t>Bloco</t>
    </r>
  </si>
  <si>
    <r>
      <t xml:space="preserve">N3 </t>
    </r>
    <r>
      <rPr>
        <sz val="8"/>
        <color theme="1"/>
        <rFont val="Arial"/>
        <family val="2"/>
      </rPr>
      <t>Bloco</t>
    </r>
  </si>
  <si>
    <r>
      <t xml:space="preserve">N4 </t>
    </r>
    <r>
      <rPr>
        <sz val="8"/>
        <color theme="1"/>
        <rFont val="Arial"/>
        <family val="2"/>
      </rPr>
      <t>Bloco</t>
    </r>
  </si>
  <si>
    <r>
      <t xml:space="preserve">N5 </t>
    </r>
    <r>
      <rPr>
        <sz val="8"/>
        <color theme="1"/>
        <rFont val="Arial"/>
        <family val="2"/>
      </rPr>
      <t>Bloco</t>
    </r>
  </si>
  <si>
    <t>Total :</t>
  </si>
  <si>
    <t>CA60</t>
  </si>
  <si>
    <r>
      <t>N1</t>
    </r>
    <r>
      <rPr>
        <sz val="8"/>
        <color theme="1"/>
        <rFont val="Arial"/>
        <family val="2"/>
      </rPr>
      <t xml:space="preserve"> Viga </t>
    </r>
  </si>
  <si>
    <r>
      <t>N2</t>
    </r>
    <r>
      <rPr>
        <sz val="8"/>
        <color theme="1"/>
        <rFont val="Arial"/>
        <family val="2"/>
      </rPr>
      <t xml:space="preserve"> Viga</t>
    </r>
  </si>
  <si>
    <r>
      <t>N1</t>
    </r>
    <r>
      <rPr>
        <sz val="8"/>
        <color theme="1"/>
        <rFont val="Arial"/>
        <family val="2"/>
      </rPr>
      <t xml:space="preserve"> Pilar</t>
    </r>
  </si>
  <si>
    <r>
      <t>N2</t>
    </r>
    <r>
      <rPr>
        <sz val="8"/>
        <color theme="1"/>
        <rFont val="Arial"/>
        <family val="2"/>
      </rPr>
      <t xml:space="preserve"> Pilar</t>
    </r>
  </si>
  <si>
    <t>Bloco</t>
  </si>
  <si>
    <t>Comp. (C)</t>
  </si>
  <si>
    <t>Larg. (L)</t>
  </si>
  <si>
    <t>Altura (H)</t>
  </si>
  <si>
    <t>Quantidade (Q)</t>
  </si>
  <si>
    <t>Forma (m²) 
(C*4*)*H*Q</t>
  </si>
  <si>
    <t>Lastro (m³) (0.05*C*L*Q)</t>
  </si>
  <si>
    <t xml:space="preserve"> Total : </t>
  </si>
  <si>
    <t>Altura (m)</t>
  </si>
  <si>
    <r>
      <t>N1</t>
    </r>
    <r>
      <rPr>
        <sz val="8"/>
        <color theme="1"/>
        <rFont val="Arial"/>
        <family val="2"/>
      </rPr>
      <t xml:space="preserve">  Cintamento </t>
    </r>
  </si>
  <si>
    <r>
      <t>N2</t>
    </r>
    <r>
      <rPr>
        <sz val="8"/>
        <color theme="1"/>
        <rFont val="Arial"/>
        <family val="2"/>
      </rPr>
      <t xml:space="preserve">  Cintamento </t>
    </r>
  </si>
  <si>
    <t>Bota Fora</t>
  </si>
  <si>
    <t>Forma Serrada</t>
  </si>
  <si>
    <t>Item</t>
  </si>
  <si>
    <t>D (m)</t>
  </si>
  <si>
    <t>Escavação (m)</t>
  </si>
  <si>
    <r>
      <t xml:space="preserve">N1 </t>
    </r>
    <r>
      <rPr>
        <sz val="8"/>
        <color theme="1"/>
        <rFont val="Arial"/>
        <family val="2"/>
      </rPr>
      <t>Estaca</t>
    </r>
  </si>
  <si>
    <r>
      <t xml:space="preserve">N2 </t>
    </r>
    <r>
      <rPr>
        <sz val="8"/>
        <color theme="1"/>
        <rFont val="Arial"/>
        <family val="2"/>
      </rPr>
      <t>Estaca</t>
    </r>
  </si>
  <si>
    <t>E1 a E12</t>
  </si>
  <si>
    <t>Estaca trado Ø30cm fck = 30MPa</t>
  </si>
  <si>
    <t>Concreto (m³) 
(C*L*H*Q)</t>
  </si>
  <si>
    <t>Escavação (m³) (C+0,25)*(L+0,25)*(H+0,05) * Q</t>
  </si>
  <si>
    <t>Reaterro (m³) Escavação - Concreto - Lastro</t>
  </si>
  <si>
    <t>Pilar fck = 30MPa</t>
  </si>
  <si>
    <t>Altura útil (m)</t>
  </si>
  <si>
    <t>Quantidade (un)</t>
  </si>
  <si>
    <r>
      <t>N3</t>
    </r>
    <r>
      <rPr>
        <sz val="8"/>
        <color theme="1"/>
        <rFont val="Arial"/>
        <family val="2"/>
      </rPr>
      <t xml:space="preserve"> Viga</t>
    </r>
  </si>
  <si>
    <r>
      <t>N4</t>
    </r>
    <r>
      <rPr>
        <sz val="8"/>
        <color theme="1"/>
        <rFont val="Arial"/>
        <family val="2"/>
      </rPr>
      <t xml:space="preserve"> Viga</t>
    </r>
  </si>
  <si>
    <r>
      <t>N5</t>
    </r>
    <r>
      <rPr>
        <sz val="8"/>
        <color theme="1"/>
        <rFont val="Arial"/>
        <family val="2"/>
      </rPr>
      <t xml:space="preserve"> Viga</t>
    </r>
  </si>
  <si>
    <r>
      <t>N6</t>
    </r>
    <r>
      <rPr>
        <sz val="8"/>
        <color theme="1"/>
        <rFont val="Arial"/>
        <family val="2"/>
      </rPr>
      <t xml:space="preserve"> Viga</t>
    </r>
  </si>
  <si>
    <t>V1a</t>
  </si>
  <si>
    <t>V2</t>
  </si>
  <si>
    <t>V3</t>
  </si>
  <si>
    <t>V4</t>
  </si>
  <si>
    <t>V5</t>
  </si>
  <si>
    <t>Cintamento fck = 30MPa</t>
  </si>
  <si>
    <t>Vigas fck = 30MPa</t>
  </si>
  <si>
    <t xml:space="preserve">Bloco de Concreto </t>
  </si>
  <si>
    <t>lista de Materias</t>
  </si>
  <si>
    <t>Lista de Materias</t>
  </si>
  <si>
    <t xml:space="preserve">Item </t>
  </si>
  <si>
    <t>Descrição</t>
  </si>
  <si>
    <t xml:space="preserve">Área 1 </t>
  </si>
  <si>
    <t>Total (m²)</t>
  </si>
  <si>
    <t>Compr. (m)</t>
  </si>
  <si>
    <t>Total Geral (m²)</t>
  </si>
  <si>
    <t>Meio-fio de Concreto15x45 cm - Moldado "in loco";</t>
  </si>
  <si>
    <t>Área 2</t>
  </si>
  <si>
    <t xml:space="preserve">Área 3 </t>
  </si>
  <si>
    <t xml:space="preserve">Área 4 </t>
  </si>
  <si>
    <t>Área 5</t>
  </si>
  <si>
    <t>Área 6</t>
  </si>
  <si>
    <t>Área 7</t>
  </si>
  <si>
    <t>Área 8</t>
  </si>
  <si>
    <t>Área 9</t>
  </si>
  <si>
    <t>Área 10</t>
  </si>
  <si>
    <t>Área 11</t>
  </si>
  <si>
    <t>Área 12</t>
  </si>
  <si>
    <t>Área 13</t>
  </si>
  <si>
    <t>Quantidades</t>
  </si>
  <si>
    <t>Trecho 1</t>
  </si>
  <si>
    <t>Trecho 2</t>
  </si>
  <si>
    <t>Trecho 3</t>
  </si>
  <si>
    <t>Chapisco (os dois lados);</t>
  </si>
  <si>
    <t>Bloco de Concreto Cheio (14x19x39) cm;</t>
  </si>
  <si>
    <t xml:space="preserve">Chapisco Área 1 </t>
  </si>
  <si>
    <t xml:space="preserve">Chapisco Área 2 </t>
  </si>
  <si>
    <t>Chapisco Área 3</t>
  </si>
  <si>
    <t>Chapisco Área 4</t>
  </si>
  <si>
    <t>Chapisco Área 5</t>
  </si>
  <si>
    <t>Concreto Fck 30 MPa</t>
  </si>
  <si>
    <r>
      <t>N1</t>
    </r>
    <r>
      <rPr>
        <sz val="8"/>
        <color theme="1"/>
        <rFont val="Arial"/>
        <family val="2"/>
      </rPr>
      <t xml:space="preserve"> Escada acesso A</t>
    </r>
  </si>
  <si>
    <r>
      <t>N2</t>
    </r>
    <r>
      <rPr>
        <sz val="8"/>
        <color theme="1"/>
        <rFont val="Arial"/>
        <family val="2"/>
      </rPr>
      <t xml:space="preserve"> Escada acesso A</t>
    </r>
  </si>
  <si>
    <r>
      <t>N3</t>
    </r>
    <r>
      <rPr>
        <sz val="8"/>
        <color theme="1"/>
        <rFont val="Arial"/>
        <family val="2"/>
      </rPr>
      <t xml:space="preserve"> Escada acesso A</t>
    </r>
  </si>
  <si>
    <t xml:space="preserve">Forma 
 altura do degrau * Quant. * C 
(m²) </t>
  </si>
  <si>
    <r>
      <t>N1</t>
    </r>
    <r>
      <rPr>
        <sz val="8"/>
        <color theme="1"/>
        <rFont val="Arial"/>
        <family val="2"/>
      </rPr>
      <t xml:space="preserve"> Escada Acesso Pórtico</t>
    </r>
  </si>
  <si>
    <r>
      <t>N2</t>
    </r>
    <r>
      <rPr>
        <sz val="8"/>
        <color theme="1"/>
        <rFont val="Arial"/>
        <family val="2"/>
      </rPr>
      <t xml:space="preserve"> Escada Acesso Pórtico</t>
    </r>
  </si>
  <si>
    <r>
      <t>N3</t>
    </r>
    <r>
      <rPr>
        <sz val="8"/>
        <color theme="1"/>
        <rFont val="Arial"/>
        <family val="2"/>
      </rPr>
      <t xml:space="preserve"> Escada Acesso Pórtico</t>
    </r>
  </si>
  <si>
    <t>Total (x2):</t>
  </si>
  <si>
    <t>Quant x2</t>
  </si>
  <si>
    <t>Resumo de Quantitativo - Escada Acesso A</t>
  </si>
  <si>
    <t>Resumo de Quantitativo - Escada Acesso ao Pórtico</t>
  </si>
  <si>
    <t>Largura do lastro (L)
(m)</t>
  </si>
  <si>
    <t>Lastro (m³) (L*C*0,05 )</t>
  </si>
  <si>
    <t>Vigas Pórtico fck = 30MPa</t>
  </si>
  <si>
    <t>V6</t>
  </si>
  <si>
    <t>V7</t>
  </si>
  <si>
    <t>V8</t>
  </si>
  <si>
    <t>P8 e P12</t>
  </si>
  <si>
    <t>P9 e P11</t>
  </si>
  <si>
    <t>P10</t>
  </si>
  <si>
    <t>P1 a P7 e P13</t>
  </si>
  <si>
    <t>B8 a B11</t>
  </si>
  <si>
    <t>B1 a B7 e B12</t>
  </si>
  <si>
    <r>
      <t xml:space="preserve">N6 </t>
    </r>
    <r>
      <rPr>
        <sz val="8"/>
        <color theme="1"/>
        <rFont val="Arial"/>
        <family val="2"/>
      </rPr>
      <t>Bloco</t>
    </r>
  </si>
  <si>
    <r>
      <t xml:space="preserve">N7 </t>
    </r>
    <r>
      <rPr>
        <sz val="8"/>
        <color theme="1"/>
        <rFont val="Arial"/>
        <family val="2"/>
      </rPr>
      <t>Bloco</t>
    </r>
  </si>
  <si>
    <r>
      <t xml:space="preserve">N8 </t>
    </r>
    <r>
      <rPr>
        <sz val="8"/>
        <color theme="1"/>
        <rFont val="Arial"/>
        <family val="2"/>
      </rPr>
      <t>Bloco</t>
    </r>
  </si>
  <si>
    <r>
      <t xml:space="preserve">N9 </t>
    </r>
    <r>
      <rPr>
        <sz val="8"/>
        <color theme="1"/>
        <rFont val="Arial"/>
        <family val="2"/>
      </rPr>
      <t>Bloco</t>
    </r>
  </si>
  <si>
    <r>
      <t xml:space="preserve">N10 </t>
    </r>
    <r>
      <rPr>
        <sz val="8"/>
        <color theme="1"/>
        <rFont val="Arial"/>
        <family val="2"/>
      </rPr>
      <t>Bloco</t>
    </r>
  </si>
  <si>
    <r>
      <t>N3</t>
    </r>
    <r>
      <rPr>
        <sz val="8"/>
        <color theme="1"/>
        <rFont val="Arial"/>
        <family val="2"/>
      </rPr>
      <t xml:space="preserve"> Pilar</t>
    </r>
  </si>
  <si>
    <r>
      <t>N4</t>
    </r>
    <r>
      <rPr>
        <sz val="8"/>
        <color theme="1"/>
        <rFont val="Arial"/>
        <family val="2"/>
      </rPr>
      <t xml:space="preserve"> Pilar</t>
    </r>
  </si>
  <si>
    <r>
      <t>N5</t>
    </r>
    <r>
      <rPr>
        <sz val="8"/>
        <color theme="1"/>
        <rFont val="Arial"/>
        <family val="2"/>
      </rPr>
      <t xml:space="preserve"> Pilar</t>
    </r>
  </si>
  <si>
    <r>
      <t>N6</t>
    </r>
    <r>
      <rPr>
        <sz val="8"/>
        <color theme="1"/>
        <rFont val="Arial"/>
        <family val="2"/>
      </rPr>
      <t xml:space="preserve"> Pilar</t>
    </r>
  </si>
  <si>
    <r>
      <t>N7</t>
    </r>
    <r>
      <rPr>
        <sz val="8"/>
        <color theme="1"/>
        <rFont val="Arial"/>
        <family val="2"/>
      </rPr>
      <t xml:space="preserve"> Pilar</t>
    </r>
  </si>
  <si>
    <r>
      <t>N8</t>
    </r>
    <r>
      <rPr>
        <sz val="8"/>
        <color theme="1"/>
        <rFont val="Arial"/>
        <family val="2"/>
      </rPr>
      <t xml:space="preserve"> Pilar</t>
    </r>
  </si>
  <si>
    <t>CA51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</si>
</sst>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" fillId="0" borderId="9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2" fontId="1" fillId="0" borderId="5" xfId="1" applyNumberFormat="1" applyFont="1" applyFill="1" applyBorder="1" applyAlignment="1">
      <alignment horizontal="center" vertical="center" wrapText="1"/>
    </xf>
    <xf numFmtId="2" fontId="1" fillId="0" borderId="9" xfId="1" applyNumberFormat="1" applyFont="1" applyFill="1" applyBorder="1" applyAlignment="1">
      <alignment horizontal="center" vertical="center" wrapText="1"/>
    </xf>
    <xf numFmtId="2" fontId="1" fillId="0" borderId="6" xfId="1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topLeftCell="A10" workbookViewId="0">
      <selection activeCell="C14" sqref="A14:I16"/>
    </sheetView>
  </sheetViews>
  <sheetFormatPr defaultRowHeight="15" x14ac:dyDescent="0.25"/>
  <cols>
    <col min="1" max="1" width="19.42578125" customWidth="1"/>
    <col min="2" max="2" width="13.85546875" customWidth="1"/>
    <col min="3" max="3" width="12.140625" customWidth="1"/>
    <col min="4" max="4" width="13" customWidth="1"/>
    <col min="5" max="5" width="13.5703125" customWidth="1"/>
    <col min="6" max="6" width="11.5703125" customWidth="1"/>
    <col min="7" max="7" width="18.42578125" customWidth="1"/>
    <col min="8" max="8" width="13.28515625" customWidth="1"/>
    <col min="9" max="9" width="14.140625" customWidth="1"/>
  </cols>
  <sheetData>
    <row r="1" spans="1:9" x14ac:dyDescent="0.25">
      <c r="A1" s="56" t="s">
        <v>23</v>
      </c>
      <c r="B1" s="56" t="s">
        <v>9</v>
      </c>
      <c r="C1" s="56" t="s">
        <v>0</v>
      </c>
      <c r="D1" s="56" t="s">
        <v>1</v>
      </c>
      <c r="E1" s="56"/>
    </row>
    <row r="2" spans="1:9" x14ac:dyDescent="0.25">
      <c r="A2" s="56"/>
      <c r="B2" s="56"/>
      <c r="C2" s="56"/>
      <c r="D2" s="31" t="s">
        <v>8</v>
      </c>
      <c r="E2" s="31" t="s">
        <v>5</v>
      </c>
    </row>
    <row r="3" spans="1:9" x14ac:dyDescent="0.25">
      <c r="A3" s="33" t="s">
        <v>120</v>
      </c>
      <c r="B3" s="7">
        <v>8</v>
      </c>
      <c r="C3" s="5">
        <v>11</v>
      </c>
      <c r="D3" s="7">
        <f>670-5</f>
        <v>665</v>
      </c>
      <c r="E3" s="6">
        <f>(C3*D3)*0.01</f>
        <v>73.150000000000006</v>
      </c>
    </row>
    <row r="4" spans="1:9" x14ac:dyDescent="0.25">
      <c r="A4" s="40" t="s">
        <v>121</v>
      </c>
      <c r="B4" s="7">
        <v>10</v>
      </c>
      <c r="C4" s="5">
        <f>6.7/0.12</f>
        <v>55.833333333333336</v>
      </c>
      <c r="D4" s="7">
        <f>131+20+20</f>
        <v>171</v>
      </c>
      <c r="E4" s="6">
        <f>(C4*D4)*0.01</f>
        <v>95.475000000000009</v>
      </c>
    </row>
    <row r="5" spans="1:9" x14ac:dyDescent="0.25">
      <c r="A5" s="40" t="s">
        <v>122</v>
      </c>
      <c r="B5" s="7">
        <v>10</v>
      </c>
      <c r="C5" s="5">
        <f>6.7/0.12</f>
        <v>55.833333333333336</v>
      </c>
      <c r="D5" s="7">
        <f>35+26+153</f>
        <v>214</v>
      </c>
      <c r="E5" s="6">
        <f>(C5*D5)*0.01</f>
        <v>119.48333333333335</v>
      </c>
    </row>
    <row r="6" spans="1:9" x14ac:dyDescent="0.25">
      <c r="A6" s="57"/>
      <c r="B6" s="58"/>
      <c r="C6" s="58"/>
      <c r="D6" s="58"/>
      <c r="E6" s="59"/>
    </row>
    <row r="7" spans="1:9" x14ac:dyDescent="0.25">
      <c r="A7" s="60" t="s">
        <v>2</v>
      </c>
      <c r="B7" s="61"/>
      <c r="C7" s="61"/>
      <c r="D7" s="61"/>
      <c r="E7" s="62"/>
    </row>
    <row r="8" spans="1:9" ht="25.5" x14ac:dyDescent="0.25">
      <c r="A8" s="31" t="s">
        <v>3</v>
      </c>
      <c r="B8" s="31" t="s">
        <v>9</v>
      </c>
      <c r="C8" s="31" t="s">
        <v>5</v>
      </c>
      <c r="D8" s="31" t="s">
        <v>6</v>
      </c>
      <c r="E8" s="31" t="s">
        <v>7</v>
      </c>
    </row>
    <row r="9" spans="1:9" x14ac:dyDescent="0.25">
      <c r="A9" s="7" t="s">
        <v>4</v>
      </c>
      <c r="B9" s="7">
        <v>8</v>
      </c>
      <c r="C9" s="6">
        <f>(E3)*1.1</f>
        <v>80.465000000000018</v>
      </c>
      <c r="D9" s="5">
        <f>C9/12</f>
        <v>6.7054166666666681</v>
      </c>
      <c r="E9" s="6">
        <f>C9*0.395</f>
        <v>31.783675000000009</v>
      </c>
    </row>
    <row r="10" spans="1:9" x14ac:dyDescent="0.25">
      <c r="A10" s="7" t="s">
        <v>4</v>
      </c>
      <c r="B10" s="7">
        <v>10</v>
      </c>
      <c r="C10" s="6">
        <f>(E4+E5)*1.1</f>
        <v>236.45416666666674</v>
      </c>
      <c r="D10" s="5">
        <f>C10/12</f>
        <v>19.704513888888894</v>
      </c>
      <c r="E10" s="6">
        <f>C10*0.617</f>
        <v>145.89222083333337</v>
      </c>
    </row>
    <row r="11" spans="1:9" x14ac:dyDescent="0.25">
      <c r="A11" s="51" t="s">
        <v>10</v>
      </c>
      <c r="B11" s="52"/>
      <c r="C11" s="52"/>
      <c r="D11" s="53"/>
      <c r="E11" s="6">
        <f>SUM(E9:E10)</f>
        <v>177.67589583333339</v>
      </c>
    </row>
    <row r="12" spans="1:9" x14ac:dyDescent="0.25">
      <c r="A12" s="9"/>
    </row>
    <row r="13" spans="1:9" x14ac:dyDescent="0.25">
      <c r="A13" s="9"/>
    </row>
    <row r="14" spans="1:9" ht="60" x14ac:dyDescent="0.25">
      <c r="A14" s="14" t="s">
        <v>30</v>
      </c>
      <c r="B14" s="14" t="s">
        <v>34</v>
      </c>
      <c r="C14" s="14" t="s">
        <v>35</v>
      </c>
      <c r="D14" s="14" t="s">
        <v>31</v>
      </c>
      <c r="E14" s="14" t="s">
        <v>131</v>
      </c>
      <c r="F14" s="14" t="s">
        <v>132</v>
      </c>
      <c r="G14" s="14" t="s">
        <v>123</v>
      </c>
      <c r="H14" s="14" t="s">
        <v>33</v>
      </c>
      <c r="I14" s="14" t="s">
        <v>36</v>
      </c>
    </row>
    <row r="15" spans="1:9" x14ac:dyDescent="0.25">
      <c r="A15" s="35" t="s">
        <v>30</v>
      </c>
      <c r="B15" s="35">
        <v>0.45419999999999999</v>
      </c>
      <c r="C15" s="15">
        <v>6.7</v>
      </c>
      <c r="D15" s="15">
        <f>B15*C15</f>
        <v>3.0431400000000002</v>
      </c>
      <c r="E15" s="15">
        <f>1.25+0.15+0.15</f>
        <v>1.5499999999999998</v>
      </c>
      <c r="F15" s="15">
        <f>E15*C15*0.05</f>
        <v>0.51924999999999999</v>
      </c>
      <c r="G15" s="15">
        <f>0.18*C15*5</f>
        <v>6.0299999999999994</v>
      </c>
      <c r="H15" s="93">
        <v>1.0333000000000001</v>
      </c>
      <c r="I15" s="15">
        <f>H15*C15</f>
        <v>6.9231100000000012</v>
      </c>
    </row>
    <row r="16" spans="1:9" x14ac:dyDescent="0.25">
      <c r="A16" s="54" t="s">
        <v>10</v>
      </c>
      <c r="B16" s="54"/>
      <c r="C16" s="54"/>
      <c r="D16" s="16">
        <f>SUM(D15:D15)</f>
        <v>3.0431400000000002</v>
      </c>
      <c r="E16" s="16"/>
      <c r="F16" s="16">
        <f t="shared" ref="F16" si="0">SUM(F15:F15)</f>
        <v>0.51924999999999999</v>
      </c>
      <c r="G16" s="16">
        <f>SUM(G15:G15)</f>
        <v>6.0299999999999994</v>
      </c>
      <c r="H16" s="16"/>
      <c r="I16" s="16">
        <f t="shared" ref="I16" si="1">SUM(I15:I15)</f>
        <v>6.9231100000000012</v>
      </c>
    </row>
    <row r="18" spans="1:6" x14ac:dyDescent="0.25">
      <c r="A18" s="12"/>
      <c r="B18" s="13"/>
      <c r="C18" s="12"/>
      <c r="D18" s="12"/>
      <c r="E18" s="12"/>
      <c r="F18" s="12"/>
    </row>
    <row r="19" spans="1:6" x14ac:dyDescent="0.25">
      <c r="A19" s="55" t="s">
        <v>129</v>
      </c>
      <c r="B19" s="55"/>
      <c r="C19" s="55"/>
    </row>
    <row r="20" spans="1:6" x14ac:dyDescent="0.25">
      <c r="A20" s="32" t="s">
        <v>22</v>
      </c>
      <c r="B20" s="32" t="s">
        <v>0</v>
      </c>
      <c r="C20" s="31" t="s">
        <v>27</v>
      </c>
    </row>
    <row r="21" spans="1:6" x14ac:dyDescent="0.25">
      <c r="A21" s="4" t="s">
        <v>32</v>
      </c>
      <c r="B21" s="3">
        <f>I16</f>
        <v>6.9231100000000012</v>
      </c>
      <c r="C21" s="3" t="s">
        <v>28</v>
      </c>
    </row>
    <row r="22" spans="1:6" x14ac:dyDescent="0.25">
      <c r="A22" s="4" t="s">
        <v>37</v>
      </c>
      <c r="B22" s="3">
        <f>F16</f>
        <v>0.51924999999999999</v>
      </c>
      <c r="C22" s="3" t="str">
        <f>C21</f>
        <v>m³</v>
      </c>
    </row>
    <row r="23" spans="1:6" x14ac:dyDescent="0.25">
      <c r="A23" s="4" t="s">
        <v>61</v>
      </c>
      <c r="B23" s="3">
        <f>G16</f>
        <v>6.0299999999999994</v>
      </c>
      <c r="C23" s="36" t="s">
        <v>29</v>
      </c>
    </row>
    <row r="24" spans="1:6" x14ac:dyDescent="0.25">
      <c r="A24" s="4" t="s">
        <v>119</v>
      </c>
      <c r="B24" s="3">
        <f>D16</f>
        <v>3.0431400000000002</v>
      </c>
      <c r="C24" s="3" t="s">
        <v>28</v>
      </c>
    </row>
    <row r="25" spans="1:6" x14ac:dyDescent="0.25">
      <c r="A25" s="23"/>
      <c r="B25" s="24"/>
    </row>
  </sheetData>
  <mergeCells count="9">
    <mergeCell ref="A11:D11"/>
    <mergeCell ref="A16:C16"/>
    <mergeCell ref="A19:C19"/>
    <mergeCell ref="A1:A2"/>
    <mergeCell ref="B1:B2"/>
    <mergeCell ref="C1:C2"/>
    <mergeCell ref="D1:E1"/>
    <mergeCell ref="A6:E6"/>
    <mergeCell ref="A7:E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"/>
  <sheetViews>
    <sheetView topLeftCell="A7" workbookViewId="0">
      <selection activeCell="A19" sqref="A19:D24"/>
    </sheetView>
  </sheetViews>
  <sheetFormatPr defaultRowHeight="15" x14ac:dyDescent="0.25"/>
  <cols>
    <col min="1" max="1" width="22.28515625" customWidth="1"/>
    <col min="2" max="2" width="13.85546875" customWidth="1"/>
    <col min="3" max="3" width="12.140625" customWidth="1"/>
    <col min="4" max="4" width="13" customWidth="1"/>
    <col min="5" max="5" width="12.42578125" customWidth="1"/>
    <col min="6" max="6" width="11.5703125" customWidth="1"/>
    <col min="7" max="7" width="18.42578125" customWidth="1"/>
    <col min="8" max="8" width="13.28515625" customWidth="1"/>
    <col min="9" max="9" width="14.140625" customWidth="1"/>
  </cols>
  <sheetData>
    <row r="1" spans="1:9" x14ac:dyDescent="0.25">
      <c r="A1" s="56" t="s">
        <v>23</v>
      </c>
      <c r="B1" s="56" t="s">
        <v>9</v>
      </c>
      <c r="C1" s="56" t="s">
        <v>0</v>
      </c>
      <c r="D1" s="56" t="s">
        <v>1</v>
      </c>
      <c r="E1" s="56"/>
    </row>
    <row r="2" spans="1:9" x14ac:dyDescent="0.25">
      <c r="A2" s="56"/>
      <c r="B2" s="56"/>
      <c r="C2" s="56"/>
      <c r="D2" s="10" t="s">
        <v>8</v>
      </c>
      <c r="E2" s="10" t="s">
        <v>5</v>
      </c>
    </row>
    <row r="3" spans="1:9" ht="17.25" customHeight="1" x14ac:dyDescent="0.25">
      <c r="A3" s="11" t="s">
        <v>124</v>
      </c>
      <c r="B3" s="7">
        <v>8</v>
      </c>
      <c r="C3" s="5">
        <v>9</v>
      </c>
      <c r="D3" s="7">
        <f>258-5</f>
        <v>253</v>
      </c>
      <c r="E3" s="6">
        <f>(C3*D3)*0.01</f>
        <v>22.77</v>
      </c>
    </row>
    <row r="4" spans="1:9" ht="17.25" customHeight="1" x14ac:dyDescent="0.25">
      <c r="A4" s="40" t="s">
        <v>125</v>
      </c>
      <c r="B4" s="7">
        <v>10</v>
      </c>
      <c r="C4" s="5">
        <f>2.57/0.12</f>
        <v>21.416666666666668</v>
      </c>
      <c r="D4" s="7">
        <f>104+20+20</f>
        <v>144</v>
      </c>
      <c r="E4" s="6">
        <f>(C4*D4)*0.01</f>
        <v>30.84</v>
      </c>
    </row>
    <row r="5" spans="1:9" x14ac:dyDescent="0.25">
      <c r="A5" s="40" t="s">
        <v>126</v>
      </c>
      <c r="B5" s="7">
        <v>10</v>
      </c>
      <c r="C5" s="5">
        <f>2.57/0.12</f>
        <v>21.416666666666668</v>
      </c>
      <c r="D5" s="7">
        <f>35+26+125</f>
        <v>186</v>
      </c>
      <c r="E5" s="6">
        <f>(C5*D5)*0.01</f>
        <v>39.835000000000001</v>
      </c>
    </row>
    <row r="6" spans="1:9" x14ac:dyDescent="0.25">
      <c r="A6" s="57"/>
      <c r="B6" s="58"/>
      <c r="C6" s="58"/>
      <c r="D6" s="58"/>
      <c r="E6" s="59"/>
    </row>
    <row r="7" spans="1:9" x14ac:dyDescent="0.25">
      <c r="A7" s="60" t="s">
        <v>2</v>
      </c>
      <c r="B7" s="61"/>
      <c r="C7" s="61"/>
      <c r="D7" s="61"/>
      <c r="E7" s="62"/>
    </row>
    <row r="8" spans="1:9" ht="25.5" x14ac:dyDescent="0.25">
      <c r="A8" s="10" t="s">
        <v>3</v>
      </c>
      <c r="B8" s="10" t="s">
        <v>9</v>
      </c>
      <c r="C8" s="10" t="s">
        <v>5</v>
      </c>
      <c r="D8" s="10" t="s">
        <v>6</v>
      </c>
      <c r="E8" s="10" t="s">
        <v>7</v>
      </c>
    </row>
    <row r="9" spans="1:9" x14ac:dyDescent="0.25">
      <c r="A9" s="7" t="s">
        <v>4</v>
      </c>
      <c r="B9" s="7">
        <v>8</v>
      </c>
      <c r="C9" s="6">
        <f>(E3)*1.1</f>
        <v>25.047000000000001</v>
      </c>
      <c r="D9" s="5">
        <f>C9/12</f>
        <v>2.08725</v>
      </c>
      <c r="E9" s="6">
        <f>C9*0.395</f>
        <v>9.8935650000000006</v>
      </c>
    </row>
    <row r="10" spans="1:9" x14ac:dyDescent="0.25">
      <c r="A10" s="7" t="s">
        <v>4</v>
      </c>
      <c r="B10" s="7">
        <v>10</v>
      </c>
      <c r="C10" s="6">
        <f>(E5+E4)*1.1</f>
        <v>77.742500000000007</v>
      </c>
      <c r="D10" s="5">
        <f>C10/12</f>
        <v>6.4785416666666675</v>
      </c>
      <c r="E10" s="6">
        <f>C10*0.617</f>
        <v>47.967122500000002</v>
      </c>
    </row>
    <row r="11" spans="1:9" x14ac:dyDescent="0.25">
      <c r="A11" s="51" t="s">
        <v>10</v>
      </c>
      <c r="B11" s="52"/>
      <c r="C11" s="52"/>
      <c r="D11" s="53"/>
      <c r="E11" s="6">
        <f>SUM(E9:E10)</f>
        <v>57.860687500000004</v>
      </c>
    </row>
    <row r="12" spans="1:9" x14ac:dyDescent="0.25">
      <c r="A12" s="51" t="s">
        <v>127</v>
      </c>
      <c r="B12" s="52"/>
      <c r="C12" s="52"/>
      <c r="D12" s="53"/>
      <c r="E12" s="6">
        <f>E11*2</f>
        <v>115.72137500000001</v>
      </c>
    </row>
    <row r="13" spans="1:9" x14ac:dyDescent="0.25">
      <c r="A13" s="9"/>
    </row>
    <row r="14" spans="1:9" ht="60" x14ac:dyDescent="0.25">
      <c r="A14" s="14" t="s">
        <v>30</v>
      </c>
      <c r="B14" s="14" t="s">
        <v>34</v>
      </c>
      <c r="C14" s="14" t="s">
        <v>35</v>
      </c>
      <c r="D14" s="14" t="s">
        <v>31</v>
      </c>
      <c r="E14" s="14" t="s">
        <v>131</v>
      </c>
      <c r="F14" s="14" t="s">
        <v>132</v>
      </c>
      <c r="G14" s="14" t="s">
        <v>123</v>
      </c>
      <c r="H14" s="14" t="s">
        <v>33</v>
      </c>
      <c r="I14" s="14" t="s">
        <v>36</v>
      </c>
    </row>
    <row r="15" spans="1:9" x14ac:dyDescent="0.25">
      <c r="A15" s="35" t="s">
        <v>30</v>
      </c>
      <c r="B15" s="35">
        <v>0.39150000000000001</v>
      </c>
      <c r="C15" s="15">
        <v>2.58</v>
      </c>
      <c r="D15" s="15">
        <f>B15*C15</f>
        <v>1.01007</v>
      </c>
      <c r="E15" s="15">
        <f>0.97+0.15+0.15</f>
        <v>1.2699999999999998</v>
      </c>
      <c r="F15" s="15">
        <f>E15*C15*0.05</f>
        <v>0.16383</v>
      </c>
      <c r="G15" s="15">
        <f>0.17*C15*4</f>
        <v>1.7544000000000002</v>
      </c>
      <c r="H15" s="93">
        <v>0.76139999999999997</v>
      </c>
      <c r="I15" s="15">
        <f>H15*C15</f>
        <v>1.964412</v>
      </c>
    </row>
    <row r="16" spans="1:9" x14ac:dyDescent="0.25">
      <c r="A16" s="54" t="s">
        <v>10</v>
      </c>
      <c r="B16" s="54"/>
      <c r="C16" s="54"/>
      <c r="D16" s="16">
        <f>SUM(D15:D15)</f>
        <v>1.01007</v>
      </c>
      <c r="E16" s="16"/>
      <c r="F16" s="16">
        <f t="shared" ref="F16" si="0">SUM(F15:F15)</f>
        <v>0.16383</v>
      </c>
      <c r="G16" s="16">
        <f>SUM(G15:G15)</f>
        <v>1.7544000000000002</v>
      </c>
      <c r="H16" s="16"/>
      <c r="I16" s="16">
        <f t="shared" ref="I16" si="1">SUM(I15:I15)</f>
        <v>1.964412</v>
      </c>
    </row>
    <row r="18" spans="1:6" x14ac:dyDescent="0.25">
      <c r="A18" s="12"/>
      <c r="B18" s="13"/>
      <c r="C18" s="12"/>
      <c r="D18" s="12"/>
      <c r="E18" s="12"/>
      <c r="F18" s="12"/>
    </row>
    <row r="19" spans="1:6" ht="15" customHeight="1" x14ac:dyDescent="0.25">
      <c r="A19" s="56" t="s">
        <v>130</v>
      </c>
      <c r="B19" s="56"/>
      <c r="C19" s="56"/>
      <c r="D19" s="56"/>
    </row>
    <row r="20" spans="1:6" x14ac:dyDescent="0.25">
      <c r="A20" s="26" t="s">
        <v>22</v>
      </c>
      <c r="B20" s="26" t="s">
        <v>0</v>
      </c>
      <c r="C20" s="39" t="s">
        <v>128</v>
      </c>
      <c r="D20" s="25" t="s">
        <v>27</v>
      </c>
    </row>
    <row r="21" spans="1:6" x14ac:dyDescent="0.25">
      <c r="A21" s="4" t="s">
        <v>32</v>
      </c>
      <c r="B21" s="3">
        <f>I16</f>
        <v>1.964412</v>
      </c>
      <c r="C21" s="3">
        <f>B21*2</f>
        <v>3.9288240000000001</v>
      </c>
      <c r="D21" s="3" t="s">
        <v>28</v>
      </c>
    </row>
    <row r="22" spans="1:6" x14ac:dyDescent="0.25">
      <c r="A22" s="4" t="s">
        <v>37</v>
      </c>
      <c r="B22" s="3">
        <f>F16</f>
        <v>0.16383</v>
      </c>
      <c r="C22" s="3">
        <f t="shared" ref="C22:C24" si="2">B22*2</f>
        <v>0.32766000000000001</v>
      </c>
      <c r="D22" s="3" t="str">
        <f>D21</f>
        <v>m³</v>
      </c>
    </row>
    <row r="23" spans="1:6" x14ac:dyDescent="0.25">
      <c r="A23" s="4" t="s">
        <v>61</v>
      </c>
      <c r="B23" s="3">
        <f>G16</f>
        <v>1.7544000000000002</v>
      </c>
      <c r="C23" s="3">
        <f t="shared" si="2"/>
        <v>3.5088000000000004</v>
      </c>
      <c r="D23" s="27" t="s">
        <v>29</v>
      </c>
    </row>
    <row r="24" spans="1:6" x14ac:dyDescent="0.25">
      <c r="A24" s="4" t="s">
        <v>119</v>
      </c>
      <c r="B24" s="3">
        <f>D16</f>
        <v>1.01007</v>
      </c>
      <c r="C24" s="3">
        <f t="shared" si="2"/>
        <v>2.02014</v>
      </c>
      <c r="D24" s="3" t="s">
        <v>28</v>
      </c>
    </row>
    <row r="28" spans="1:6" x14ac:dyDescent="0.25">
      <c r="A28" s="23" t="s">
        <v>60</v>
      </c>
      <c r="B28" s="24">
        <f>B21</f>
        <v>1.964412</v>
      </c>
    </row>
  </sheetData>
  <mergeCells count="10">
    <mergeCell ref="A11:D11"/>
    <mergeCell ref="A16:C16"/>
    <mergeCell ref="A1:A2"/>
    <mergeCell ref="B1:B2"/>
    <mergeCell ref="C1:C2"/>
    <mergeCell ref="D1:E1"/>
    <mergeCell ref="A6:E6"/>
    <mergeCell ref="A7:E7"/>
    <mergeCell ref="A12:D12"/>
    <mergeCell ref="A19:D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4"/>
  <sheetViews>
    <sheetView tabSelected="1" topLeftCell="A43" workbookViewId="0">
      <selection activeCell="A47" sqref="A47:E63"/>
    </sheetView>
  </sheetViews>
  <sheetFormatPr defaultRowHeight="15" x14ac:dyDescent="0.25"/>
  <cols>
    <col min="1" max="1" width="16.42578125" customWidth="1"/>
    <col min="2" max="2" width="11.85546875" customWidth="1"/>
    <col min="3" max="3" width="13.42578125" customWidth="1"/>
    <col min="4" max="4" width="14.42578125" customWidth="1"/>
    <col min="5" max="5" width="11.140625" customWidth="1"/>
  </cols>
  <sheetData>
    <row r="1" spans="1:5" x14ac:dyDescent="0.25">
      <c r="A1" s="56" t="s">
        <v>23</v>
      </c>
      <c r="B1" s="56" t="s">
        <v>9</v>
      </c>
      <c r="C1" s="56" t="s">
        <v>0</v>
      </c>
      <c r="D1" s="56" t="s">
        <v>1</v>
      </c>
      <c r="E1" s="56"/>
    </row>
    <row r="2" spans="1:5" x14ac:dyDescent="0.25">
      <c r="A2" s="56"/>
      <c r="B2" s="56"/>
      <c r="C2" s="56"/>
      <c r="D2" s="31" t="s">
        <v>8</v>
      </c>
      <c r="E2" s="31" t="s">
        <v>5</v>
      </c>
    </row>
    <row r="3" spans="1:5" x14ac:dyDescent="0.25">
      <c r="A3" s="37" t="s">
        <v>38</v>
      </c>
      <c r="B3" s="37">
        <v>10</v>
      </c>
      <c r="C3" s="37">
        <f>3*12</f>
        <v>36</v>
      </c>
      <c r="D3" s="7">
        <v>212</v>
      </c>
      <c r="E3" s="6">
        <f>(C3*D3)*0.01</f>
        <v>76.320000000000007</v>
      </c>
    </row>
    <row r="4" spans="1:5" x14ac:dyDescent="0.25">
      <c r="A4" s="37" t="s">
        <v>39</v>
      </c>
      <c r="B4" s="37">
        <v>10</v>
      </c>
      <c r="C4" s="37">
        <f>3*12</f>
        <v>36</v>
      </c>
      <c r="D4" s="7">
        <v>208</v>
      </c>
      <c r="E4" s="6">
        <f t="shared" ref="E4:E7" si="0">(C4*D4)*0.01</f>
        <v>74.88</v>
      </c>
    </row>
    <row r="5" spans="1:5" x14ac:dyDescent="0.25">
      <c r="A5" s="37" t="s">
        <v>40</v>
      </c>
      <c r="B5" s="37">
        <v>10</v>
      </c>
      <c r="C5" s="37">
        <f>2*12</f>
        <v>24</v>
      </c>
      <c r="D5" s="7">
        <v>216</v>
      </c>
      <c r="E5" s="6">
        <f t="shared" si="0"/>
        <v>51.84</v>
      </c>
    </row>
    <row r="6" spans="1:5" x14ac:dyDescent="0.25">
      <c r="A6" s="37" t="s">
        <v>41</v>
      </c>
      <c r="B6" s="37" t="s">
        <v>25</v>
      </c>
      <c r="C6" s="37">
        <f>1*12</f>
        <v>12</v>
      </c>
      <c r="D6" s="7">
        <v>229</v>
      </c>
      <c r="E6" s="6">
        <f t="shared" si="0"/>
        <v>27.48</v>
      </c>
    </row>
    <row r="7" spans="1:5" x14ac:dyDescent="0.25">
      <c r="A7" s="37" t="s">
        <v>42</v>
      </c>
      <c r="B7" s="37" t="s">
        <v>25</v>
      </c>
      <c r="C7" s="37">
        <f>1*12</f>
        <v>12</v>
      </c>
      <c r="D7" s="7">
        <v>227</v>
      </c>
      <c r="E7" s="6">
        <f t="shared" si="0"/>
        <v>27.240000000000002</v>
      </c>
    </row>
    <row r="8" spans="1:5" x14ac:dyDescent="0.25">
      <c r="A8" s="41" t="s">
        <v>143</v>
      </c>
      <c r="B8" s="41">
        <v>10</v>
      </c>
      <c r="C8" s="41">
        <f>4*4</f>
        <v>16</v>
      </c>
      <c r="D8" s="7">
        <v>252</v>
      </c>
      <c r="E8" s="6">
        <f>(C8*D8)*0.01</f>
        <v>40.32</v>
      </c>
    </row>
    <row r="9" spans="1:5" x14ac:dyDescent="0.25">
      <c r="A9" s="41" t="s">
        <v>144</v>
      </c>
      <c r="B9" s="41">
        <v>10</v>
      </c>
      <c r="C9" s="41">
        <f>4*4</f>
        <v>16</v>
      </c>
      <c r="D9" s="7">
        <v>248</v>
      </c>
      <c r="E9" s="6">
        <f t="shared" ref="E9:E12" si="1">(C9*D9)*0.01</f>
        <v>39.68</v>
      </c>
    </row>
    <row r="10" spans="1:5" x14ac:dyDescent="0.25">
      <c r="A10" s="41" t="s">
        <v>145</v>
      </c>
      <c r="B10" s="41">
        <v>10</v>
      </c>
      <c r="C10" s="41">
        <f>3*4</f>
        <v>12</v>
      </c>
      <c r="D10" s="7">
        <v>296</v>
      </c>
      <c r="E10" s="6">
        <f t="shared" si="1"/>
        <v>35.520000000000003</v>
      </c>
    </row>
    <row r="11" spans="1:5" x14ac:dyDescent="0.25">
      <c r="A11" s="41" t="s">
        <v>146</v>
      </c>
      <c r="B11" s="41" t="s">
        <v>25</v>
      </c>
      <c r="C11" s="41">
        <f>1*4</f>
        <v>4</v>
      </c>
      <c r="D11" s="7">
        <v>286</v>
      </c>
      <c r="E11" s="6">
        <f t="shared" si="1"/>
        <v>11.44</v>
      </c>
    </row>
    <row r="12" spans="1:5" x14ac:dyDescent="0.25">
      <c r="A12" s="41" t="s">
        <v>147</v>
      </c>
      <c r="B12" s="41" t="s">
        <v>25</v>
      </c>
      <c r="C12" s="41">
        <f>1*4</f>
        <v>4</v>
      </c>
      <c r="D12" s="7">
        <v>283</v>
      </c>
      <c r="E12" s="6">
        <f t="shared" si="1"/>
        <v>11.32</v>
      </c>
    </row>
    <row r="13" spans="1:5" x14ac:dyDescent="0.25">
      <c r="A13" s="70"/>
      <c r="B13" s="70"/>
      <c r="C13" s="70"/>
      <c r="D13" s="70"/>
      <c r="E13" s="70"/>
    </row>
    <row r="14" spans="1:5" x14ac:dyDescent="0.25">
      <c r="A14" s="60" t="s">
        <v>2</v>
      </c>
      <c r="B14" s="61"/>
      <c r="C14" s="61"/>
      <c r="D14" s="61"/>
      <c r="E14" s="62"/>
    </row>
    <row r="15" spans="1:5" ht="25.5" x14ac:dyDescent="0.25">
      <c r="A15" s="31" t="s">
        <v>3</v>
      </c>
      <c r="B15" s="31" t="s">
        <v>9</v>
      </c>
      <c r="C15" s="31" t="s">
        <v>5</v>
      </c>
      <c r="D15" s="31" t="s">
        <v>6</v>
      </c>
      <c r="E15" s="31" t="s">
        <v>7</v>
      </c>
    </row>
    <row r="16" spans="1:5" x14ac:dyDescent="0.25">
      <c r="A16" s="7" t="s">
        <v>4</v>
      </c>
      <c r="B16" s="7" t="s">
        <v>25</v>
      </c>
      <c r="C16" s="6">
        <f>(E7+E6+E11+E12)*1.1</f>
        <v>85.227999999999994</v>
      </c>
      <c r="D16" s="5">
        <f>C16/12</f>
        <v>7.1023333333333332</v>
      </c>
      <c r="E16" s="6">
        <f>C16*0.245</f>
        <v>20.880859999999998</v>
      </c>
    </row>
    <row r="17" spans="1:5" x14ac:dyDescent="0.25">
      <c r="A17" s="7" t="s">
        <v>4</v>
      </c>
      <c r="B17" s="7">
        <v>10</v>
      </c>
      <c r="C17" s="6">
        <f>(E5+E3+E4+E8+E9+E10)*1.1</f>
        <v>350.41600000000005</v>
      </c>
      <c r="D17" s="5">
        <f>C17/12</f>
        <v>29.201333333333338</v>
      </c>
      <c r="E17" s="6">
        <f>C17*0.617</f>
        <v>216.20667200000003</v>
      </c>
    </row>
    <row r="18" spans="1:5" x14ac:dyDescent="0.25">
      <c r="A18" s="66" t="s">
        <v>43</v>
      </c>
      <c r="B18" s="66"/>
      <c r="C18" s="66"/>
      <c r="D18" s="66"/>
      <c r="E18" s="20">
        <f>SUM(E16:E17)</f>
        <v>237.08753200000001</v>
      </c>
    </row>
    <row r="19" spans="1:5" x14ac:dyDescent="0.25">
      <c r="A19" s="17"/>
      <c r="B19" s="17"/>
      <c r="C19" s="17"/>
      <c r="D19" s="17"/>
      <c r="E19" s="17"/>
    </row>
    <row r="20" spans="1:5" x14ac:dyDescent="0.25">
      <c r="A20" s="56" t="s">
        <v>23</v>
      </c>
      <c r="B20" s="56" t="s">
        <v>9</v>
      </c>
      <c r="C20" s="56" t="s">
        <v>0</v>
      </c>
      <c r="D20" s="56" t="s">
        <v>1</v>
      </c>
      <c r="E20" s="56"/>
    </row>
    <row r="21" spans="1:5" x14ac:dyDescent="0.25">
      <c r="A21" s="56"/>
      <c r="B21" s="56"/>
      <c r="C21" s="56"/>
      <c r="D21" s="31" t="s">
        <v>8</v>
      </c>
      <c r="E21" s="31" t="s">
        <v>5</v>
      </c>
    </row>
    <row r="22" spans="1:5" x14ac:dyDescent="0.25">
      <c r="A22" s="33" t="s">
        <v>58</v>
      </c>
      <c r="B22" s="7">
        <v>5</v>
      </c>
      <c r="C22" s="5">
        <f>1.3/0.15</f>
        <v>8.6666666666666679</v>
      </c>
      <c r="D22" s="7">
        <f>24+9+24+9+10</f>
        <v>76</v>
      </c>
      <c r="E22" s="6">
        <f>(C22*D22)*0.01</f>
        <v>6.5866666666666678</v>
      </c>
    </row>
    <row r="23" spans="1:5" x14ac:dyDescent="0.25">
      <c r="A23" s="33" t="s">
        <v>59</v>
      </c>
      <c r="B23" s="7" t="s">
        <v>24</v>
      </c>
      <c r="C23" s="7">
        <v>4</v>
      </c>
      <c r="D23" s="7">
        <f>130-5+15+15</f>
        <v>155</v>
      </c>
      <c r="E23" s="6">
        <f t="shared" ref="E23" si="2">(C23*D23)*0.01</f>
        <v>6.2</v>
      </c>
    </row>
    <row r="24" spans="1:5" x14ac:dyDescent="0.25">
      <c r="A24" s="33"/>
      <c r="B24" s="7"/>
      <c r="C24" s="7"/>
      <c r="D24" s="34"/>
      <c r="E24" s="6"/>
    </row>
    <row r="25" spans="1:5" x14ac:dyDescent="0.25">
      <c r="A25" s="67" t="s">
        <v>2</v>
      </c>
      <c r="B25" s="68"/>
      <c r="C25" s="68"/>
      <c r="D25" s="68"/>
      <c r="E25" s="69"/>
    </row>
    <row r="26" spans="1:5" ht="25.5" x14ac:dyDescent="0.25">
      <c r="A26" s="31" t="s">
        <v>3</v>
      </c>
      <c r="B26" s="31" t="s">
        <v>9</v>
      </c>
      <c r="C26" s="31" t="s">
        <v>5</v>
      </c>
      <c r="D26" s="31" t="s">
        <v>6</v>
      </c>
      <c r="E26" s="31" t="s">
        <v>7</v>
      </c>
    </row>
    <row r="27" spans="1:5" x14ac:dyDescent="0.25">
      <c r="A27" s="7" t="s">
        <v>44</v>
      </c>
      <c r="B27" s="7">
        <v>5</v>
      </c>
      <c r="C27" s="6">
        <f>(E22)*1.1</f>
        <v>7.2453333333333347</v>
      </c>
      <c r="D27" s="5">
        <f>C27/12</f>
        <v>0.60377777777777786</v>
      </c>
      <c r="E27" s="6">
        <f>C27*0.154</f>
        <v>1.1157813333333335</v>
      </c>
    </row>
    <row r="28" spans="1:5" x14ac:dyDescent="0.25">
      <c r="A28" s="7" t="s">
        <v>4</v>
      </c>
      <c r="B28" s="7" t="s">
        <v>24</v>
      </c>
      <c r="C28" s="6">
        <f>(E23)*1.1</f>
        <v>6.8200000000000012</v>
      </c>
      <c r="D28" s="5">
        <f t="shared" ref="D28" si="3">C28/12</f>
        <v>0.56833333333333347</v>
      </c>
      <c r="E28" s="6">
        <f>C28*0.963</f>
        <v>6.5676600000000009</v>
      </c>
    </row>
    <row r="29" spans="1:5" x14ac:dyDescent="0.25">
      <c r="A29" s="51" t="s">
        <v>10</v>
      </c>
      <c r="B29" s="52"/>
      <c r="C29" s="52"/>
      <c r="D29" s="53"/>
      <c r="E29" s="6">
        <f>SUM(E27:E28)</f>
        <v>7.6834413333333345</v>
      </c>
    </row>
    <row r="30" spans="1:5" x14ac:dyDescent="0.25">
      <c r="A30" s="21"/>
      <c r="B30" s="21"/>
      <c r="C30" s="21"/>
      <c r="D30" s="21"/>
      <c r="E30" s="21"/>
    </row>
    <row r="31" spans="1:5" x14ac:dyDescent="0.25">
      <c r="A31" s="64" t="s">
        <v>23</v>
      </c>
      <c r="B31" s="64" t="s">
        <v>9</v>
      </c>
      <c r="C31" s="64" t="s">
        <v>0</v>
      </c>
      <c r="D31" s="60" t="s">
        <v>1</v>
      </c>
      <c r="E31" s="62"/>
    </row>
    <row r="32" spans="1:5" x14ac:dyDescent="0.25">
      <c r="A32" s="65"/>
      <c r="B32" s="65"/>
      <c r="C32" s="65"/>
      <c r="D32" s="31" t="s">
        <v>8</v>
      </c>
      <c r="E32" s="31" t="s">
        <v>5</v>
      </c>
    </row>
    <row r="33" spans="1:9" x14ac:dyDescent="0.25">
      <c r="A33" s="33" t="s">
        <v>45</v>
      </c>
      <c r="B33" s="7">
        <v>5</v>
      </c>
      <c r="C33" s="5">
        <f>9+22+67+48+48</f>
        <v>194</v>
      </c>
      <c r="D33" s="7">
        <f>24+9+24+9+10</f>
        <v>76</v>
      </c>
      <c r="E33" s="6">
        <f>(C33*D33)*0.01</f>
        <v>147.44</v>
      </c>
      <c r="G33">
        <f>3.27/0.15</f>
        <v>21.8</v>
      </c>
      <c r="H33">
        <f>9.97/0.15</f>
        <v>66.466666666666669</v>
      </c>
      <c r="I33">
        <f>7.15/0.15</f>
        <v>47.666666666666671</v>
      </c>
    </row>
    <row r="34" spans="1:9" x14ac:dyDescent="0.25">
      <c r="A34" s="33" t="s">
        <v>46</v>
      </c>
      <c r="B34" s="7">
        <v>10</v>
      </c>
      <c r="C34" s="7">
        <v>4</v>
      </c>
      <c r="D34" s="7">
        <f>130-5+15+15</f>
        <v>155</v>
      </c>
      <c r="E34" s="6">
        <f t="shared" ref="E34" si="4">(C34*D34)*0.01</f>
        <v>6.2</v>
      </c>
    </row>
    <row r="35" spans="1:9" x14ac:dyDescent="0.25">
      <c r="A35" s="33" t="s">
        <v>75</v>
      </c>
      <c r="B35" s="7">
        <v>10</v>
      </c>
      <c r="C35" s="7">
        <v>4</v>
      </c>
      <c r="D35" s="7">
        <f>327-5+15+15</f>
        <v>352</v>
      </c>
      <c r="E35" s="6">
        <f t="shared" ref="E35:E37" si="5">(C35*D35)*0.01</f>
        <v>14.08</v>
      </c>
    </row>
    <row r="36" spans="1:9" x14ac:dyDescent="0.25">
      <c r="A36" s="33" t="s">
        <v>76</v>
      </c>
      <c r="B36" s="7">
        <v>10</v>
      </c>
      <c r="C36" s="7">
        <v>4</v>
      </c>
      <c r="D36" s="7">
        <f>997-5+15+15</f>
        <v>1022</v>
      </c>
      <c r="E36" s="6">
        <f t="shared" si="5"/>
        <v>40.880000000000003</v>
      </c>
    </row>
    <row r="37" spans="1:9" x14ac:dyDescent="0.25">
      <c r="A37" s="33" t="s">
        <v>77</v>
      </c>
      <c r="B37" s="7">
        <v>10</v>
      </c>
      <c r="C37" s="7">
        <v>4</v>
      </c>
      <c r="D37" s="7">
        <f>740-5+15+15</f>
        <v>765</v>
      </c>
      <c r="E37" s="6">
        <f t="shared" si="5"/>
        <v>30.6</v>
      </c>
    </row>
    <row r="38" spans="1:9" x14ac:dyDescent="0.25">
      <c r="A38" s="33" t="s">
        <v>78</v>
      </c>
      <c r="B38" s="7">
        <v>10</v>
      </c>
      <c r="C38" s="7">
        <v>4</v>
      </c>
      <c r="D38" s="7">
        <f>739-5+15+15</f>
        <v>764</v>
      </c>
      <c r="E38" s="6">
        <f t="shared" ref="E38" si="6">(C38*D38)*0.01</f>
        <v>30.560000000000002</v>
      </c>
    </row>
    <row r="39" spans="1:9" x14ac:dyDescent="0.25">
      <c r="A39" s="57"/>
      <c r="B39" s="58"/>
      <c r="C39" s="58"/>
      <c r="D39" s="58"/>
      <c r="E39" s="59"/>
    </row>
    <row r="40" spans="1:9" x14ac:dyDescent="0.25">
      <c r="A40" s="60" t="s">
        <v>2</v>
      </c>
      <c r="B40" s="61"/>
      <c r="C40" s="61"/>
      <c r="D40" s="61"/>
      <c r="E40" s="62"/>
    </row>
    <row r="41" spans="1:9" ht="25.5" x14ac:dyDescent="0.25">
      <c r="A41" s="31" t="s">
        <v>3</v>
      </c>
      <c r="B41" s="31" t="s">
        <v>9</v>
      </c>
      <c r="C41" s="31" t="s">
        <v>5</v>
      </c>
      <c r="D41" s="31" t="s">
        <v>6</v>
      </c>
      <c r="E41" s="31" t="s">
        <v>7</v>
      </c>
    </row>
    <row r="42" spans="1:9" x14ac:dyDescent="0.25">
      <c r="A42" s="7" t="s">
        <v>44</v>
      </c>
      <c r="B42" s="7">
        <v>5</v>
      </c>
      <c r="C42" s="6">
        <f>(E33)*1.1</f>
        <v>162.184</v>
      </c>
      <c r="D42" s="5">
        <f>C42/12</f>
        <v>13.515333333333333</v>
      </c>
      <c r="E42" s="6">
        <f>C42*0.154</f>
        <v>24.976336</v>
      </c>
    </row>
    <row r="43" spans="1:9" x14ac:dyDescent="0.25">
      <c r="A43" s="7" t="s">
        <v>4</v>
      </c>
      <c r="B43" s="7">
        <v>10</v>
      </c>
      <c r="C43" s="6">
        <f>(E34+E35+E36+E37+E38)*1.1</f>
        <v>134.55200000000002</v>
      </c>
      <c r="D43" s="5">
        <f>C43/12</f>
        <v>11.212666666666669</v>
      </c>
      <c r="E43" s="6">
        <f>C43*0.617</f>
        <v>83.018584000000018</v>
      </c>
    </row>
    <row r="44" spans="1:9" x14ac:dyDescent="0.25">
      <c r="A44" s="51" t="s">
        <v>10</v>
      </c>
      <c r="B44" s="52"/>
      <c r="C44" s="52"/>
      <c r="D44" s="53"/>
      <c r="E44" s="6">
        <f>SUM(E42:E43)</f>
        <v>107.99492000000002</v>
      </c>
    </row>
    <row r="46" spans="1:9" x14ac:dyDescent="0.25">
      <c r="A46" s="107"/>
      <c r="B46" s="107"/>
      <c r="C46" s="107"/>
      <c r="D46" s="107"/>
      <c r="E46" s="107"/>
    </row>
    <row r="47" spans="1:9" x14ac:dyDescent="0.25">
      <c r="A47" s="64" t="s">
        <v>23</v>
      </c>
      <c r="B47" s="64" t="s">
        <v>9</v>
      </c>
      <c r="C47" s="64" t="s">
        <v>0</v>
      </c>
      <c r="D47" s="60" t="s">
        <v>1</v>
      </c>
      <c r="E47" s="62"/>
    </row>
    <row r="48" spans="1:9" x14ac:dyDescent="0.25">
      <c r="A48" s="65"/>
      <c r="B48" s="65"/>
      <c r="C48" s="65"/>
      <c r="D48" s="38" t="s">
        <v>8</v>
      </c>
      <c r="E48" s="38" t="s">
        <v>5</v>
      </c>
    </row>
    <row r="49" spans="1:7" x14ac:dyDescent="0.25">
      <c r="A49" s="40" t="s">
        <v>47</v>
      </c>
      <c r="B49" s="7">
        <v>5</v>
      </c>
      <c r="C49" s="7">
        <f>9*8</f>
        <v>72</v>
      </c>
      <c r="D49" s="7">
        <f>24+24+9+9+10</f>
        <v>76</v>
      </c>
      <c r="E49" s="6">
        <f>(C49*D49)*0.01</f>
        <v>54.72</v>
      </c>
      <c r="G49" s="5">
        <f>(1.1/0.12)*12</f>
        <v>110.00000000000001</v>
      </c>
    </row>
    <row r="50" spans="1:7" x14ac:dyDescent="0.25">
      <c r="A50" s="40" t="s">
        <v>48</v>
      </c>
      <c r="B50" s="7">
        <v>10</v>
      </c>
      <c r="C50" s="7">
        <f>4*8</f>
        <v>32</v>
      </c>
      <c r="D50" s="7">
        <f>214+15+15</f>
        <v>244</v>
      </c>
      <c r="E50" s="6">
        <f>(C50*D50)*0.01</f>
        <v>78.08</v>
      </c>
    </row>
    <row r="51" spans="1:7" x14ac:dyDescent="0.25">
      <c r="A51" s="40" t="s">
        <v>148</v>
      </c>
      <c r="B51" s="7" t="s">
        <v>24</v>
      </c>
      <c r="C51" s="7">
        <f>4*2</f>
        <v>8</v>
      </c>
      <c r="D51" s="7">
        <f>605-5+15+15</f>
        <v>630</v>
      </c>
      <c r="E51" s="6">
        <f t="shared" ref="E51:E52" si="7">(C51*D51)*0.01</f>
        <v>50.4</v>
      </c>
    </row>
    <row r="52" spans="1:7" x14ac:dyDescent="0.25">
      <c r="A52" s="40" t="s">
        <v>149</v>
      </c>
      <c r="B52" s="7">
        <v>5</v>
      </c>
      <c r="C52" s="7">
        <f>40*2</f>
        <v>80</v>
      </c>
      <c r="D52" s="7">
        <f>31+31+9+9+10</f>
        <v>90</v>
      </c>
      <c r="E52" s="6">
        <f t="shared" si="7"/>
        <v>72</v>
      </c>
    </row>
    <row r="53" spans="1:7" x14ac:dyDescent="0.25">
      <c r="A53" s="40" t="s">
        <v>150</v>
      </c>
      <c r="B53" s="7" t="s">
        <v>24</v>
      </c>
      <c r="C53" s="7">
        <f>4*2</f>
        <v>8</v>
      </c>
      <c r="D53" s="7">
        <f>615-5+15+15</f>
        <v>640</v>
      </c>
      <c r="E53" s="6">
        <f t="shared" ref="E53:E54" si="8">(C53*D53)*0.01</f>
        <v>51.2</v>
      </c>
    </row>
    <row r="54" spans="1:7" x14ac:dyDescent="0.25">
      <c r="A54" s="40" t="s">
        <v>151</v>
      </c>
      <c r="B54" s="7">
        <v>5</v>
      </c>
      <c r="C54" s="7">
        <f>41*2</f>
        <v>82</v>
      </c>
      <c r="D54" s="7">
        <f>31+31+14+14+10</f>
        <v>100</v>
      </c>
      <c r="E54" s="6">
        <f t="shared" si="8"/>
        <v>82</v>
      </c>
    </row>
    <row r="55" spans="1:7" x14ac:dyDescent="0.25">
      <c r="A55" s="40" t="s">
        <v>152</v>
      </c>
      <c r="B55" s="7" t="s">
        <v>24</v>
      </c>
      <c r="C55" s="7">
        <v>4</v>
      </c>
      <c r="D55" s="7">
        <f>620-5+15+15</f>
        <v>645</v>
      </c>
      <c r="E55" s="6">
        <f t="shared" ref="E55:E56" si="9">(C55*D55)*0.01</f>
        <v>25.8</v>
      </c>
    </row>
    <row r="56" spans="1:7" x14ac:dyDescent="0.25">
      <c r="A56" s="40" t="s">
        <v>153</v>
      </c>
      <c r="B56" s="7">
        <v>5</v>
      </c>
      <c r="C56" s="7">
        <v>42</v>
      </c>
      <c r="D56" s="7">
        <f>25+25+9+9+10</f>
        <v>78</v>
      </c>
      <c r="E56" s="6">
        <f t="shared" si="9"/>
        <v>32.76</v>
      </c>
    </row>
    <row r="57" spans="1:7" x14ac:dyDescent="0.25">
      <c r="A57" s="57"/>
      <c r="B57" s="58"/>
      <c r="C57" s="58"/>
      <c r="D57" s="58"/>
      <c r="E57" s="59"/>
      <c r="G57">
        <f>110/12</f>
        <v>9.1666666666666661</v>
      </c>
    </row>
    <row r="58" spans="1:7" x14ac:dyDescent="0.25">
      <c r="A58" s="60" t="s">
        <v>2</v>
      </c>
      <c r="B58" s="61"/>
      <c r="C58" s="61"/>
      <c r="D58" s="61"/>
      <c r="E58" s="62"/>
    </row>
    <row r="59" spans="1:7" ht="25.5" x14ac:dyDescent="0.25">
      <c r="A59" s="38" t="s">
        <v>3</v>
      </c>
      <c r="B59" s="38" t="s">
        <v>9</v>
      </c>
      <c r="C59" s="38" t="s">
        <v>5</v>
      </c>
      <c r="D59" s="38" t="s">
        <v>6</v>
      </c>
      <c r="E59" s="38" t="s">
        <v>7</v>
      </c>
    </row>
    <row r="60" spans="1:7" x14ac:dyDescent="0.25">
      <c r="A60" s="7" t="s">
        <v>44</v>
      </c>
      <c r="B60" s="7">
        <v>5</v>
      </c>
      <c r="C60" s="6">
        <f>(E49+E52+E54+E56)*1.1</f>
        <v>265.62799999999999</v>
      </c>
      <c r="D60" s="5">
        <f>C60/12</f>
        <v>22.135666666666665</v>
      </c>
      <c r="E60" s="6">
        <f>C60*0.154</f>
        <v>40.906711999999999</v>
      </c>
    </row>
    <row r="61" spans="1:7" x14ac:dyDescent="0.25">
      <c r="A61" s="7" t="s">
        <v>4</v>
      </c>
      <c r="B61" s="7">
        <v>10</v>
      </c>
      <c r="C61" s="6">
        <f>(E50)*1.1</f>
        <v>85.888000000000005</v>
      </c>
      <c r="D61" s="5">
        <f>C61/12</f>
        <v>7.1573333333333338</v>
      </c>
      <c r="E61" s="6">
        <f>C61*0.617</f>
        <v>52.992896000000002</v>
      </c>
    </row>
    <row r="62" spans="1:7" x14ac:dyDescent="0.25">
      <c r="A62" s="7" t="s">
        <v>154</v>
      </c>
      <c r="B62" s="7" t="s">
        <v>24</v>
      </c>
      <c r="C62" s="6">
        <f>(E51+E53+E55)*1.1</f>
        <v>140.14000000000001</v>
      </c>
      <c r="D62" s="5">
        <f>C62/12</f>
        <v>11.678333333333335</v>
      </c>
      <c r="E62" s="6">
        <f>C62*0.963</f>
        <v>134.95482000000001</v>
      </c>
    </row>
    <row r="63" spans="1:7" x14ac:dyDescent="0.25">
      <c r="A63" s="51" t="s">
        <v>10</v>
      </c>
      <c r="B63" s="52"/>
      <c r="C63" s="52"/>
      <c r="D63" s="53"/>
      <c r="E63" s="6">
        <f>SUM(E60:E62)</f>
        <v>228.85442800000001</v>
      </c>
    </row>
    <row r="64" spans="1:7" x14ac:dyDescent="0.25">
      <c r="A64" s="22"/>
      <c r="B64" s="22"/>
      <c r="C64" s="22"/>
      <c r="D64" s="22"/>
      <c r="E64" s="22"/>
    </row>
    <row r="65" spans="1:5" x14ac:dyDescent="0.25">
      <c r="A65" s="56" t="s">
        <v>23</v>
      </c>
      <c r="B65" s="56" t="s">
        <v>9</v>
      </c>
      <c r="C65" s="56" t="s">
        <v>0</v>
      </c>
      <c r="D65" s="56" t="s">
        <v>1</v>
      </c>
      <c r="E65" s="56"/>
    </row>
    <row r="66" spans="1:5" x14ac:dyDescent="0.25">
      <c r="A66" s="56"/>
      <c r="B66" s="56"/>
      <c r="C66" s="56"/>
      <c r="D66" s="31" t="s">
        <v>8</v>
      </c>
      <c r="E66" s="31" t="s">
        <v>5</v>
      </c>
    </row>
    <row r="67" spans="1:5" x14ac:dyDescent="0.25">
      <c r="A67" s="33" t="s">
        <v>65</v>
      </c>
      <c r="B67" s="7" t="s">
        <v>25</v>
      </c>
      <c r="C67" s="7">
        <f>20*12</f>
        <v>240</v>
      </c>
      <c r="D67" s="7">
        <v>70</v>
      </c>
      <c r="E67" s="6">
        <f t="shared" ref="E67:E68" si="10">(C67*D67)*0.01</f>
        <v>168</v>
      </c>
    </row>
    <row r="68" spans="1:5" x14ac:dyDescent="0.25">
      <c r="A68" s="33" t="s">
        <v>66</v>
      </c>
      <c r="B68" s="7">
        <v>10</v>
      </c>
      <c r="C68" s="7">
        <f>4*12</f>
        <v>48</v>
      </c>
      <c r="D68" s="7">
        <v>294</v>
      </c>
      <c r="E68" s="6">
        <f t="shared" si="10"/>
        <v>141.12</v>
      </c>
    </row>
    <row r="69" spans="1:5" x14ac:dyDescent="0.25">
      <c r="A69" s="63"/>
      <c r="B69" s="63"/>
      <c r="C69" s="63"/>
      <c r="D69" s="63"/>
      <c r="E69" s="63"/>
    </row>
    <row r="70" spans="1:5" x14ac:dyDescent="0.25">
      <c r="A70" s="60" t="s">
        <v>2</v>
      </c>
      <c r="B70" s="61"/>
      <c r="C70" s="61"/>
      <c r="D70" s="61"/>
      <c r="E70" s="62"/>
    </row>
    <row r="71" spans="1:5" ht="25.5" x14ac:dyDescent="0.25">
      <c r="A71" s="31" t="s">
        <v>3</v>
      </c>
      <c r="B71" s="31" t="s">
        <v>9</v>
      </c>
      <c r="C71" s="31" t="s">
        <v>5</v>
      </c>
      <c r="D71" s="31" t="s">
        <v>6</v>
      </c>
      <c r="E71" s="31" t="s">
        <v>7</v>
      </c>
    </row>
    <row r="72" spans="1:5" x14ac:dyDescent="0.25">
      <c r="A72" s="7" t="s">
        <v>4</v>
      </c>
      <c r="B72" s="7" t="s">
        <v>25</v>
      </c>
      <c r="C72" s="6">
        <f>(E67*1.1)</f>
        <v>184.8</v>
      </c>
      <c r="D72" s="5">
        <f>C72/12</f>
        <v>15.4</v>
      </c>
      <c r="E72" s="6">
        <f>C72*0.245</f>
        <v>45.276000000000003</v>
      </c>
    </row>
    <row r="73" spans="1:5" x14ac:dyDescent="0.25">
      <c r="A73" s="7" t="s">
        <v>4</v>
      </c>
      <c r="B73" s="7">
        <v>10</v>
      </c>
      <c r="C73" s="6">
        <f>(E68*1.1)</f>
        <v>155.23200000000003</v>
      </c>
      <c r="D73" s="5">
        <f>C73/12</f>
        <v>12.936000000000002</v>
      </c>
      <c r="E73" s="6">
        <f>C73*0.617</f>
        <v>95.778144000000012</v>
      </c>
    </row>
    <row r="74" spans="1:5" x14ac:dyDescent="0.25">
      <c r="A74" s="51" t="s">
        <v>10</v>
      </c>
      <c r="B74" s="52"/>
      <c r="C74" s="52"/>
      <c r="D74" s="53"/>
      <c r="E74" s="6">
        <f>SUM(E72:E73)</f>
        <v>141.05414400000001</v>
      </c>
    </row>
  </sheetData>
  <mergeCells count="34">
    <mergeCell ref="A14:E14"/>
    <mergeCell ref="A1:A2"/>
    <mergeCell ref="B1:B2"/>
    <mergeCell ref="C1:C2"/>
    <mergeCell ref="D1:E1"/>
    <mergeCell ref="A13:E13"/>
    <mergeCell ref="A39:E39"/>
    <mergeCell ref="A18:D18"/>
    <mergeCell ref="A20:A21"/>
    <mergeCell ref="B20:B21"/>
    <mergeCell ref="C20:C21"/>
    <mergeCell ref="D20:E20"/>
    <mergeCell ref="A25:E25"/>
    <mergeCell ref="A29:D29"/>
    <mergeCell ref="A31:A32"/>
    <mergeCell ref="B31:B32"/>
    <mergeCell ref="C31:C32"/>
    <mergeCell ref="D31:E31"/>
    <mergeCell ref="A40:E40"/>
    <mergeCell ref="A44:D44"/>
    <mergeCell ref="A47:A48"/>
    <mergeCell ref="B47:B48"/>
    <mergeCell ref="C47:C48"/>
    <mergeCell ref="D47:E47"/>
    <mergeCell ref="A69:E69"/>
    <mergeCell ref="A70:E70"/>
    <mergeCell ref="A74:D74"/>
    <mergeCell ref="A57:E57"/>
    <mergeCell ref="A58:E58"/>
    <mergeCell ref="A63:D63"/>
    <mergeCell ref="A65:A66"/>
    <mergeCell ref="B65:B66"/>
    <mergeCell ref="C65:C66"/>
    <mergeCell ref="D65:E6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6"/>
  <sheetViews>
    <sheetView topLeftCell="A7" workbookViewId="0">
      <selection activeCell="A11" sqref="A11:H17"/>
    </sheetView>
  </sheetViews>
  <sheetFormatPr defaultRowHeight="15" x14ac:dyDescent="0.25"/>
  <cols>
    <col min="1" max="1" width="16" customWidth="1"/>
    <col min="2" max="2" width="7.140625" customWidth="1"/>
    <col min="3" max="3" width="8.5703125" customWidth="1"/>
    <col min="4" max="4" width="12.5703125" customWidth="1"/>
    <col min="5" max="5" width="12" customWidth="1"/>
    <col min="6" max="6" width="8.7109375" customWidth="1"/>
    <col min="7" max="7" width="9" customWidth="1"/>
    <col min="8" max="8" width="9.7109375" customWidth="1"/>
  </cols>
  <sheetData>
    <row r="1" spans="1:11" x14ac:dyDescent="0.25">
      <c r="A1" s="56" t="s">
        <v>68</v>
      </c>
      <c r="B1" s="56"/>
      <c r="C1" s="56"/>
      <c r="D1" s="56"/>
      <c r="E1" s="56"/>
      <c r="F1" s="56"/>
      <c r="G1" s="56"/>
    </row>
    <row r="2" spans="1:11" ht="38.25" x14ac:dyDescent="0.25">
      <c r="A2" s="32" t="s">
        <v>62</v>
      </c>
      <c r="B2" s="32" t="s">
        <v>63</v>
      </c>
      <c r="C2" s="31" t="s">
        <v>12</v>
      </c>
      <c r="D2" s="31" t="s">
        <v>17</v>
      </c>
      <c r="E2" s="32" t="s">
        <v>0</v>
      </c>
      <c r="F2" s="32" t="s">
        <v>64</v>
      </c>
      <c r="G2" s="32" t="s">
        <v>20</v>
      </c>
    </row>
    <row r="3" spans="1:11" x14ac:dyDescent="0.25">
      <c r="A3" s="1" t="s">
        <v>67</v>
      </c>
      <c r="B3" s="36">
        <v>0.3</v>
      </c>
      <c r="C3" s="4">
        <f>3.14*(B3/2)^2</f>
        <v>7.0650000000000004E-2</v>
      </c>
      <c r="D3" s="36">
        <v>3</v>
      </c>
      <c r="E3" s="3">
        <v>12</v>
      </c>
      <c r="F3" s="3">
        <f>E3*D3</f>
        <v>36</v>
      </c>
      <c r="G3" s="3">
        <f>D3*C3*E3</f>
        <v>2.5434000000000001</v>
      </c>
    </row>
    <row r="4" spans="1:11" x14ac:dyDescent="0.25">
      <c r="A4" s="77" t="s">
        <v>18</v>
      </c>
      <c r="B4" s="78"/>
      <c r="C4" s="78"/>
      <c r="D4" s="78"/>
      <c r="E4" s="79"/>
      <c r="F4" s="30">
        <f>F3</f>
        <v>36</v>
      </c>
      <c r="G4" s="30">
        <f>SUM(G3:G3)</f>
        <v>2.5434000000000001</v>
      </c>
    </row>
    <row r="6" spans="1:11" ht="41.25" customHeight="1" x14ac:dyDescent="0.25">
      <c r="A6" s="38" t="s">
        <v>49</v>
      </c>
      <c r="B6" s="38" t="s">
        <v>50</v>
      </c>
      <c r="C6" s="38" t="s">
        <v>51</v>
      </c>
      <c r="D6" s="38" t="s">
        <v>52</v>
      </c>
      <c r="E6" s="38" t="s">
        <v>53</v>
      </c>
      <c r="F6" s="38" t="s">
        <v>69</v>
      </c>
      <c r="G6" s="38" t="s">
        <v>54</v>
      </c>
      <c r="H6" s="38" t="s">
        <v>55</v>
      </c>
      <c r="J6" s="31" t="s">
        <v>70</v>
      </c>
      <c r="K6" s="31" t="s">
        <v>71</v>
      </c>
    </row>
    <row r="7" spans="1:11" x14ac:dyDescent="0.25">
      <c r="A7" s="41" t="s">
        <v>142</v>
      </c>
      <c r="B7" s="41">
        <v>0.6</v>
      </c>
      <c r="C7" s="41">
        <v>0.6</v>
      </c>
      <c r="D7" s="41">
        <v>0.6</v>
      </c>
      <c r="E7" s="41">
        <v>8</v>
      </c>
      <c r="F7" s="19">
        <f>B7*C7*D7*E7</f>
        <v>1.728</v>
      </c>
      <c r="G7" s="41">
        <f>(B7*4)*D7*E7</f>
        <v>11.52</v>
      </c>
      <c r="H7" s="41">
        <f>0.05*B7*C7*E7</f>
        <v>0.14399999999999999</v>
      </c>
      <c r="J7" s="19">
        <f>(B7+0.25)*(C7+0.25)*(D7+0.05)*E7</f>
        <v>3.7569999999999997</v>
      </c>
      <c r="K7" s="19">
        <f>J7-H7-F7</f>
        <v>1.8849999999999996</v>
      </c>
    </row>
    <row r="8" spans="1:11" x14ac:dyDescent="0.25">
      <c r="A8" s="41" t="s">
        <v>141</v>
      </c>
      <c r="B8" s="41">
        <v>0.8</v>
      </c>
      <c r="C8" s="41">
        <v>0.8</v>
      </c>
      <c r="D8" s="41">
        <v>0.6</v>
      </c>
      <c r="E8" s="41">
        <v>4</v>
      </c>
      <c r="F8" s="19">
        <f>B8*C8*D8*E8</f>
        <v>1.5360000000000003</v>
      </c>
      <c r="G8" s="41">
        <f>(B8*4)*D8*E8</f>
        <v>7.68</v>
      </c>
      <c r="H8" s="41">
        <f>0.05*B8*C8*E8</f>
        <v>0.12800000000000003</v>
      </c>
      <c r="J8" s="19"/>
      <c r="K8" s="19"/>
    </row>
    <row r="9" spans="1:11" x14ac:dyDescent="0.25">
      <c r="A9" s="66" t="s">
        <v>56</v>
      </c>
      <c r="B9" s="66"/>
      <c r="C9" s="66"/>
      <c r="D9" s="66"/>
      <c r="E9" s="66"/>
      <c r="F9" s="20">
        <f>SUM(F7:F8)</f>
        <v>3.2640000000000002</v>
      </c>
      <c r="G9" s="18">
        <f>SUM(G7:G8)</f>
        <v>19.2</v>
      </c>
      <c r="H9" s="18">
        <f>SUM(H7:H8)</f>
        <v>0.27200000000000002</v>
      </c>
      <c r="J9" s="20">
        <f t="shared" ref="J9:K9" si="0">SUM(J7:J7)</f>
        <v>3.7569999999999997</v>
      </c>
      <c r="K9" s="20">
        <f t="shared" si="0"/>
        <v>1.8849999999999996</v>
      </c>
    </row>
    <row r="11" spans="1:11" x14ac:dyDescent="0.25">
      <c r="A11" s="80" t="s">
        <v>72</v>
      </c>
      <c r="B11" s="80"/>
      <c r="C11" s="80"/>
      <c r="D11" s="80"/>
      <c r="E11" s="80"/>
      <c r="F11" s="80"/>
      <c r="G11" s="80"/>
      <c r="H11" s="80"/>
    </row>
    <row r="12" spans="1:11" ht="30" customHeight="1" x14ac:dyDescent="0.25">
      <c r="A12" s="38" t="s">
        <v>21</v>
      </c>
      <c r="B12" s="38" t="s">
        <v>13</v>
      </c>
      <c r="C12" s="38" t="s">
        <v>15</v>
      </c>
      <c r="D12" s="38" t="s">
        <v>12</v>
      </c>
      <c r="E12" s="38" t="s">
        <v>74</v>
      </c>
      <c r="F12" s="38" t="s">
        <v>73</v>
      </c>
      <c r="G12" s="38" t="s">
        <v>20</v>
      </c>
      <c r="H12" s="38" t="s">
        <v>19</v>
      </c>
    </row>
    <row r="13" spans="1:11" x14ac:dyDescent="0.25">
      <c r="A13" s="1" t="s">
        <v>140</v>
      </c>
      <c r="B13" s="42">
        <v>0.15</v>
      </c>
      <c r="C13" s="42">
        <v>0.3</v>
      </c>
      <c r="D13" s="4">
        <f>B13*C13</f>
        <v>4.4999999999999998E-2</v>
      </c>
      <c r="E13" s="50">
        <v>8</v>
      </c>
      <c r="F13" s="42">
        <v>0.9</v>
      </c>
      <c r="G13" s="3">
        <f>F13*D13*E13</f>
        <v>0.32400000000000001</v>
      </c>
      <c r="H13" s="3">
        <f>((B13+C13)*2)*F13</f>
        <v>0.80999999999999994</v>
      </c>
    </row>
    <row r="14" spans="1:11" x14ac:dyDescent="0.25">
      <c r="A14" s="106" t="s">
        <v>137</v>
      </c>
      <c r="B14" s="42">
        <v>0.15</v>
      </c>
      <c r="C14" s="42">
        <v>0.37</v>
      </c>
      <c r="D14" s="4">
        <f t="shared" ref="D14:D16" si="1">B14*C14</f>
        <v>5.5500000000000001E-2</v>
      </c>
      <c r="E14" s="50">
        <v>2</v>
      </c>
      <c r="F14" s="42">
        <f>0.6+3.65</f>
        <v>4.25</v>
      </c>
      <c r="G14" s="3">
        <f t="shared" ref="G14:G16" si="2">F14*D14*E14</f>
        <v>0.47175</v>
      </c>
      <c r="H14" s="3">
        <f t="shared" ref="H14:H16" si="3">((B14+C14)*2)*F14</f>
        <v>4.42</v>
      </c>
    </row>
    <row r="15" spans="1:11" x14ac:dyDescent="0.25">
      <c r="A15" s="106" t="s">
        <v>138</v>
      </c>
      <c r="B15" s="42">
        <v>0.2</v>
      </c>
      <c r="C15" s="42">
        <v>0.37</v>
      </c>
      <c r="D15" s="4">
        <f t="shared" si="1"/>
        <v>7.3999999999999996E-2</v>
      </c>
      <c r="E15" s="50">
        <v>2</v>
      </c>
      <c r="F15" s="42">
        <f>0.6+3.75</f>
        <v>4.3499999999999996</v>
      </c>
      <c r="G15" s="3">
        <f t="shared" si="2"/>
        <v>0.64379999999999993</v>
      </c>
      <c r="H15" s="3">
        <f t="shared" si="3"/>
        <v>4.9590000000000005</v>
      </c>
    </row>
    <row r="16" spans="1:11" x14ac:dyDescent="0.25">
      <c r="A16" s="106" t="s">
        <v>139</v>
      </c>
      <c r="B16" s="42">
        <v>0.15</v>
      </c>
      <c r="C16" s="42">
        <v>0.31</v>
      </c>
      <c r="D16" s="4">
        <f t="shared" si="1"/>
        <v>4.65E-2</v>
      </c>
      <c r="E16" s="50">
        <v>1</v>
      </c>
      <c r="F16" s="42">
        <v>3.3</v>
      </c>
      <c r="G16" s="3">
        <f t="shared" si="2"/>
        <v>0.15345</v>
      </c>
      <c r="H16" s="3">
        <f t="shared" si="3"/>
        <v>3.0359999999999996</v>
      </c>
    </row>
    <row r="17" spans="1:8" x14ac:dyDescent="0.25">
      <c r="A17" s="74" t="s">
        <v>18</v>
      </c>
      <c r="B17" s="75"/>
      <c r="C17" s="75"/>
      <c r="D17" s="75"/>
      <c r="E17" s="75"/>
      <c r="F17" s="76"/>
      <c r="G17" s="30">
        <f>SUM(G13:G16)</f>
        <v>1.593</v>
      </c>
      <c r="H17" s="30">
        <f>SUM(H13:H16)</f>
        <v>13.225</v>
      </c>
    </row>
    <row r="19" spans="1:8" x14ac:dyDescent="0.25">
      <c r="A19" s="55" t="s">
        <v>84</v>
      </c>
      <c r="B19" s="55"/>
      <c r="C19" s="55"/>
      <c r="D19" s="55"/>
      <c r="E19" s="55"/>
      <c r="F19" s="55"/>
      <c r="G19" s="55"/>
      <c r="H19" s="55"/>
    </row>
    <row r="20" spans="1:8" ht="51" x14ac:dyDescent="0.25">
      <c r="A20" s="31" t="s">
        <v>21</v>
      </c>
      <c r="B20" s="31" t="s">
        <v>16</v>
      </c>
      <c r="C20" s="31" t="s">
        <v>14</v>
      </c>
      <c r="D20" s="31" t="s">
        <v>12</v>
      </c>
      <c r="E20" s="31" t="s">
        <v>17</v>
      </c>
      <c r="F20" s="31" t="s">
        <v>20</v>
      </c>
      <c r="G20" s="31" t="s">
        <v>19</v>
      </c>
      <c r="H20" s="31" t="s">
        <v>26</v>
      </c>
    </row>
    <row r="21" spans="1:8" x14ac:dyDescent="0.25">
      <c r="A21" s="1" t="s">
        <v>79</v>
      </c>
      <c r="B21" s="36">
        <v>0.15</v>
      </c>
      <c r="C21" s="36">
        <v>0.3</v>
      </c>
      <c r="D21" s="28">
        <f>B21*C21</f>
        <v>4.4999999999999998E-2</v>
      </c>
      <c r="E21" s="36">
        <v>1.3</v>
      </c>
      <c r="F21" s="3">
        <f>E21*D21</f>
        <v>5.8499999999999996E-2</v>
      </c>
      <c r="G21" s="3">
        <f>E21*C21*2</f>
        <v>0.78</v>
      </c>
      <c r="H21" s="3">
        <f>(E21*(B21))*0.05</f>
        <v>9.7500000000000017E-3</v>
      </c>
    </row>
    <row r="22" spans="1:8" x14ac:dyDescent="0.25">
      <c r="A22" s="1"/>
      <c r="B22" s="1"/>
      <c r="C22" s="1"/>
      <c r="D22" s="1"/>
      <c r="E22" s="29" t="s">
        <v>18</v>
      </c>
      <c r="F22" s="30">
        <f>SUM(F21:F21)</f>
        <v>5.8499999999999996E-2</v>
      </c>
      <c r="G22" s="30">
        <f>SUM(G21:G21)</f>
        <v>0.78</v>
      </c>
      <c r="H22" s="30">
        <f>SUM(H21:H21)</f>
        <v>9.7500000000000017E-3</v>
      </c>
    </row>
    <row r="24" spans="1:8" x14ac:dyDescent="0.25">
      <c r="A24" s="71" t="s">
        <v>85</v>
      </c>
      <c r="B24" s="72"/>
      <c r="C24" s="72"/>
      <c r="D24" s="72"/>
      <c r="E24" s="72"/>
      <c r="F24" s="72"/>
      <c r="G24" s="73"/>
    </row>
    <row r="25" spans="1:8" ht="25.5" x14ac:dyDescent="0.25">
      <c r="A25" s="31" t="s">
        <v>21</v>
      </c>
      <c r="B25" s="31" t="s">
        <v>16</v>
      </c>
      <c r="C25" s="31" t="s">
        <v>14</v>
      </c>
      <c r="D25" s="31" t="s">
        <v>12</v>
      </c>
      <c r="E25" s="31" t="s">
        <v>17</v>
      </c>
      <c r="F25" s="31" t="s">
        <v>20</v>
      </c>
      <c r="G25" s="31" t="s">
        <v>19</v>
      </c>
    </row>
    <row r="26" spans="1:8" x14ac:dyDescent="0.25">
      <c r="A26" s="1" t="s">
        <v>11</v>
      </c>
      <c r="B26" s="36">
        <v>0.15</v>
      </c>
      <c r="C26" s="36">
        <v>0.3</v>
      </c>
      <c r="D26" s="28">
        <f>B26*C26</f>
        <v>4.4999999999999998E-2</v>
      </c>
      <c r="E26" s="36">
        <v>1.3</v>
      </c>
      <c r="F26" s="3">
        <f>E26*D26</f>
        <v>5.8499999999999996E-2</v>
      </c>
      <c r="G26" s="3">
        <f>(B26+C26+C26)*E26</f>
        <v>0.97500000000000009</v>
      </c>
    </row>
    <row r="27" spans="1:8" x14ac:dyDescent="0.25">
      <c r="A27" s="1" t="s">
        <v>80</v>
      </c>
      <c r="B27" s="36">
        <v>0.15</v>
      </c>
      <c r="C27" s="36">
        <v>0.3</v>
      </c>
      <c r="D27" s="28">
        <f t="shared" ref="D27:D30" si="4">B27*C27</f>
        <v>4.4999999999999998E-2</v>
      </c>
      <c r="E27" s="36">
        <v>3.27</v>
      </c>
      <c r="F27" s="3">
        <f t="shared" ref="F27:F30" si="5">E27*D27</f>
        <v>0.14715</v>
      </c>
      <c r="G27" s="3">
        <f t="shared" ref="G27:G30" si="6">(B27+C27+C27)*E27</f>
        <v>2.4525000000000001</v>
      </c>
    </row>
    <row r="28" spans="1:8" x14ac:dyDescent="0.25">
      <c r="A28" s="1" t="s">
        <v>81</v>
      </c>
      <c r="B28" s="36">
        <v>0.15</v>
      </c>
      <c r="C28" s="36">
        <v>0.3</v>
      </c>
      <c r="D28" s="28">
        <f t="shared" si="4"/>
        <v>4.4999999999999998E-2</v>
      </c>
      <c r="E28" s="36">
        <v>9.9700000000000006</v>
      </c>
      <c r="F28" s="3">
        <f t="shared" si="5"/>
        <v>0.44864999999999999</v>
      </c>
      <c r="G28" s="3">
        <f t="shared" si="6"/>
        <v>7.4775000000000009</v>
      </c>
    </row>
    <row r="29" spans="1:8" x14ac:dyDescent="0.25">
      <c r="A29" s="1" t="s">
        <v>82</v>
      </c>
      <c r="B29" s="36">
        <v>0.15</v>
      </c>
      <c r="C29" s="36">
        <v>0.3</v>
      </c>
      <c r="D29" s="28">
        <f t="shared" si="4"/>
        <v>4.4999999999999998E-2</v>
      </c>
      <c r="E29" s="36">
        <v>7.4</v>
      </c>
      <c r="F29" s="3">
        <f t="shared" si="5"/>
        <v>0.33300000000000002</v>
      </c>
      <c r="G29" s="3">
        <f t="shared" si="6"/>
        <v>5.5500000000000007</v>
      </c>
    </row>
    <row r="30" spans="1:8" x14ac:dyDescent="0.25">
      <c r="A30" s="1" t="s">
        <v>83</v>
      </c>
      <c r="B30" s="36">
        <v>0.15</v>
      </c>
      <c r="C30" s="36">
        <v>0.3</v>
      </c>
      <c r="D30" s="28">
        <f t="shared" si="4"/>
        <v>4.4999999999999998E-2</v>
      </c>
      <c r="E30" s="36">
        <v>7.39</v>
      </c>
      <c r="F30" s="3">
        <f t="shared" si="5"/>
        <v>0.33254999999999996</v>
      </c>
      <c r="G30" s="3">
        <f t="shared" si="6"/>
        <v>5.5424999999999995</v>
      </c>
    </row>
    <row r="31" spans="1:8" x14ac:dyDescent="0.25">
      <c r="A31" s="51" t="s">
        <v>18</v>
      </c>
      <c r="B31" s="52"/>
      <c r="C31" s="52"/>
      <c r="D31" s="52"/>
      <c r="E31" s="53"/>
      <c r="F31" s="30">
        <f>SUM(F26:F30)</f>
        <v>1.31985</v>
      </c>
      <c r="G31" s="30">
        <f>SUM(G26:G30)</f>
        <v>21.997500000000002</v>
      </c>
    </row>
    <row r="33" spans="1:7" x14ac:dyDescent="0.25">
      <c r="A33" s="94" t="s">
        <v>133</v>
      </c>
      <c r="B33" s="95"/>
      <c r="C33" s="95"/>
      <c r="D33" s="95"/>
      <c r="E33" s="95"/>
      <c r="F33" s="95"/>
      <c r="G33" s="96"/>
    </row>
    <row r="34" spans="1:7" ht="25.5" x14ac:dyDescent="0.25">
      <c r="A34" s="97" t="s">
        <v>21</v>
      </c>
      <c r="B34" s="97" t="s">
        <v>16</v>
      </c>
      <c r="C34" s="97" t="s">
        <v>14</v>
      </c>
      <c r="D34" s="97" t="s">
        <v>12</v>
      </c>
      <c r="E34" s="97" t="s">
        <v>17</v>
      </c>
      <c r="F34" s="97" t="s">
        <v>20</v>
      </c>
      <c r="G34" s="97" t="s">
        <v>19</v>
      </c>
    </row>
    <row r="35" spans="1:7" x14ac:dyDescent="0.25">
      <c r="A35" s="98" t="s">
        <v>134</v>
      </c>
      <c r="B35" s="99">
        <v>0.15</v>
      </c>
      <c r="C35" s="99">
        <v>0.3</v>
      </c>
      <c r="D35" s="100">
        <f>B35*C35</f>
        <v>4.4999999999999998E-2</v>
      </c>
      <c r="E35" s="99">
        <v>1.3</v>
      </c>
      <c r="F35" s="101">
        <f>E35*D35</f>
        <v>5.8499999999999996E-2</v>
      </c>
      <c r="G35" s="101">
        <f>(B35+C35+C35)*E35</f>
        <v>0.97500000000000009</v>
      </c>
    </row>
    <row r="36" spans="1:7" x14ac:dyDescent="0.25">
      <c r="A36" s="98" t="s">
        <v>135</v>
      </c>
      <c r="B36" s="99">
        <v>0.15</v>
      </c>
      <c r="C36" s="99">
        <v>0.3</v>
      </c>
      <c r="D36" s="100">
        <f t="shared" ref="D36:D37" si="7">B36*C36</f>
        <v>4.4999999999999998E-2</v>
      </c>
      <c r="E36" s="99">
        <v>3.27</v>
      </c>
      <c r="F36" s="101">
        <f t="shared" ref="F36:F37" si="8">E36*D36</f>
        <v>0.14715</v>
      </c>
      <c r="G36" s="101">
        <f t="shared" ref="G36:G37" si="9">(B36+C36+C36)*E36</f>
        <v>2.4525000000000001</v>
      </c>
    </row>
    <row r="37" spans="1:7" x14ac:dyDescent="0.25">
      <c r="A37" s="98" t="s">
        <v>136</v>
      </c>
      <c r="B37" s="99">
        <v>0.15</v>
      </c>
      <c r="C37" s="99">
        <v>0.3</v>
      </c>
      <c r="D37" s="100">
        <f t="shared" si="7"/>
        <v>4.4999999999999998E-2</v>
      </c>
      <c r="E37" s="99">
        <v>9.9700000000000006</v>
      </c>
      <c r="F37" s="101">
        <f t="shared" si="8"/>
        <v>0.44864999999999999</v>
      </c>
      <c r="G37" s="101">
        <f t="shared" si="9"/>
        <v>7.4775000000000009</v>
      </c>
    </row>
    <row r="38" spans="1:7" x14ac:dyDescent="0.25">
      <c r="A38" s="102" t="s">
        <v>18</v>
      </c>
      <c r="B38" s="103"/>
      <c r="C38" s="103"/>
      <c r="D38" s="103"/>
      <c r="E38" s="104"/>
      <c r="F38" s="105">
        <f>SUM(F35:F37)</f>
        <v>0.65429999999999999</v>
      </c>
      <c r="G38" s="105">
        <f>SUM(G35:G37)</f>
        <v>10.905000000000001</v>
      </c>
    </row>
    <row r="45" spans="1:7" x14ac:dyDescent="0.25">
      <c r="A45" t="s">
        <v>87</v>
      </c>
    </row>
    <row r="46" spans="1:7" x14ac:dyDescent="0.25">
      <c r="A46" t="s">
        <v>86</v>
      </c>
    </row>
  </sheetData>
  <mergeCells count="10">
    <mergeCell ref="A33:G33"/>
    <mergeCell ref="A38:E38"/>
    <mergeCell ref="A24:G24"/>
    <mergeCell ref="A31:E31"/>
    <mergeCell ref="A17:F17"/>
    <mergeCell ref="A1:G1"/>
    <mergeCell ref="A9:E9"/>
    <mergeCell ref="A4:E4"/>
    <mergeCell ref="A11:H11"/>
    <mergeCell ref="A19:H1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4"/>
  <sheetViews>
    <sheetView zoomScaleNormal="100" workbookViewId="0">
      <selection activeCell="C10" sqref="C10:E10"/>
    </sheetView>
  </sheetViews>
  <sheetFormatPr defaultRowHeight="12.75" x14ac:dyDescent="0.25"/>
  <cols>
    <col min="1" max="1" width="8" style="45" customWidth="1"/>
    <col min="2" max="2" width="21.7109375" style="2" customWidth="1"/>
    <col min="3" max="3" width="11" style="2" bestFit="1" customWidth="1"/>
    <col min="4" max="4" width="9.85546875" style="2" bestFit="1" customWidth="1"/>
    <col min="5" max="5" width="9.5703125" style="2" bestFit="1" customWidth="1"/>
    <col min="6" max="6" width="15.28515625" style="2" bestFit="1" customWidth="1"/>
    <col min="7" max="16384" width="9.140625" style="2"/>
  </cols>
  <sheetData>
    <row r="1" spans="1:20" x14ac:dyDescent="0.25">
      <c r="A1" s="89" t="s">
        <v>88</v>
      </c>
      <c r="B1" s="89"/>
      <c r="C1" s="89"/>
      <c r="D1" s="89"/>
      <c r="E1" s="89"/>
      <c r="F1" s="89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2" customHeight="1" x14ac:dyDescent="0.25">
      <c r="A2" s="8" t="s">
        <v>89</v>
      </c>
      <c r="B2" s="49" t="s">
        <v>90</v>
      </c>
      <c r="C2" s="89" t="s">
        <v>108</v>
      </c>
      <c r="D2" s="89"/>
      <c r="E2" s="89"/>
      <c r="F2" s="8" t="s">
        <v>94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5" customHeight="1" x14ac:dyDescent="0.25">
      <c r="A3" s="81">
        <v>1</v>
      </c>
      <c r="B3" s="90" t="s">
        <v>113</v>
      </c>
      <c r="C3" s="36" t="s">
        <v>93</v>
      </c>
      <c r="D3" s="36" t="s">
        <v>57</v>
      </c>
      <c r="E3" s="36" t="s">
        <v>92</v>
      </c>
      <c r="F3" s="85">
        <f>E5+E7+E9+E11+E13+E15+E17+E19+E21+E23+E25+E27+E29</f>
        <v>15.972000000000001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5.75" customHeight="1" x14ac:dyDescent="0.25">
      <c r="A4" s="82"/>
      <c r="B4" s="91"/>
      <c r="C4" s="84" t="s">
        <v>91</v>
      </c>
      <c r="D4" s="84"/>
      <c r="E4" s="84"/>
      <c r="F4" s="8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5">
      <c r="A5" s="82"/>
      <c r="B5" s="91"/>
      <c r="C5" s="36">
        <v>1</v>
      </c>
      <c r="D5" s="36">
        <v>0.9</v>
      </c>
      <c r="E5" s="36">
        <f>D5*C5</f>
        <v>0.9</v>
      </c>
      <c r="F5" s="85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x14ac:dyDescent="0.25">
      <c r="A6" s="82"/>
      <c r="B6" s="91"/>
      <c r="C6" s="84" t="s">
        <v>96</v>
      </c>
      <c r="D6" s="84"/>
      <c r="E6" s="84"/>
      <c r="F6" s="8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x14ac:dyDescent="0.25">
      <c r="A7" s="82"/>
      <c r="B7" s="91"/>
      <c r="C7" s="36">
        <v>2.96</v>
      </c>
      <c r="D7" s="36">
        <v>0.6</v>
      </c>
      <c r="E7" s="36">
        <f>D7*C7</f>
        <v>1.776</v>
      </c>
      <c r="F7" s="8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x14ac:dyDescent="0.25">
      <c r="A8" s="82"/>
      <c r="B8" s="91"/>
      <c r="C8" s="84" t="s">
        <v>97</v>
      </c>
      <c r="D8" s="84"/>
      <c r="E8" s="84"/>
      <c r="F8" s="8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x14ac:dyDescent="0.25">
      <c r="A9" s="82"/>
      <c r="B9" s="91"/>
      <c r="C9" s="36">
        <v>1.07</v>
      </c>
      <c r="D9" s="36">
        <v>0.6</v>
      </c>
      <c r="E9" s="36">
        <f>D9*C9</f>
        <v>0.64200000000000002</v>
      </c>
      <c r="F9" s="85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x14ac:dyDescent="0.25">
      <c r="A10" s="82"/>
      <c r="B10" s="91"/>
      <c r="C10" s="84" t="s">
        <v>98</v>
      </c>
      <c r="D10" s="84"/>
      <c r="E10" s="84"/>
      <c r="F10" s="85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x14ac:dyDescent="0.25">
      <c r="A11" s="82"/>
      <c r="B11" s="91"/>
      <c r="C11" s="36">
        <v>2.2000000000000002</v>
      </c>
      <c r="D11" s="36">
        <v>0.6</v>
      </c>
      <c r="E11" s="36">
        <f>D11*C11</f>
        <v>1.32</v>
      </c>
      <c r="F11" s="85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x14ac:dyDescent="0.25">
      <c r="A12" s="82"/>
      <c r="B12" s="91"/>
      <c r="C12" s="84" t="s">
        <v>99</v>
      </c>
      <c r="D12" s="84"/>
      <c r="E12" s="84"/>
      <c r="F12" s="85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x14ac:dyDescent="0.25">
      <c r="A13" s="82"/>
      <c r="B13" s="91"/>
      <c r="C13" s="36">
        <v>2.2000000000000002</v>
      </c>
      <c r="D13" s="36">
        <v>0.6</v>
      </c>
      <c r="E13" s="36">
        <f>D13*C13</f>
        <v>1.32</v>
      </c>
      <c r="F13" s="85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x14ac:dyDescent="0.25">
      <c r="A14" s="82"/>
      <c r="B14" s="91"/>
      <c r="C14" s="84" t="s">
        <v>100</v>
      </c>
      <c r="D14" s="84"/>
      <c r="E14" s="84"/>
      <c r="F14" s="85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x14ac:dyDescent="0.25">
      <c r="A15" s="82"/>
      <c r="B15" s="91"/>
      <c r="C15" s="36">
        <v>2.2000000000000002</v>
      </c>
      <c r="D15" s="36">
        <v>0.6</v>
      </c>
      <c r="E15" s="36">
        <f>D15*C15</f>
        <v>1.32</v>
      </c>
      <c r="F15" s="85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x14ac:dyDescent="0.25">
      <c r="A16" s="82"/>
      <c r="B16" s="91"/>
      <c r="C16" s="84" t="s">
        <v>101</v>
      </c>
      <c r="D16" s="84"/>
      <c r="E16" s="84"/>
      <c r="F16" s="85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x14ac:dyDescent="0.25">
      <c r="A17" s="82"/>
      <c r="B17" s="91"/>
      <c r="C17" s="36">
        <v>1.1000000000000001</v>
      </c>
      <c r="D17" s="36">
        <v>0.6</v>
      </c>
      <c r="E17" s="36">
        <f>D17*C17</f>
        <v>0.66</v>
      </c>
      <c r="F17" s="85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x14ac:dyDescent="0.25">
      <c r="A18" s="82"/>
      <c r="B18" s="91"/>
      <c r="C18" s="84" t="s">
        <v>102</v>
      </c>
      <c r="D18" s="84"/>
      <c r="E18" s="84"/>
      <c r="F18" s="85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x14ac:dyDescent="0.25">
      <c r="A19" s="82"/>
      <c r="B19" s="91"/>
      <c r="C19" s="36">
        <v>1.85</v>
      </c>
      <c r="D19" s="36">
        <v>0.6</v>
      </c>
      <c r="E19" s="36">
        <f>D19*C19</f>
        <v>1.1100000000000001</v>
      </c>
      <c r="F19" s="8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x14ac:dyDescent="0.25">
      <c r="A20" s="82"/>
      <c r="B20" s="91"/>
      <c r="C20" s="84" t="s">
        <v>103</v>
      </c>
      <c r="D20" s="84"/>
      <c r="E20" s="84"/>
      <c r="F20" s="85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x14ac:dyDescent="0.25">
      <c r="A21" s="82"/>
      <c r="B21" s="91"/>
      <c r="C21" s="36">
        <v>2.04</v>
      </c>
      <c r="D21" s="36">
        <v>0.6</v>
      </c>
      <c r="E21" s="36">
        <f>D21*C21</f>
        <v>1.224</v>
      </c>
      <c r="F21" s="85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x14ac:dyDescent="0.25">
      <c r="A22" s="82"/>
      <c r="B22" s="91"/>
      <c r="C22" s="84" t="s">
        <v>104</v>
      </c>
      <c r="D22" s="84"/>
      <c r="E22" s="84"/>
      <c r="F22" s="85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x14ac:dyDescent="0.25">
      <c r="A23" s="82"/>
      <c r="B23" s="91"/>
      <c r="C23" s="36">
        <v>2.81</v>
      </c>
      <c r="D23" s="36">
        <v>0.6</v>
      </c>
      <c r="E23" s="36">
        <f>D23*C23</f>
        <v>1.6859999999999999</v>
      </c>
      <c r="F23" s="85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x14ac:dyDescent="0.25">
      <c r="A24" s="82"/>
      <c r="B24" s="91"/>
      <c r="C24" s="84" t="s">
        <v>105</v>
      </c>
      <c r="D24" s="84"/>
      <c r="E24" s="84"/>
      <c r="F24" s="85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x14ac:dyDescent="0.25">
      <c r="A25" s="82"/>
      <c r="B25" s="91"/>
      <c r="C25" s="36">
        <v>2.81</v>
      </c>
      <c r="D25" s="36">
        <v>0.6</v>
      </c>
      <c r="E25" s="36">
        <f>D25*C25</f>
        <v>1.6859999999999999</v>
      </c>
      <c r="F25" s="8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x14ac:dyDescent="0.25">
      <c r="A26" s="82"/>
      <c r="B26" s="91"/>
      <c r="C26" s="84" t="s">
        <v>106</v>
      </c>
      <c r="D26" s="84"/>
      <c r="E26" s="84"/>
      <c r="F26" s="85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x14ac:dyDescent="0.25">
      <c r="A27" s="82"/>
      <c r="B27" s="91"/>
      <c r="C27" s="36">
        <v>2.04</v>
      </c>
      <c r="D27" s="36">
        <v>0.6</v>
      </c>
      <c r="E27" s="36">
        <f>D27*C27</f>
        <v>1.224</v>
      </c>
      <c r="F27" s="85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x14ac:dyDescent="0.25">
      <c r="A28" s="82"/>
      <c r="B28" s="91"/>
      <c r="C28" s="84" t="s">
        <v>107</v>
      </c>
      <c r="D28" s="84"/>
      <c r="E28" s="84"/>
      <c r="F28" s="85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83"/>
      <c r="B29" s="92"/>
      <c r="C29" s="36">
        <v>1.84</v>
      </c>
      <c r="D29" s="36">
        <v>0.6</v>
      </c>
      <c r="E29" s="36">
        <f>D29*C29</f>
        <v>1.1040000000000001</v>
      </c>
      <c r="F29" s="85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x14ac:dyDescent="0.25">
      <c r="A30" s="88"/>
      <c r="B30" s="88"/>
      <c r="C30" s="88"/>
      <c r="D30" s="88"/>
      <c r="E30" s="88"/>
      <c r="F30" s="88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x14ac:dyDescent="0.25">
      <c r="A31" s="87">
        <v>2</v>
      </c>
      <c r="B31" s="84" t="s">
        <v>112</v>
      </c>
      <c r="C31" s="36" t="s">
        <v>93</v>
      </c>
      <c r="D31" s="36" t="s">
        <v>57</v>
      </c>
      <c r="E31" s="36" t="s">
        <v>92</v>
      </c>
      <c r="F31" s="85">
        <f>(E33+E35+E37+E39+E41)*2</f>
        <v>54.354000000000006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x14ac:dyDescent="0.25">
      <c r="A32" s="87"/>
      <c r="B32" s="84"/>
      <c r="C32" s="84" t="s">
        <v>114</v>
      </c>
      <c r="D32" s="84"/>
      <c r="E32" s="84"/>
      <c r="F32" s="85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x14ac:dyDescent="0.25">
      <c r="A33" s="87"/>
      <c r="B33" s="84"/>
      <c r="C33" s="36">
        <v>1.3</v>
      </c>
      <c r="D33" s="36">
        <v>1.5</v>
      </c>
      <c r="E33" s="36">
        <f>D33*C33</f>
        <v>1.9500000000000002</v>
      </c>
      <c r="F33" s="8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x14ac:dyDescent="0.25">
      <c r="A34" s="87"/>
      <c r="B34" s="84"/>
      <c r="C34" s="84" t="s">
        <v>115</v>
      </c>
      <c r="D34" s="84"/>
      <c r="E34" s="84"/>
      <c r="F34" s="85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x14ac:dyDescent="0.25">
      <c r="A35" s="87"/>
      <c r="B35" s="84"/>
      <c r="C35" s="36">
        <v>3.27</v>
      </c>
      <c r="D35" s="36">
        <v>0.9</v>
      </c>
      <c r="E35" s="36">
        <f>D35*C35</f>
        <v>2.9430000000000001</v>
      </c>
      <c r="F35" s="85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x14ac:dyDescent="0.25">
      <c r="A36" s="87"/>
      <c r="B36" s="84"/>
      <c r="C36" s="84" t="s">
        <v>116</v>
      </c>
      <c r="D36" s="84"/>
      <c r="E36" s="84"/>
      <c r="F36" s="8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x14ac:dyDescent="0.25">
      <c r="A37" s="87"/>
      <c r="B37" s="84"/>
      <c r="C37" s="36">
        <v>9.9700000000000006</v>
      </c>
      <c r="D37" s="36">
        <v>0.9</v>
      </c>
      <c r="E37" s="36">
        <f>D37*C37</f>
        <v>8.9730000000000008</v>
      </c>
      <c r="F37" s="85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x14ac:dyDescent="0.25">
      <c r="A38" s="87"/>
      <c r="B38" s="84"/>
      <c r="C38" s="84" t="s">
        <v>117</v>
      </c>
      <c r="D38" s="84"/>
      <c r="E38" s="84"/>
      <c r="F38" s="85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x14ac:dyDescent="0.25">
      <c r="A39" s="87"/>
      <c r="B39" s="84"/>
      <c r="C39" s="36">
        <v>7.4</v>
      </c>
      <c r="D39" s="36">
        <v>0.9</v>
      </c>
      <c r="E39" s="36">
        <f>D39*C39</f>
        <v>6.66</v>
      </c>
      <c r="F39" s="8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x14ac:dyDescent="0.25">
      <c r="A40" s="87"/>
      <c r="B40" s="84"/>
      <c r="C40" s="84" t="s">
        <v>118</v>
      </c>
      <c r="D40" s="84"/>
      <c r="E40" s="84"/>
      <c r="F40" s="85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x14ac:dyDescent="0.25">
      <c r="A41" s="87"/>
      <c r="B41" s="84"/>
      <c r="C41" s="36">
        <v>7.39</v>
      </c>
      <c r="D41" s="36">
        <v>0.9</v>
      </c>
      <c r="E41" s="36">
        <f>D41*C41</f>
        <v>6.6509999999999998</v>
      </c>
      <c r="F41" s="85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x14ac:dyDescent="0.25">
      <c r="A42" s="88"/>
      <c r="B42" s="88"/>
      <c r="C42" s="88"/>
      <c r="D42" s="88"/>
      <c r="E42" s="88"/>
      <c r="F42" s="88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8" customHeight="1" x14ac:dyDescent="0.25">
      <c r="A43" s="87">
        <v>3</v>
      </c>
      <c r="B43" s="86" t="s">
        <v>95</v>
      </c>
      <c r="C43" s="28" t="s">
        <v>109</v>
      </c>
      <c r="D43" s="28" t="s">
        <v>110</v>
      </c>
      <c r="E43" s="28" t="s">
        <v>111</v>
      </c>
      <c r="F43" s="85">
        <f>C44+D44+E44</f>
        <v>22.060000000000002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ht="18" customHeight="1" x14ac:dyDescent="0.25">
      <c r="A44" s="87"/>
      <c r="B44" s="86"/>
      <c r="C44" s="36">
        <v>9.9700000000000006</v>
      </c>
      <c r="D44" s="36">
        <v>9.9700000000000006</v>
      </c>
      <c r="E44" s="36">
        <v>2.12</v>
      </c>
      <c r="F44" s="85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x14ac:dyDescent="0.25">
      <c r="A45" s="47"/>
      <c r="B45" s="43"/>
      <c r="C45" s="43"/>
      <c r="D45" s="43"/>
      <c r="E45" s="43"/>
      <c r="F45" s="44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x14ac:dyDescent="0.25">
      <c r="A46" s="47"/>
      <c r="B46" s="43"/>
      <c r="C46" s="43"/>
      <c r="D46" s="43"/>
      <c r="E46" s="43"/>
      <c r="F46" s="4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x14ac:dyDescent="0.25">
      <c r="A47" s="47"/>
      <c r="B47" s="43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x14ac:dyDescent="0.25">
      <c r="A48" s="47"/>
      <c r="B48" s="43"/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x14ac:dyDescent="0.25">
      <c r="A49" s="44"/>
      <c r="B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x14ac:dyDescent="0.25">
      <c r="A50" s="44"/>
      <c r="B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 x14ac:dyDescent="0.25">
      <c r="A51" s="44"/>
      <c r="B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x14ac:dyDescent="0.25">
      <c r="A52" s="44"/>
      <c r="B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x14ac:dyDescent="0.25">
      <c r="A53" s="44"/>
      <c r="B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x14ac:dyDescent="0.25">
      <c r="A54" s="44"/>
      <c r="B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x14ac:dyDescent="0.25">
      <c r="A55" s="44"/>
      <c r="B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0" x14ac:dyDescent="0.25">
      <c r="A56" s="44"/>
      <c r="B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1:20" x14ac:dyDescent="0.25">
      <c r="A57" s="44"/>
      <c r="B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x14ac:dyDescent="0.25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x14ac:dyDescent="0.25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x14ac:dyDescent="0.25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0" x14ac:dyDescent="0.25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x14ac:dyDescent="0.25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x14ac:dyDescent="0.25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x14ac:dyDescent="0.25">
      <c r="A64" s="4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</sheetData>
  <mergeCells count="31">
    <mergeCell ref="A1:F1"/>
    <mergeCell ref="C6:E6"/>
    <mergeCell ref="C8:E8"/>
    <mergeCell ref="C2:E2"/>
    <mergeCell ref="B3:B29"/>
    <mergeCell ref="C10:E10"/>
    <mergeCell ref="C26:E26"/>
    <mergeCell ref="C12:E12"/>
    <mergeCell ref="C14:E14"/>
    <mergeCell ref="C16:E16"/>
    <mergeCell ref="C18:E18"/>
    <mergeCell ref="C20:E20"/>
    <mergeCell ref="C22:E22"/>
    <mergeCell ref="C24:E24"/>
    <mergeCell ref="C4:E4"/>
    <mergeCell ref="C40:E40"/>
    <mergeCell ref="F31:F41"/>
    <mergeCell ref="F3:F29"/>
    <mergeCell ref="B43:B44"/>
    <mergeCell ref="A43:A44"/>
    <mergeCell ref="F43:F44"/>
    <mergeCell ref="A30:F30"/>
    <mergeCell ref="A42:F42"/>
    <mergeCell ref="B31:B41"/>
    <mergeCell ref="A31:A41"/>
    <mergeCell ref="C28:E28"/>
    <mergeCell ref="A3:A29"/>
    <mergeCell ref="C32:E32"/>
    <mergeCell ref="C34:E34"/>
    <mergeCell ref="C36:E36"/>
    <mergeCell ref="C38:E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Escada Acesso A</vt:lpstr>
      <vt:lpstr>Escada Acesso Pórtico</vt:lpstr>
      <vt:lpstr>Armação</vt:lpstr>
      <vt:lpstr>Concreto</vt:lpstr>
      <vt:lpstr>Lista de Materiais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Catiele Silvério da Silva</dc:creator>
  <cp:lastModifiedBy>User</cp:lastModifiedBy>
  <cp:lastPrinted>2017-08-25T18:56:04Z</cp:lastPrinted>
  <dcterms:created xsi:type="dcterms:W3CDTF">2017-07-20T13:37:37Z</dcterms:created>
  <dcterms:modified xsi:type="dcterms:W3CDTF">2019-08-16T19:41:57Z</dcterms:modified>
</cp:coreProperties>
</file>