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730" windowHeight="11625" tabRatio="497" firstSheet="10" activeTab="13"/>
  </bookViews>
  <sheets>
    <sheet name="Orçamentos Insumos" sheetId="15" r:id="rId1"/>
    <sheet name="Insumos Básicos" sheetId="1" r:id="rId2"/>
    <sheet name="Cálculo da Receita Bruta" sheetId="2" r:id="rId3"/>
    <sheet name="Custo por Vaga" sheetId="3" r:id="rId4"/>
    <sheet name="Investimentos Iniciais" sheetId="4" r:id="rId5"/>
    <sheet name="Encargos" sheetId="5" r:id="rId6"/>
    <sheet name="Composição Despesas Pessoal" sheetId="6" r:id="rId7"/>
    <sheet name="Comp Desp Benef Social" sheetId="7" r:id="rId8"/>
    <sheet name="Comp Desp Geral" sheetId="8" r:id="rId9"/>
    <sheet name="Comp Deprec Maq e Equip" sheetId="10" r:id="rId10"/>
    <sheet name="Encargos Sociais" sheetId="11" r:id="rId11"/>
    <sheet name="Orçamento do Custo do Serviço" sheetId="12" r:id="rId12"/>
    <sheet name="Resultado Projetado" sheetId="13" r:id="rId13"/>
    <sheet name="Fluxo de Caixa" sheetId="14" r:id="rId14"/>
  </sheets>
  <definedNames>
    <definedName name="_xlnm.Print_Area" localSheetId="13">'Fluxo de Caixa'!$B$2:$M$33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2" i="1"/>
  <c r="J5" i="2" l="1"/>
  <c r="I11" i="10"/>
  <c r="G48"/>
  <c r="G46"/>
  <c r="G45"/>
  <c r="F48"/>
  <c r="F47"/>
  <c r="F46"/>
  <c r="F45"/>
  <c r="J4" i="13"/>
  <c r="J11" s="1"/>
  <c r="I4"/>
  <c r="I52" s="1"/>
  <c r="D7" i="8"/>
  <c r="D19" i="6"/>
  <c r="D13"/>
  <c r="D12"/>
  <c r="I53" i="13" l="1"/>
  <c r="I11"/>
  <c r="K4"/>
  <c r="K11" s="1"/>
  <c r="I51"/>
  <c r="H45" i="10"/>
  <c r="H48"/>
  <c r="H46"/>
  <c r="E10" i="4"/>
  <c r="E9"/>
  <c r="E6"/>
  <c r="E5"/>
  <c r="E17"/>
  <c r="F22" i="15"/>
  <c r="F21"/>
  <c r="F20"/>
  <c r="F19"/>
  <c r="G18"/>
  <c r="G17"/>
  <c r="E20" i="4" s="1"/>
  <c r="F16" i="15"/>
  <c r="F15"/>
  <c r="F14"/>
  <c r="G13"/>
  <c r="E11" i="4" s="1"/>
  <c r="G12" i="15"/>
  <c r="G11"/>
  <c r="G10"/>
  <c r="E8" i="4" s="1"/>
  <c r="G9" i="15"/>
  <c r="E7" i="4" s="1"/>
  <c r="G8" i="15"/>
  <c r="G7"/>
  <c r="G6"/>
  <c r="E16" i="4" s="1"/>
  <c r="G5" i="15"/>
  <c r="E15" i="4" s="1"/>
  <c r="D6" i="6"/>
  <c r="D26" i="4"/>
  <c r="L4" i="13" l="1"/>
  <c r="L11" s="1"/>
  <c r="G14" i="15"/>
  <c r="G19"/>
  <c r="E19" i="4"/>
  <c r="E45" i="8"/>
  <c r="E44"/>
  <c r="D45"/>
  <c r="D44"/>
  <c r="D32"/>
  <c r="E31"/>
  <c r="E30"/>
  <c r="F30" s="1"/>
  <c r="E29"/>
  <c r="E23"/>
  <c r="E21"/>
  <c r="E20"/>
  <c r="F71" i="1"/>
  <c r="D59" i="12" s="1"/>
  <c r="F64" i="1"/>
  <c r="D52" i="12" s="1"/>
  <c r="G52" s="1"/>
  <c r="E63" i="1"/>
  <c r="D11" i="5"/>
  <c r="M4" i="13" l="1"/>
  <c r="M11" s="1"/>
  <c r="F31" i="8"/>
  <c r="F62" i="1"/>
  <c r="F29" i="8" s="1"/>
  <c r="N4" i="13" l="1"/>
  <c r="N11" s="1"/>
  <c r="E68" i="1"/>
  <c r="E38" i="8" s="1"/>
  <c r="E75" i="1"/>
  <c r="G5" i="2"/>
  <c r="H5" s="1"/>
  <c r="I5" s="1"/>
  <c r="O4" i="13" l="1"/>
  <c r="O11" s="1"/>
  <c r="F75" i="1"/>
  <c r="D63" i="12" s="1"/>
  <c r="I6" i="2"/>
  <c r="E14" i="5"/>
  <c r="E76" i="1"/>
  <c r="F76" s="1"/>
  <c r="D64" i="12" s="1"/>
  <c r="K5" i="2"/>
  <c r="J7"/>
  <c r="P4" i="13" l="1"/>
  <c r="P11" s="1"/>
  <c r="E5" i="5"/>
  <c r="E6" s="1"/>
  <c r="E7" s="1"/>
  <c r="E8" s="1"/>
  <c r="E9" s="1"/>
  <c r="F9" s="1"/>
  <c r="Q4" i="13" l="1"/>
  <c r="Q11" s="1"/>
  <c r="E10" i="5"/>
  <c r="F10" s="1"/>
  <c r="I7" i="13"/>
  <c r="C5" i="3"/>
  <c r="I8" i="13"/>
  <c r="I10"/>
  <c r="I9"/>
  <c r="D5" i="3"/>
  <c r="J51" i="13"/>
  <c r="J52"/>
  <c r="J8"/>
  <c r="J53"/>
  <c r="J10"/>
  <c r="J9"/>
  <c r="J7"/>
  <c r="D25" i="1"/>
  <c r="D14" i="7" s="1"/>
  <c r="D26" i="1"/>
  <c r="D24"/>
  <c r="D20"/>
  <c r="D6" i="7" s="1"/>
  <c r="D21" i="1"/>
  <c r="D7" i="7" s="1"/>
  <c r="D19" i="1"/>
  <c r="D5" i="7" s="1"/>
  <c r="F33" i="4"/>
  <c r="F34"/>
  <c r="F32"/>
  <c r="D33" i="7"/>
  <c r="D32"/>
  <c r="D31"/>
  <c r="D30"/>
  <c r="D23"/>
  <c r="D22"/>
  <c r="D21"/>
  <c r="D15"/>
  <c r="D13"/>
  <c r="D39" i="1"/>
  <c r="D34" i="7" s="1"/>
  <c r="F10" i="1"/>
  <c r="D9" i="12" s="1"/>
  <c r="R4" i="13" l="1"/>
  <c r="R11" s="1"/>
  <c r="J6"/>
  <c r="I6"/>
  <c r="K51"/>
  <c r="E5" i="3"/>
  <c r="K52" i="13"/>
  <c r="K8"/>
  <c r="K7"/>
  <c r="K53"/>
  <c r="K9"/>
  <c r="K10"/>
  <c r="F35" i="4"/>
  <c r="K6" i="13" l="1"/>
  <c r="F5" i="3"/>
  <c r="L8" i="13"/>
  <c r="L53"/>
  <c r="L52"/>
  <c r="L9"/>
  <c r="L51"/>
  <c r="L7"/>
  <c r="O88" i="12"/>
  <c r="D46" i="11" l="1"/>
  <c r="D30"/>
  <c r="D17"/>
  <c r="I6"/>
  <c r="F37" i="10"/>
  <c r="F36"/>
  <c r="F35"/>
  <c r="F34"/>
  <c r="F33"/>
  <c r="F32"/>
  <c r="F24"/>
  <c r="F23"/>
  <c r="F22"/>
  <c r="F21"/>
  <c r="F20"/>
  <c r="F19"/>
  <c r="F18"/>
  <c r="I10"/>
  <c r="I9"/>
  <c r="F45" i="8"/>
  <c r="F44"/>
  <c r="F38"/>
  <c r="F39" s="1"/>
  <c r="F41" s="1"/>
  <c r="F32"/>
  <c r="F23"/>
  <c r="F22"/>
  <c r="F21"/>
  <c r="F20"/>
  <c r="F14"/>
  <c r="F13"/>
  <c r="F12"/>
  <c r="F11"/>
  <c r="F10"/>
  <c r="F9"/>
  <c r="F8"/>
  <c r="F7"/>
  <c r="F6"/>
  <c r="F5"/>
  <c r="F34" i="7"/>
  <c r="F33"/>
  <c r="F32"/>
  <c r="F31"/>
  <c r="F30"/>
  <c r="F23"/>
  <c r="F22"/>
  <c r="F21"/>
  <c r="F15"/>
  <c r="F14"/>
  <c r="F13"/>
  <c r="F7"/>
  <c r="F6"/>
  <c r="F5"/>
  <c r="F19" i="6"/>
  <c r="F13"/>
  <c r="F12"/>
  <c r="F6"/>
  <c r="F7" s="1"/>
  <c r="F9" s="1"/>
  <c r="F14" i="5"/>
  <c r="F8"/>
  <c r="F7"/>
  <c r="F6"/>
  <c r="F5"/>
  <c r="F28" i="4"/>
  <c r="F27"/>
  <c r="F26"/>
  <c r="G47" i="10" s="1"/>
  <c r="F25" i="4"/>
  <c r="F24"/>
  <c r="F20"/>
  <c r="G37" i="10" s="1"/>
  <c r="F19" i="4"/>
  <c r="G36" i="10" s="1"/>
  <c r="F18" i="4"/>
  <c r="G35" i="10" s="1"/>
  <c r="F17" i="4"/>
  <c r="G34" i="10" s="1"/>
  <c r="F16" i="4"/>
  <c r="G33" i="10" s="1"/>
  <c r="F15" i="4"/>
  <c r="G32" i="10" s="1"/>
  <c r="F11" i="4"/>
  <c r="G24" i="10" s="1"/>
  <c r="F10" i="4"/>
  <c r="G23" i="10" s="1"/>
  <c r="F9" i="4"/>
  <c r="G22" i="10" s="1"/>
  <c r="F8" i="4"/>
  <c r="G21" i="10" s="1"/>
  <c r="F7" i="4"/>
  <c r="G20" i="10" s="1"/>
  <c r="F6" i="4"/>
  <c r="G19" i="10" s="1"/>
  <c r="F5" i="4"/>
  <c r="G18" i="10" s="1"/>
  <c r="G64" i="12"/>
  <c r="G63"/>
  <c r="F72" i="1"/>
  <c r="D60" i="12" s="1"/>
  <c r="G60" s="1"/>
  <c r="F68" i="1"/>
  <c r="D56" i="12" s="1"/>
  <c r="F65" i="1"/>
  <c r="D53" i="12" s="1"/>
  <c r="G53" s="1"/>
  <c r="F63" i="1"/>
  <c r="D50" i="12"/>
  <c r="G50" s="1"/>
  <c r="F59" i="1"/>
  <c r="D48" i="12" s="1"/>
  <c r="G48" s="1"/>
  <c r="F58" i="1"/>
  <c r="D47" i="12" s="1"/>
  <c r="G47" s="1"/>
  <c r="F57" i="1"/>
  <c r="D46" i="12" s="1"/>
  <c r="G46" s="1"/>
  <c r="F56" i="1"/>
  <c r="D45" i="12" s="1"/>
  <c r="F53" i="1"/>
  <c r="D43" i="12" s="1"/>
  <c r="G43" s="1"/>
  <c r="F52" i="1"/>
  <c r="D42" i="12" s="1"/>
  <c r="G42" s="1"/>
  <c r="F51" i="1"/>
  <c r="D41" i="12" s="1"/>
  <c r="G41" s="1"/>
  <c r="F50" i="1"/>
  <c r="D40" i="12" s="1"/>
  <c r="G40" s="1"/>
  <c r="F49" i="1"/>
  <c r="D39" i="12" s="1"/>
  <c r="G39" s="1"/>
  <c r="F48" i="1"/>
  <c r="D38" i="12" s="1"/>
  <c r="G38" s="1"/>
  <c r="F47" i="1"/>
  <c r="D37" i="12" s="1"/>
  <c r="G37" s="1"/>
  <c r="F46" i="1"/>
  <c r="D36" i="12" s="1"/>
  <c r="G36" s="1"/>
  <c r="F45" i="1"/>
  <c r="D35" i="12" s="1"/>
  <c r="G35" s="1"/>
  <c r="F44" i="1"/>
  <c r="F39"/>
  <c r="D31" i="12" s="1"/>
  <c r="G31" s="1"/>
  <c r="F38" i="1"/>
  <c r="D30" i="12" s="1"/>
  <c r="G30" s="1"/>
  <c r="F37" i="1"/>
  <c r="D29" i="12" s="1"/>
  <c r="G29" s="1"/>
  <c r="F36" i="1"/>
  <c r="D28" i="12" s="1"/>
  <c r="G28" s="1"/>
  <c r="F35" i="1"/>
  <c r="D27" i="12" s="1"/>
  <c r="F31" i="1"/>
  <c r="F30"/>
  <c r="F29"/>
  <c r="F26"/>
  <c r="F25"/>
  <c r="F24"/>
  <c r="D19" i="12" s="1"/>
  <c r="F21" i="1"/>
  <c r="F20"/>
  <c r="F19"/>
  <c r="F14"/>
  <c r="D12" i="12" s="1"/>
  <c r="G12" s="1"/>
  <c r="F11" i="1"/>
  <c r="G9" i="12"/>
  <c r="F7" i="1"/>
  <c r="G49" i="10" l="1"/>
  <c r="H47"/>
  <c r="H49" s="1"/>
  <c r="H19"/>
  <c r="H23"/>
  <c r="D25" i="12"/>
  <c r="G25" s="1"/>
  <c r="D21"/>
  <c r="G21" s="1"/>
  <c r="D17"/>
  <c r="G17" s="1"/>
  <c r="H24" i="10"/>
  <c r="H22"/>
  <c r="H21"/>
  <c r="D51" i="12"/>
  <c r="G51" s="1"/>
  <c r="G25" i="10"/>
  <c r="H20"/>
  <c r="H18"/>
  <c r="D24" i="12"/>
  <c r="D23"/>
  <c r="G23" s="1"/>
  <c r="D20"/>
  <c r="G20" s="1"/>
  <c r="D16"/>
  <c r="G16" s="1"/>
  <c r="D15"/>
  <c r="G15" s="1"/>
  <c r="D10"/>
  <c r="G10" s="1"/>
  <c r="G8" s="1"/>
  <c r="D7"/>
  <c r="G7" s="1"/>
  <c r="F16" i="5"/>
  <c r="D66" i="12" s="1"/>
  <c r="D77" s="1"/>
  <c r="F46" i="8"/>
  <c r="F48" s="1"/>
  <c r="G38" i="10"/>
  <c r="H35"/>
  <c r="H34"/>
  <c r="H33"/>
  <c r="H37"/>
  <c r="H32"/>
  <c r="H36"/>
  <c r="D34" i="12"/>
  <c r="D33" s="1"/>
  <c r="G62"/>
  <c r="G61" s="1"/>
  <c r="F76" s="1"/>
  <c r="F24" i="7"/>
  <c r="F26" s="1"/>
  <c r="F8"/>
  <c r="F10" s="1"/>
  <c r="F35"/>
  <c r="F37" s="1"/>
  <c r="F20" i="6"/>
  <c r="F22" s="1"/>
  <c r="G45" i="12"/>
  <c r="G44" s="1"/>
  <c r="D44"/>
  <c r="I28" i="13" s="1"/>
  <c r="J28" s="1"/>
  <c r="K28" s="1"/>
  <c r="L28" s="1"/>
  <c r="M28" s="1"/>
  <c r="N28" s="1"/>
  <c r="O28" s="1"/>
  <c r="P28" s="1"/>
  <c r="Q28" s="1"/>
  <c r="R28" s="1"/>
  <c r="G56" i="12"/>
  <c r="D55"/>
  <c r="G59"/>
  <c r="G58" s="1"/>
  <c r="D58"/>
  <c r="F33" i="8"/>
  <c r="F35" s="1"/>
  <c r="D52" i="11"/>
  <c r="D62" i="12"/>
  <c r="D61" s="1"/>
  <c r="I46" i="13" s="1"/>
  <c r="J46" s="1"/>
  <c r="K46" s="1"/>
  <c r="L46" s="1"/>
  <c r="M46" s="1"/>
  <c r="N46" s="1"/>
  <c r="O46" s="1"/>
  <c r="P46" s="1"/>
  <c r="Q46" s="1"/>
  <c r="R46" s="1"/>
  <c r="F12" i="4"/>
  <c r="F21"/>
  <c r="F14" i="6"/>
  <c r="F16" s="1"/>
  <c r="D26" i="12"/>
  <c r="I25" i="13" s="1"/>
  <c r="J25" s="1"/>
  <c r="K25" s="1"/>
  <c r="L25" s="1"/>
  <c r="M25" s="1"/>
  <c r="N25" s="1"/>
  <c r="O25" s="1"/>
  <c r="P25" s="1"/>
  <c r="Q25" s="1"/>
  <c r="R25" s="1"/>
  <c r="D8" i="12"/>
  <c r="I19" i="13" s="1"/>
  <c r="J19" s="1"/>
  <c r="K19" s="1"/>
  <c r="L19" s="1"/>
  <c r="M19" s="1"/>
  <c r="N19" s="1"/>
  <c r="O19" s="1"/>
  <c r="P19" s="1"/>
  <c r="Q19" s="1"/>
  <c r="R19" s="1"/>
  <c r="G19" i="12"/>
  <c r="G27"/>
  <c r="D11"/>
  <c r="F16" i="7"/>
  <c r="F18" s="1"/>
  <c r="F15" i="8"/>
  <c r="F17" s="1"/>
  <c r="F24"/>
  <c r="F26" s="1"/>
  <c r="F29" i="4"/>
  <c r="L10" i="13"/>
  <c r="H51" i="10" l="1"/>
  <c r="I41" i="13" s="1"/>
  <c r="M10"/>
  <c r="N10" s="1"/>
  <c r="O10" s="1"/>
  <c r="P10" s="1"/>
  <c r="Q10" s="1"/>
  <c r="R10" s="1"/>
  <c r="L6"/>
  <c r="D22" i="12"/>
  <c r="I24" i="13" s="1"/>
  <c r="J24" s="1"/>
  <c r="K24" s="1"/>
  <c r="L24" s="1"/>
  <c r="M24" s="1"/>
  <c r="N24" s="1"/>
  <c r="O24" s="1"/>
  <c r="P24" s="1"/>
  <c r="Q24" s="1"/>
  <c r="R24" s="1"/>
  <c r="D18" i="12"/>
  <c r="I23" i="13" s="1"/>
  <c r="J23" s="1"/>
  <c r="K23" s="1"/>
  <c r="L23" s="1"/>
  <c r="M23" s="1"/>
  <c r="N23" s="1"/>
  <c r="O23" s="1"/>
  <c r="P23" s="1"/>
  <c r="Q23" s="1"/>
  <c r="R23" s="1"/>
  <c r="G24" i="12"/>
  <c r="G22" s="1"/>
  <c r="D54"/>
  <c r="D74" s="1"/>
  <c r="I31" i="13"/>
  <c r="J31" s="1"/>
  <c r="K31" s="1"/>
  <c r="L31" s="1"/>
  <c r="M31" s="1"/>
  <c r="N31" s="1"/>
  <c r="O31" s="1"/>
  <c r="P31" s="1"/>
  <c r="Q31" s="1"/>
  <c r="R31" s="1"/>
  <c r="D49" i="12"/>
  <c r="I29" i="13" s="1"/>
  <c r="J29" s="1"/>
  <c r="K29" s="1"/>
  <c r="L29" s="1"/>
  <c r="M29" s="1"/>
  <c r="N29" s="1"/>
  <c r="O29" s="1"/>
  <c r="P29" s="1"/>
  <c r="Q29" s="1"/>
  <c r="R29" s="1"/>
  <c r="D6" i="12"/>
  <c r="I18" i="13" s="1"/>
  <c r="J18" s="1"/>
  <c r="K18" s="1"/>
  <c r="L18" s="1"/>
  <c r="M18" s="1"/>
  <c r="N18" s="1"/>
  <c r="O18" s="1"/>
  <c r="P18" s="1"/>
  <c r="Q18" s="1"/>
  <c r="D14" i="12"/>
  <c r="I22" i="13" s="1"/>
  <c r="J22" s="1"/>
  <c r="K22" s="1"/>
  <c r="L22" s="1"/>
  <c r="M22" s="1"/>
  <c r="N22" s="1"/>
  <c r="O22" s="1"/>
  <c r="P22" s="1"/>
  <c r="Q22" s="1"/>
  <c r="R22" s="1"/>
  <c r="G14" i="12"/>
  <c r="D57"/>
  <c r="D75" s="1"/>
  <c r="I33" i="13"/>
  <c r="J33" s="1"/>
  <c r="K33" s="1"/>
  <c r="L33" s="1"/>
  <c r="M33" s="1"/>
  <c r="N33" s="1"/>
  <c r="O33" s="1"/>
  <c r="P33" s="1"/>
  <c r="Q33" s="1"/>
  <c r="R33" s="1"/>
  <c r="H25" i="10"/>
  <c r="H27" s="1"/>
  <c r="I39" i="13" s="1"/>
  <c r="J39" s="1"/>
  <c r="K39" s="1"/>
  <c r="L39" s="1"/>
  <c r="M39" s="1"/>
  <c r="N39" s="1"/>
  <c r="O39" s="1"/>
  <c r="P39" s="1"/>
  <c r="Q39" s="1"/>
  <c r="R39" s="1"/>
  <c r="G66" i="12"/>
  <c r="F77" s="1"/>
  <c r="G55"/>
  <c r="H38" i="10"/>
  <c r="H40" s="1"/>
  <c r="G34" i="12"/>
  <c r="I13" i="13"/>
  <c r="D76" i="12"/>
  <c r="K13" i="13"/>
  <c r="G6" i="12"/>
  <c r="G11"/>
  <c r="I20" i="13"/>
  <c r="J20" s="1"/>
  <c r="K20" s="1"/>
  <c r="L20" s="1"/>
  <c r="M20" s="1"/>
  <c r="N20" s="1"/>
  <c r="O20" s="1"/>
  <c r="P20" s="1"/>
  <c r="Q20" s="1"/>
  <c r="R20" s="1"/>
  <c r="G49" i="12"/>
  <c r="J13" i="13"/>
  <c r="G18" i="12"/>
  <c r="G57"/>
  <c r="G26"/>
  <c r="I27" i="13"/>
  <c r="J27" s="1"/>
  <c r="K27" s="1"/>
  <c r="L27" s="1"/>
  <c r="M27" s="1"/>
  <c r="N27" s="1"/>
  <c r="O27" s="1"/>
  <c r="P27" s="1"/>
  <c r="Q27" s="1"/>
  <c r="R27" s="1"/>
  <c r="G33" i="12"/>
  <c r="I45" i="13"/>
  <c r="J41" l="1"/>
  <c r="J38" s="1"/>
  <c r="I40"/>
  <c r="J40" s="1"/>
  <c r="K40" s="1"/>
  <c r="L40" s="1"/>
  <c r="M40" s="1"/>
  <c r="R18"/>
  <c r="G5" i="3"/>
  <c r="D13" i="12"/>
  <c r="D72" s="1"/>
  <c r="D32"/>
  <c r="D73" s="1"/>
  <c r="D5"/>
  <c r="M53" i="13"/>
  <c r="M9"/>
  <c r="M52"/>
  <c r="M51"/>
  <c r="M8"/>
  <c r="M7"/>
  <c r="G54" i="12"/>
  <c r="I35" i="13"/>
  <c r="G13" i="12"/>
  <c r="I30" i="13"/>
  <c r="J30" s="1"/>
  <c r="K30" s="1"/>
  <c r="L30" s="1"/>
  <c r="M30" s="1"/>
  <c r="N30" s="1"/>
  <c r="O30" s="1"/>
  <c r="P30" s="1"/>
  <c r="Q30" s="1"/>
  <c r="R30" s="1"/>
  <c r="I32"/>
  <c r="J32" s="1"/>
  <c r="K32" s="1"/>
  <c r="L32" s="1"/>
  <c r="M32" s="1"/>
  <c r="N32" s="1"/>
  <c r="O32" s="1"/>
  <c r="P32" s="1"/>
  <c r="Q32" s="1"/>
  <c r="R32" s="1"/>
  <c r="C24" i="14"/>
  <c r="I21" i="13"/>
  <c r="J21" s="1"/>
  <c r="K21" s="1"/>
  <c r="L21" s="1"/>
  <c r="M21" s="1"/>
  <c r="N21" s="1"/>
  <c r="O21" s="1"/>
  <c r="P21" s="1"/>
  <c r="Q21" s="1"/>
  <c r="R21" s="1"/>
  <c r="G5" i="12"/>
  <c r="I17" i="13"/>
  <c r="J17" s="1"/>
  <c r="K17" s="1"/>
  <c r="L17" s="1"/>
  <c r="M17" s="1"/>
  <c r="N17" s="1"/>
  <c r="O17" s="1"/>
  <c r="P17" s="1"/>
  <c r="Q17" s="1"/>
  <c r="R17" s="1"/>
  <c r="G32" i="12"/>
  <c r="F75"/>
  <c r="L13" i="13"/>
  <c r="J45"/>
  <c r="I26"/>
  <c r="J26" s="1"/>
  <c r="K26" s="1"/>
  <c r="L26" s="1"/>
  <c r="M26" s="1"/>
  <c r="N26" s="1"/>
  <c r="O26" s="1"/>
  <c r="P26" s="1"/>
  <c r="Q26" s="1"/>
  <c r="R26" s="1"/>
  <c r="I38" l="1"/>
  <c r="I43"/>
  <c r="K41"/>
  <c r="M6"/>
  <c r="M13" s="1"/>
  <c r="H5" i="3"/>
  <c r="D67" i="12"/>
  <c r="G67" s="1"/>
  <c r="D71"/>
  <c r="N9" i="13"/>
  <c r="N8"/>
  <c r="N7"/>
  <c r="N53"/>
  <c r="N52"/>
  <c r="N51"/>
  <c r="J35"/>
  <c r="J43" s="1"/>
  <c r="F74" i="12"/>
  <c r="F72"/>
  <c r="K45" i="13"/>
  <c r="F71" i="12"/>
  <c r="F73"/>
  <c r="L41" i="13" l="1"/>
  <c r="K38"/>
  <c r="I5" i="3"/>
  <c r="N6" i="13"/>
  <c r="N13" s="1"/>
  <c r="D65" i="12"/>
  <c r="O51" i="13"/>
  <c r="O53"/>
  <c r="O52"/>
  <c r="O9"/>
  <c r="O8"/>
  <c r="O7"/>
  <c r="K35"/>
  <c r="K43" s="1"/>
  <c r="L45"/>
  <c r="M41" l="1"/>
  <c r="L38"/>
  <c r="O6"/>
  <c r="O13" s="1"/>
  <c r="J5" i="3"/>
  <c r="P53" i="13"/>
  <c r="P9"/>
  <c r="P8"/>
  <c r="P7"/>
  <c r="P51"/>
  <c r="P52"/>
  <c r="L35"/>
  <c r="L43" s="1"/>
  <c r="M45"/>
  <c r="G65" i="12"/>
  <c r="I36" i="13"/>
  <c r="I48"/>
  <c r="N41" l="1"/>
  <c r="M38"/>
  <c r="P6"/>
  <c r="P13" s="1"/>
  <c r="K5" i="3"/>
  <c r="Q52" i="13"/>
  <c r="Q8"/>
  <c r="Q7"/>
  <c r="Q51"/>
  <c r="Q53"/>
  <c r="Q9"/>
  <c r="M35"/>
  <c r="M43" s="1"/>
  <c r="H8" i="12"/>
  <c r="H12"/>
  <c r="H16"/>
  <c r="H20"/>
  <c r="H24"/>
  <c r="H28"/>
  <c r="H32"/>
  <c r="H73" s="1"/>
  <c r="H36"/>
  <c r="H40"/>
  <c r="H44"/>
  <c r="H48"/>
  <c r="H52"/>
  <c r="H59"/>
  <c r="H64"/>
  <c r="H9"/>
  <c r="H13"/>
  <c r="H72" s="1"/>
  <c r="H21"/>
  <c r="H33"/>
  <c r="H41"/>
  <c r="H49"/>
  <c r="H66"/>
  <c r="H77" s="1"/>
  <c r="H7"/>
  <c r="H11"/>
  <c r="H15"/>
  <c r="H19"/>
  <c r="H23"/>
  <c r="H27"/>
  <c r="H31"/>
  <c r="H35"/>
  <c r="H39"/>
  <c r="H43"/>
  <c r="H47"/>
  <c r="H51"/>
  <c r="H58"/>
  <c r="H63"/>
  <c r="H25"/>
  <c r="H57"/>
  <c r="H75" s="1"/>
  <c r="H6"/>
  <c r="H10"/>
  <c r="H14"/>
  <c r="H18"/>
  <c r="H22"/>
  <c r="H26"/>
  <c r="H30"/>
  <c r="H34"/>
  <c r="H38"/>
  <c r="H42"/>
  <c r="H46"/>
  <c r="H50"/>
  <c r="H61"/>
  <c r="H76" s="1"/>
  <c r="H62"/>
  <c r="H5"/>
  <c r="H71" s="1"/>
  <c r="H17"/>
  <c r="H29"/>
  <c r="H37"/>
  <c r="H45"/>
  <c r="H53"/>
  <c r="H60"/>
  <c r="H56"/>
  <c r="H55"/>
  <c r="H54"/>
  <c r="H74" s="1"/>
  <c r="H67"/>
  <c r="J48" i="13"/>
  <c r="J36"/>
  <c r="N45"/>
  <c r="O41" l="1"/>
  <c r="N38"/>
  <c r="L5" i="3"/>
  <c r="Q6" i="13"/>
  <c r="Q13" s="1"/>
  <c r="R9"/>
  <c r="R8"/>
  <c r="R7"/>
  <c r="R51"/>
  <c r="R52"/>
  <c r="R53"/>
  <c r="N35"/>
  <c r="N43" s="1"/>
  <c r="I50"/>
  <c r="I55" s="1"/>
  <c r="O45"/>
  <c r="K36"/>
  <c r="K48"/>
  <c r="D7" i="14" l="1"/>
  <c r="D4"/>
  <c r="C6" i="3"/>
  <c r="C8" s="1"/>
  <c r="P41" i="13"/>
  <c r="O38"/>
  <c r="R6"/>
  <c r="R13" s="1"/>
  <c r="I56"/>
  <c r="O35"/>
  <c r="O43" s="1"/>
  <c r="P45"/>
  <c r="L48"/>
  <c r="L36"/>
  <c r="J50"/>
  <c r="J55" s="1"/>
  <c r="D8" i="14" l="1"/>
  <c r="D13"/>
  <c r="Q41" i="13"/>
  <c r="P38"/>
  <c r="E4" i="14"/>
  <c r="J56" i="13"/>
  <c r="P35"/>
  <c r="P43" s="1"/>
  <c r="D24" i="14"/>
  <c r="R45" i="13"/>
  <c r="Q45"/>
  <c r="K50"/>
  <c r="K55" s="1"/>
  <c r="K56" s="1"/>
  <c r="D6" i="3"/>
  <c r="D8" s="1"/>
  <c r="M36" i="13"/>
  <c r="M48"/>
  <c r="R41" l="1"/>
  <c r="Q38"/>
  <c r="R35"/>
  <c r="Q35"/>
  <c r="Q43" s="1"/>
  <c r="D17" i="14"/>
  <c r="N48" i="13"/>
  <c r="N36"/>
  <c r="E24" i="14"/>
  <c r="E7"/>
  <c r="F4"/>
  <c r="E6" i="3"/>
  <c r="E8" s="1"/>
  <c r="L50" i="13"/>
  <c r="L55" s="1"/>
  <c r="L56" s="1"/>
  <c r="E8" i="14" l="1"/>
  <c r="R43" i="13"/>
  <c r="R38"/>
  <c r="E13" i="14"/>
  <c r="O48" i="13"/>
  <c r="O36"/>
  <c r="M50"/>
  <c r="M55" s="1"/>
  <c r="M56" s="1"/>
  <c r="D18" i="14"/>
  <c r="D19" s="1"/>
  <c r="G4"/>
  <c r="F6" i="3"/>
  <c r="F8" s="1"/>
  <c r="F24" i="14"/>
  <c r="F7"/>
  <c r="F8" s="1"/>
  <c r="E17"/>
  <c r="E18" l="1"/>
  <c r="E19" s="1"/>
  <c r="F13"/>
  <c r="F17"/>
  <c r="H4"/>
  <c r="G6" i="3"/>
  <c r="G8" s="1"/>
  <c r="G24" i="14"/>
  <c r="G7"/>
  <c r="P48" i="13"/>
  <c r="P36"/>
  <c r="N50"/>
  <c r="N55" s="1"/>
  <c r="N56" s="1"/>
  <c r="G8" i="14" l="1"/>
  <c r="G13"/>
  <c r="I4"/>
  <c r="H6" i="3"/>
  <c r="H8" s="1"/>
  <c r="F18" i="14"/>
  <c r="F19" s="1"/>
  <c r="O50" i="13"/>
  <c r="O55" s="1"/>
  <c r="O56" s="1"/>
  <c r="G17" i="14"/>
  <c r="Q48" i="13"/>
  <c r="Q36"/>
  <c r="R48"/>
  <c r="R36"/>
  <c r="H24" i="14"/>
  <c r="H7"/>
  <c r="H8" s="1"/>
  <c r="G18" l="1"/>
  <c r="G19" s="1"/>
  <c r="H13"/>
  <c r="P50" i="13"/>
  <c r="P55" s="1"/>
  <c r="J4" i="14"/>
  <c r="I6" i="3"/>
  <c r="I8" s="1"/>
  <c r="H17" i="14"/>
  <c r="I24"/>
  <c r="I7"/>
  <c r="I8" l="1"/>
  <c r="I18" s="1"/>
  <c r="I13"/>
  <c r="K4"/>
  <c r="K7" s="1"/>
  <c r="K8" s="1"/>
  <c r="P56" i="13"/>
  <c r="J6" i="3"/>
  <c r="J8" s="1"/>
  <c r="H18" i="14"/>
  <c r="H19" s="1"/>
  <c r="J24"/>
  <c r="J7"/>
  <c r="J8" s="1"/>
  <c r="Q50" i="13"/>
  <c r="Q55" s="1"/>
  <c r="Q56" s="1"/>
  <c r="I17" i="14"/>
  <c r="R50" i="13"/>
  <c r="R55" s="1"/>
  <c r="R56" s="1"/>
  <c r="J13" i="14" l="1"/>
  <c r="K18"/>
  <c r="J18"/>
  <c r="K17"/>
  <c r="J17"/>
  <c r="K24"/>
  <c r="I19"/>
  <c r="L4"/>
  <c r="K6" i="3"/>
  <c r="K8" s="1"/>
  <c r="M4" i="14"/>
  <c r="L6" i="3"/>
  <c r="L8" s="1"/>
  <c r="C11" i="14" l="1"/>
  <c r="J19"/>
  <c r="K19" s="1"/>
  <c r="L24"/>
  <c r="L7"/>
  <c r="M24"/>
  <c r="M7"/>
  <c r="M8" s="1"/>
  <c r="C9" l="1"/>
  <c r="L8"/>
  <c r="C12"/>
  <c r="D33"/>
  <c r="C26"/>
  <c r="M17"/>
  <c r="L17"/>
  <c r="L18" l="1"/>
  <c r="L19" s="1"/>
  <c r="M18"/>
  <c r="M19" l="1"/>
  <c r="G25"/>
  <c r="H25"/>
  <c r="I25"/>
  <c r="F25"/>
  <c r="L25"/>
  <c r="J25"/>
  <c r="K25"/>
  <c r="M25"/>
  <c r="E25"/>
  <c r="D25"/>
</calcChain>
</file>

<file path=xl/sharedStrings.xml><?xml version="1.0" encoding="utf-8"?>
<sst xmlns="http://schemas.openxmlformats.org/spreadsheetml/2006/main" count="924" uniqueCount="491">
  <si>
    <t>Previsão de Custos para Estacionamento Rotativo</t>
  </si>
  <si>
    <t>Planilha 1 - Preço dos Insumos Básicos</t>
  </si>
  <si>
    <t>Pessoal</t>
  </si>
  <si>
    <t>Qtde</t>
  </si>
  <si>
    <t>Descrição</t>
  </si>
  <si>
    <t>Salário</t>
  </si>
  <si>
    <t>Encargo Social</t>
  </si>
  <si>
    <t>Mensal</t>
  </si>
  <si>
    <t>Referência</t>
  </si>
  <si>
    <t>1. Pessoal Operacional</t>
  </si>
  <si>
    <t>Preço de Mercado</t>
  </si>
  <si>
    <t>2. Pessoal Administrativo</t>
  </si>
  <si>
    <t>Benefícios</t>
  </si>
  <si>
    <t>Preço Unit</t>
  </si>
  <si>
    <t>Investimento</t>
  </si>
  <si>
    <t>1. Auxílio Alimentação</t>
  </si>
  <si>
    <t xml:space="preserve">     1.1 Pessoal Operacional</t>
  </si>
  <si>
    <t xml:space="preserve">     1.2 Pessoal Administrativo</t>
  </si>
  <si>
    <t>2. Vale Transporte</t>
  </si>
  <si>
    <t xml:space="preserve">     2.1 Pessoal Operacional</t>
  </si>
  <si>
    <t>Tarifa de Transporte Público</t>
  </si>
  <si>
    <t xml:space="preserve">     2.2 Pessoal Administrativo</t>
  </si>
  <si>
    <t xml:space="preserve">     3.1 Pessoal Operacional</t>
  </si>
  <si>
    <t xml:space="preserve">     3.2 Pessoal Administrativo</t>
  </si>
  <si>
    <t xml:space="preserve"> Qtde Anual</t>
  </si>
  <si>
    <t>Mensalisado</t>
  </si>
  <si>
    <t xml:space="preserve">     5.1 Calça</t>
  </si>
  <si>
    <t xml:space="preserve">     5.2 Camisa</t>
  </si>
  <si>
    <t>Despesas</t>
  </si>
  <si>
    <t>1. Administrativas</t>
  </si>
  <si>
    <t xml:space="preserve">     1.4 Energia Elétrica</t>
  </si>
  <si>
    <t xml:space="preserve">     1.5 Água e Esgoto</t>
  </si>
  <si>
    <t xml:space="preserve">     1.6 Propaganda e Publicidade</t>
  </si>
  <si>
    <t xml:space="preserve">     1.7 Seguro Patrimonial</t>
  </si>
  <si>
    <t xml:space="preserve">     1.8 Material de expediente</t>
  </si>
  <si>
    <t xml:space="preserve">     1.9 Material de limpeza e conservação </t>
  </si>
  <si>
    <t xml:space="preserve">     1.10 Outras Despesas</t>
  </si>
  <si>
    <t>2. Serviço de Terceiro</t>
  </si>
  <si>
    <t xml:space="preserve">     2.2 Honorários Contábeis</t>
  </si>
  <si>
    <t xml:space="preserve">     2.5 Laudo de Segurança do trabalho</t>
  </si>
  <si>
    <t>3. Operacionais</t>
  </si>
  <si>
    <t>4. Software</t>
  </si>
  <si>
    <t>Estimativa</t>
  </si>
  <si>
    <t>5 Reposição</t>
  </si>
  <si>
    <t>6. Despesas de Arrecadação</t>
  </si>
  <si>
    <t xml:space="preserve">     6.3 Comissão de Postos de Venda - PDV</t>
  </si>
  <si>
    <t>Cálculo do Custo da Vaga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</si>
  <si>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</si>
  <si>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</si>
  <si>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</si>
  <si>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</si>
  <si>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</si>
  <si>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</si>
  <si>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</si>
  <si>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</si>
  <si>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</si>
  <si>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</si>
  <si>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Arrecadação Mensal</t>
  </si>
  <si>
    <t>Despesas Mensal</t>
  </si>
  <si>
    <t>Custo Por Vaga na Operação</t>
  </si>
  <si>
    <t>Investimentos Iniciais</t>
  </si>
  <si>
    <t>Item</t>
  </si>
  <si>
    <t>Preço Unitário</t>
  </si>
  <si>
    <t>Preço Total</t>
  </si>
  <si>
    <t>Máquinas, Móveis, Utensílios e Equipamentos de Escritório</t>
  </si>
  <si>
    <t>Bebedouro</t>
  </si>
  <si>
    <t>Total</t>
  </si>
  <si>
    <t>Encargos e Repasse</t>
  </si>
  <si>
    <t>item</t>
  </si>
  <si>
    <t>Valor Total</t>
  </si>
  <si>
    <t>Encargos</t>
  </si>
  <si>
    <t>ISS</t>
  </si>
  <si>
    <t>PIS</t>
  </si>
  <si>
    <t>Subtotal</t>
  </si>
  <si>
    <t>Repasse</t>
  </si>
  <si>
    <t>Repasse para Prefeitura</t>
  </si>
  <si>
    <t>Total de Despesas Mensal</t>
  </si>
  <si>
    <t>Ocorrência Anual</t>
  </si>
  <si>
    <t>Total da Despesa Anual</t>
  </si>
  <si>
    <t>Composição da Despesa Com Benefício Social</t>
  </si>
  <si>
    <t>Total de Despesa Mensal</t>
  </si>
  <si>
    <t>Total de Despesa Anual</t>
  </si>
  <si>
    <t>A. Premissas Básicas</t>
  </si>
  <si>
    <t>Descrição do Item</t>
  </si>
  <si>
    <t>-</t>
  </si>
  <si>
    <t>Método</t>
  </si>
  <si>
    <t>Coeficiente</t>
  </si>
  <si>
    <t>Anual</t>
  </si>
  <si>
    <t>Custo Fixo Anual</t>
  </si>
  <si>
    <t>1. Depreciação do Capital</t>
  </si>
  <si>
    <t>Vida Útil (anos)</t>
  </si>
  <si>
    <t>Valor Residual (%)</t>
  </si>
  <si>
    <t>Linear</t>
  </si>
  <si>
    <t>Depreciação de Máquina, Equipamentos e Escritório</t>
  </si>
  <si>
    <t>Depreciação de Equipamentos Eletrônicos, TI e Comunicação</t>
  </si>
  <si>
    <t>B. Memória de Cálculo</t>
  </si>
  <si>
    <t>Investimento (R$)</t>
  </si>
  <si>
    <t>Depreciação (R$/mês)</t>
  </si>
  <si>
    <t>Encargos Sociais</t>
  </si>
  <si>
    <t>Encargos Sobre a Remuneração Normal Diurna do Empregado</t>
  </si>
  <si>
    <t>Cálculo do Número de Dias Úteis no Ano</t>
  </si>
  <si>
    <t>Geral</t>
  </si>
  <si>
    <t>Dias</t>
  </si>
  <si>
    <t>Ref.</t>
  </si>
  <si>
    <t>A</t>
  </si>
  <si>
    <t>Obrigações Incidentes diretamente sobre a folha de Pagamento</t>
  </si>
  <si>
    <t>Mensalista</t>
  </si>
  <si>
    <t>Domingos</t>
  </si>
  <si>
    <t>=      52</t>
  </si>
  <si>
    <t>x 1</t>
  </si>
  <si>
    <t>=     52</t>
  </si>
  <si>
    <t>Encargos (1)</t>
  </si>
  <si>
    <t>%</t>
  </si>
  <si>
    <t>Feriados</t>
  </si>
  <si>
    <t>=     11</t>
  </si>
  <si>
    <t>X 1</t>
  </si>
  <si>
    <t>INSS</t>
  </si>
  <si>
    <t>Dias Úteis (*)</t>
  </si>
  <si>
    <t>=   302</t>
  </si>
  <si>
    <t>SESI/SESC/SEST</t>
  </si>
  <si>
    <t>(*) Sem considerar o período aquisitivo de férias</t>
  </si>
  <si>
    <t>SENAI/SENAC/SENAT</t>
  </si>
  <si>
    <t>INCRA</t>
  </si>
  <si>
    <t>Cálculo do Número de Dias Produtivos no Ano</t>
  </si>
  <si>
    <t>SEBRAE</t>
  </si>
  <si>
    <t>SALÁRIO EDUCAÇÂO</t>
  </si>
  <si>
    <t>SAT(Seguro Acidente Trabalho)</t>
  </si>
  <si>
    <t>Domingo</t>
  </si>
  <si>
    <t>=    52</t>
  </si>
  <si>
    <t>x   1</t>
  </si>
  <si>
    <t>FGTS</t>
  </si>
  <si>
    <t>=    11</t>
  </si>
  <si>
    <t>TOTAL</t>
  </si>
  <si>
    <t>Férias</t>
  </si>
  <si>
    <t>=    30</t>
  </si>
  <si>
    <t>-    4</t>
  </si>
  <si>
    <t>=    26</t>
  </si>
  <si>
    <t>Dias Produtivos/Úteis</t>
  </si>
  <si>
    <t>=  276</t>
  </si>
  <si>
    <t>B</t>
  </si>
  <si>
    <t>Parcelas agregadas a remuneração e pagas diretamente ao empregado:</t>
  </si>
  <si>
    <t>Parcelas Agregadas (1) e (3)</t>
  </si>
  <si>
    <t>Parâmetros de Cálculo</t>
  </si>
  <si>
    <t>DSR (Descanso Semanal Remunerado = 52 dom: 275 dias/ano (*)</t>
  </si>
  <si>
    <t>Domingos em Férias</t>
  </si>
  <si>
    <t>=      4</t>
  </si>
  <si>
    <t>Férias (1 mês : 11 meses)</t>
  </si>
  <si>
    <t>Domingos DSR</t>
  </si>
  <si>
    <t>=   52</t>
  </si>
  <si>
    <t xml:space="preserve">=    48 </t>
  </si>
  <si>
    <t>Adicional de 1/3 Férias (9,09% : 3)</t>
  </si>
  <si>
    <t>Adicional de Férias</t>
  </si>
  <si>
    <t>=   1/3</t>
  </si>
  <si>
    <t>Feriados (11 dias por ano : 276 dias/ano) (**)</t>
  </si>
  <si>
    <t>Meses Produtivos</t>
  </si>
  <si>
    <t>= 11 mês no ano</t>
  </si>
  <si>
    <t>Auxílio Doença [(15 dias: 332 dias/ano) x Percentual de Participação]</t>
  </si>
  <si>
    <t>Mês de Férias</t>
  </si>
  <si>
    <t>=  1 mês ao ano</t>
  </si>
  <si>
    <t>Décimo Terceiro Salário (1 mês : 12 meses)</t>
  </si>
  <si>
    <t>Auxílio Doença</t>
  </si>
  <si>
    <t>=   15 dias</t>
  </si>
  <si>
    <t>Licença Remunerada (4dias : 4 anos de 276 dias/ano)</t>
  </si>
  <si>
    <t>Jornada Semanal</t>
  </si>
  <si>
    <t>=   44   horas</t>
  </si>
  <si>
    <t>Licença Paternidade (5 dias : 4 anos de 276 dias/ano)</t>
  </si>
  <si>
    <t>Jornada Diária</t>
  </si>
  <si>
    <t>=    44</t>
  </si>
  <si>
    <t xml:space="preserve"> /    6</t>
  </si>
  <si>
    <t>=   7,33</t>
  </si>
  <si>
    <t>Licença Maternidade (120 dias : 4 anos de 276 dias/ano 3%)</t>
  </si>
  <si>
    <t>Horas diárias não trabalhada</t>
  </si>
  <si>
    <t>=    0,5   hora</t>
  </si>
  <si>
    <t>Aviso Prévio Tabalhando</t>
  </si>
  <si>
    <t>=   2 %  Percentual de Participação</t>
  </si>
  <si>
    <t>Aviso Prévio Não Tabalhando</t>
  </si>
  <si>
    <t>=  98%  Percentual de Participação</t>
  </si>
  <si>
    <t>(365 dias do ano - 52 domingos - 26 dias de férias - 11 dias feriados: 276 dias úteis ano)</t>
  </si>
  <si>
    <t>Horista</t>
  </si>
  <si>
    <t>=  220  h/m</t>
  </si>
  <si>
    <t>Turn Over</t>
  </si>
  <si>
    <t>=   1,80%</t>
  </si>
  <si>
    <t>C</t>
  </si>
  <si>
    <t>Benefícios e Encargos que não incidem sobre os demais encargos</t>
  </si>
  <si>
    <t>=   1   mês</t>
  </si>
  <si>
    <t>Benefícios e encargos (1)</t>
  </si>
  <si>
    <t>Licença Paternidade</t>
  </si>
  <si>
    <t>=  5  dia   4  anos</t>
  </si>
  <si>
    <t>Aviso Prévio tabalhando (1% de 2h dia em 25 dias : 7,33h em 276 dias)</t>
  </si>
  <si>
    <t>Licenças Remuneradas</t>
  </si>
  <si>
    <t>=  4  dia   4  anos</t>
  </si>
  <si>
    <t>Aviso Prévio não Trabalhando (25 dias : 276 dias/ano x 98%)</t>
  </si>
  <si>
    <t>Dispensa Sem Justa Causa</t>
  </si>
  <si>
    <t>=    95%</t>
  </si>
  <si>
    <t>Aviso Prévio Indenizado (Trabalhando e não Trabalhando)</t>
  </si>
  <si>
    <t>=   8,00%</t>
  </si>
  <si>
    <t>Multa 50% do FGTS nas Recisões 950% x 8,5% FGTS x 95% dos empregados demitidos x (1 + total do grupo B)</t>
  </si>
  <si>
    <t>Multa FGTS</t>
  </si>
  <si>
    <t>=    50%</t>
  </si>
  <si>
    <t>Lei 6.708 art. 9 (8,0% do Aviso Prévio Indenizado)</t>
  </si>
  <si>
    <t>= 8,50%   mês (Percentual de Partic.)</t>
  </si>
  <si>
    <t>Contribuição Sindicato - Reversão de Reajuste Salarial</t>
  </si>
  <si>
    <t>Reversão de Reajuste Sindical</t>
  </si>
  <si>
    <t>=   2,5% ano           0,009%   mês</t>
  </si>
  <si>
    <t>Seguro de Vida (parte do custo absolvido pela empresa)</t>
  </si>
  <si>
    <t>Previsão de Reajuste (*)</t>
  </si>
  <si>
    <t>=  4,50%    ano</t>
  </si>
  <si>
    <t>Alimentação (parte do custo absolvido pela empresa)</t>
  </si>
  <si>
    <t>Licença Maternidade</t>
  </si>
  <si>
    <t>=     120 dias          4 anos</t>
  </si>
  <si>
    <t>Transporte (parte do custo absolvido pela empresa)</t>
  </si>
  <si>
    <t>Colaboradores do Sexo Feminino</t>
  </si>
  <si>
    <t>= 3,00% Percentual de Participação</t>
  </si>
  <si>
    <t>Outros custos (parte absolvida pela empresa)</t>
  </si>
  <si>
    <t>(*) Para Cálculo da Reversão de Reajuste Salarial</t>
  </si>
  <si>
    <t>D</t>
  </si>
  <si>
    <t>Incidência Cumulativa [A x B]</t>
  </si>
  <si>
    <t>Incidências Cumulativas [AxB]</t>
  </si>
  <si>
    <t>Total Geral de Encargos</t>
  </si>
  <si>
    <t>(1) = ajustado segundo a realidade das empresas</t>
  </si>
  <si>
    <t>(2) = estimativa decorrente do fato que a cada 4 anos ocorre o evento</t>
  </si>
  <si>
    <t>(3) = ajustar também as % considerando a previsão de reajuste da remuneração durante o ano</t>
  </si>
  <si>
    <t>Orçamento do Custo do Serviço</t>
  </si>
  <si>
    <t>Composição do Orçamento do Serviço</t>
  </si>
  <si>
    <t>Ocorrência</t>
  </si>
  <si>
    <t>Participação (%)</t>
  </si>
  <si>
    <t>R$/mês</t>
  </si>
  <si>
    <t>meses</t>
  </si>
  <si>
    <t>R$/ano</t>
  </si>
  <si>
    <t>1.1 Pessoal Operacional</t>
  </si>
  <si>
    <t xml:space="preserve">        Monitor</t>
  </si>
  <si>
    <t>1.2 Pessoal Administrativo</t>
  </si>
  <si>
    <t xml:space="preserve">       Atendente</t>
  </si>
  <si>
    <t>2. Despesa com Benefício Social + EPI</t>
  </si>
  <si>
    <t>2.1 Auxílio Alimentação</t>
  </si>
  <si>
    <t xml:space="preserve">     Pessoal Operacional</t>
  </si>
  <si>
    <t xml:space="preserve">     Pessoal Administrativo</t>
  </si>
  <si>
    <t>2.2 Vale Transporte</t>
  </si>
  <si>
    <t xml:space="preserve">    Pessoal Operacional</t>
  </si>
  <si>
    <t xml:space="preserve">    Pessoal Administrativo</t>
  </si>
  <si>
    <t xml:space="preserve">     Calça</t>
  </si>
  <si>
    <t xml:space="preserve">     Camisa</t>
  </si>
  <si>
    <t xml:space="preserve">     Bota</t>
  </si>
  <si>
    <t xml:space="preserve">     Boné</t>
  </si>
  <si>
    <t xml:space="preserve">     Protetor solar FPS 70 (120ml)</t>
  </si>
  <si>
    <t>3. Despesas Gerais</t>
  </si>
  <si>
    <t>3.1 Administrativas</t>
  </si>
  <si>
    <t xml:space="preserve">     Energia Elétrica</t>
  </si>
  <si>
    <t xml:space="preserve">     Água e Esgoto</t>
  </si>
  <si>
    <t xml:space="preserve">     Seguro Patrimonial</t>
  </si>
  <si>
    <t xml:space="preserve">     Material de expediente</t>
  </si>
  <si>
    <t xml:space="preserve">     Material de limpeza e conservação </t>
  </si>
  <si>
    <t xml:space="preserve">     Outras Despesas</t>
  </si>
  <si>
    <t>3.2 Serviço de Terceiro</t>
  </si>
  <si>
    <t xml:space="preserve">     Honorário Advocatícios</t>
  </si>
  <si>
    <t xml:space="preserve">     Honorários Contábeis</t>
  </si>
  <si>
    <t xml:space="preserve">     Exame Médico Admissional - Demissional</t>
  </si>
  <si>
    <t xml:space="preserve">     Laudo de Segurança do trabalho</t>
  </si>
  <si>
    <t>3.3 Operacionais</t>
  </si>
  <si>
    <t xml:space="preserve">     Manutenção e Reposição de Sinalização Horizontal</t>
  </si>
  <si>
    <t xml:space="preserve">     Cartão de Crédito</t>
  </si>
  <si>
    <t xml:space="preserve">     Comissão de Postos de Venda - PDV</t>
  </si>
  <si>
    <t>Custo Corrente</t>
  </si>
  <si>
    <t>Grupo de Custos</t>
  </si>
  <si>
    <t>Peso</t>
  </si>
  <si>
    <t>Participação das Despesas com Pessoal</t>
  </si>
  <si>
    <t>P1</t>
  </si>
  <si>
    <t>Participação com as Despesas com Benefício Social + EPI</t>
  </si>
  <si>
    <t>P2</t>
  </si>
  <si>
    <t>Participação das Despesas Gerais</t>
  </si>
  <si>
    <t>P3</t>
  </si>
  <si>
    <t>Participação da Locação de Software</t>
  </si>
  <si>
    <t>P5</t>
  </si>
  <si>
    <t>Participação com Reposição</t>
  </si>
  <si>
    <t>P6</t>
  </si>
  <si>
    <t>Participação com as Despesas de Arrecadação</t>
  </si>
  <si>
    <t>P7</t>
  </si>
  <si>
    <t>Participação com as Despesas com Encargos</t>
  </si>
  <si>
    <t>P8</t>
  </si>
  <si>
    <t>Demonstrativo de Resultado Econômico Anual Projetado</t>
  </si>
  <si>
    <t>Receita Bruta</t>
  </si>
  <si>
    <t>(-) Tributos e Repasses sobre o Faturamento(%)</t>
  </si>
  <si>
    <t>Imposto dSobre Serviço de Qualquer Natureza - ISS</t>
  </si>
  <si>
    <t>Contribuição Social sobre o Faturamento - COFINS</t>
  </si>
  <si>
    <t>Programa de Integração Social - PIS</t>
  </si>
  <si>
    <t>Contribuição Previdenciária Sobre a Receita Bruta</t>
  </si>
  <si>
    <t>Receita Líquida</t>
  </si>
  <si>
    <t>Custos Operacionais (R$/ano)</t>
  </si>
  <si>
    <t>Despesas com Pessoal</t>
  </si>
  <si>
    <t>Pessoal Operacional</t>
  </si>
  <si>
    <t>Pessoal Administrativo</t>
  </si>
  <si>
    <t>Pessoal Manutenção</t>
  </si>
  <si>
    <t>Despesa com Benefícios + EPI</t>
  </si>
  <si>
    <t>Auxílio Alimentação</t>
  </si>
  <si>
    <t>Vale Transporte</t>
  </si>
  <si>
    <t>Seguro de Vida, Invalidez e Funeral</t>
  </si>
  <si>
    <t>Uniforme/EPI</t>
  </si>
  <si>
    <t>Despesas Gerais</t>
  </si>
  <si>
    <t>Administrativas</t>
  </si>
  <si>
    <t>Serviço de Terceiro</t>
  </si>
  <si>
    <t>Operacionais</t>
  </si>
  <si>
    <t>Despesa com Software</t>
  </si>
  <si>
    <t>Locação de Software</t>
  </si>
  <si>
    <t>Despesa com Reposição</t>
  </si>
  <si>
    <t>(=) EBITDA (Lucro antes de Juros, Impostos, Depreciação e Amortização)</t>
  </si>
  <si>
    <t>Ganho efetivo da Operação</t>
  </si>
  <si>
    <t>Depreciação (R$/ano)</t>
  </si>
  <si>
    <t>Depreciação de Máquinas, Equipamentos e Escritório</t>
  </si>
  <si>
    <t>(=) EBIT (Lucro antes do Juros e Imposto de Renda)</t>
  </si>
  <si>
    <t>Despesa de Arrecadação</t>
  </si>
  <si>
    <t>Despesa com Arrecadação</t>
  </si>
  <si>
    <t>EBT (Lucro antes do Imposto de Renda)</t>
  </si>
  <si>
    <t>Imposto de Renda e CSLL</t>
  </si>
  <si>
    <t>Contribuição Social sobre Lucro - CSLL</t>
  </si>
  <si>
    <t>Imposto de Renda - IR</t>
  </si>
  <si>
    <t>Adicional Imposto de Renda</t>
  </si>
  <si>
    <t>Lucro Líquido do Exercício</t>
  </si>
  <si>
    <t>Taxa de Lucratividade sobre a Receita</t>
  </si>
  <si>
    <t>FLUXO DE CAIXA</t>
  </si>
  <si>
    <t>Ano 0</t>
  </si>
  <si>
    <t>Fluxo de Caixa Resumido</t>
  </si>
  <si>
    <t>VPL</t>
  </si>
  <si>
    <t>FC Descontado</t>
  </si>
  <si>
    <t>&gt;&gt;&gt;</t>
  </si>
  <si>
    <t>MTIR</t>
  </si>
  <si>
    <t>Payback Simples</t>
  </si>
  <si>
    <t>Payback Descontado</t>
  </si>
  <si>
    <t>Notas</t>
  </si>
  <si>
    <t>Taxa Mínina de Atratividade Projetada</t>
  </si>
  <si>
    <t>TMA</t>
  </si>
  <si>
    <t>VPL (considerando a TIR)</t>
  </si>
  <si>
    <t>COMPOSIÇÃO DESPESAS GERAIS</t>
  </si>
  <si>
    <t xml:space="preserve">       2.1 Gerente Local</t>
  </si>
  <si>
    <t xml:space="preserve">       2.2 Atendente</t>
  </si>
  <si>
    <t>3. Pessoal de Apoio Operacional</t>
  </si>
  <si>
    <t xml:space="preserve">     3.1 Encarregado de Operação e Comercialização</t>
  </si>
  <si>
    <t xml:space="preserve">     1.1 Monitor</t>
  </si>
  <si>
    <t xml:space="preserve">     1.3 Pessoal de Apoio a Operação</t>
  </si>
  <si>
    <t xml:space="preserve">     2.3 Pessoal de Apoio a Operação</t>
  </si>
  <si>
    <t>3. Seguro de vida, Invalidez e funeral</t>
  </si>
  <si>
    <t xml:space="preserve">     3.3 Pessoal de Apoio a Operação</t>
  </si>
  <si>
    <t>4. Uniforme/EPI</t>
  </si>
  <si>
    <t xml:space="preserve">     4.1 Calça</t>
  </si>
  <si>
    <t xml:space="preserve">     4.2 Camisa</t>
  </si>
  <si>
    <t xml:space="preserve">     4.3 Bota</t>
  </si>
  <si>
    <t xml:space="preserve">     4.5 Protetor solar FPS 70 (120ml) 2 tubos/mês</t>
  </si>
  <si>
    <t xml:space="preserve">     4.4 Boné</t>
  </si>
  <si>
    <t xml:space="preserve">     1.2 Linhas de Dados e Voz</t>
  </si>
  <si>
    <t xml:space="preserve">     1.3 Linhas de Dados</t>
  </si>
  <si>
    <t xml:space="preserve">     1.6 Campanhas Educativas</t>
  </si>
  <si>
    <t>1.3 Pessoal de Apoio Operacional</t>
  </si>
  <si>
    <t xml:space="preserve">       Gerente Local</t>
  </si>
  <si>
    <t xml:space="preserve">     Encarregado de Operação e Comercialização</t>
  </si>
  <si>
    <t>1. Despesas com Pessoal</t>
  </si>
  <si>
    <t>2.3 Seguro de vida, Invalidez e funeral</t>
  </si>
  <si>
    <t>2.4 Uniforme/EPI</t>
  </si>
  <si>
    <t>1. Depreciação de Máquinas, Móvel, Utensílios e Equipamentos de Escritório</t>
  </si>
  <si>
    <t>Mesas de Escritório</t>
  </si>
  <si>
    <t xml:space="preserve">Microcomputador </t>
  </si>
  <si>
    <t>Multifuncional laser</t>
  </si>
  <si>
    <t>Mesa escritório</t>
  </si>
  <si>
    <t>Mesa reunião</t>
  </si>
  <si>
    <t>Cadeira escritório fixa</t>
  </si>
  <si>
    <t>Armário duas Portas</t>
  </si>
  <si>
    <t>Arquivo  de Aço</t>
  </si>
  <si>
    <t xml:space="preserve">Equipamento Eletrônico </t>
  </si>
  <si>
    <t>TV 43" Led</t>
  </si>
  <si>
    <t>Terminal PDV (POS ou Celular + Impressora)</t>
  </si>
  <si>
    <t>Power bank - bateria celular</t>
  </si>
  <si>
    <r>
      <t xml:space="preserve">Placa rotativo instalada </t>
    </r>
    <r>
      <rPr>
        <sz val="8"/>
        <color theme="1"/>
        <rFont val="Calibri"/>
        <family val="2"/>
        <scheme val="minor"/>
      </rPr>
      <t>(90x50cm)</t>
    </r>
  </si>
  <si>
    <r>
      <t xml:space="preserve">Placa complementar instalada </t>
    </r>
    <r>
      <rPr>
        <sz val="8"/>
        <color theme="1"/>
        <rFont val="Calibri"/>
        <family val="2"/>
        <scheme val="minor"/>
      </rPr>
      <t>(30x50cm)</t>
    </r>
  </si>
  <si>
    <t>Adesivos identificação postos venda</t>
  </si>
  <si>
    <t>Sinalização</t>
  </si>
  <si>
    <t>Outros Custos de Implantação</t>
  </si>
  <si>
    <t>Material campanhas educativas</t>
  </si>
  <si>
    <r>
      <t xml:space="preserve">Transporte hopedagem </t>
    </r>
    <r>
      <rPr>
        <sz val="8"/>
        <color theme="1"/>
        <rFont val="Calibri"/>
        <family val="2"/>
        <scheme val="minor"/>
      </rPr>
      <t>(implantação)</t>
    </r>
  </si>
  <si>
    <t>Eventuais</t>
  </si>
  <si>
    <t>10% de 80%</t>
  </si>
  <si>
    <t>CÁLCULO DO FATURAMENTO ESTIMADO MENSAL (Com o sistema consolidado)</t>
  </si>
  <si>
    <t>TIPO DE RECEITA</t>
  </si>
  <si>
    <t>VAGAS</t>
  </si>
  <si>
    <t>HORÁRIOS DE FUNCIONAMENTO</t>
  </si>
  <si>
    <t>HORAS OPERADAS POR MÊS</t>
  </si>
  <si>
    <t>HORAS OCUPADAS POR MÊS</t>
  </si>
  <si>
    <t>RECEITA DE HORAS PAGAS POR MÊS (TARIFA HORA = R$2,00)</t>
  </si>
  <si>
    <t>RECEITA BRUTA POR VAGA AO MÊS</t>
  </si>
  <si>
    <t>Est. Rotativo</t>
  </si>
  <si>
    <r>
      <t>2</t>
    </r>
    <r>
      <rPr>
        <sz val="11"/>
        <color theme="1"/>
        <rFont val="Calibri"/>
        <family val="2"/>
      </rPr>
      <t>ª/6ª 8/18 SAB 8/12</t>
    </r>
  </si>
  <si>
    <t>IRPJ (15% de 32% do Faturamento Operadora)</t>
  </si>
  <si>
    <t>CSLL</t>
  </si>
  <si>
    <t>COFINS</t>
  </si>
  <si>
    <t>IRPJ (Adicional)</t>
  </si>
  <si>
    <t>Valor Base</t>
  </si>
  <si>
    <t xml:space="preserve">     1.3 Internet (Chip Dados)</t>
  </si>
  <si>
    <t xml:space="preserve">     1.2 Telefone (chip dados + voz)</t>
  </si>
  <si>
    <t xml:space="preserve">     2.3 Exame Médico Admissional - Demissional</t>
  </si>
  <si>
    <t xml:space="preserve">     2.4 Laudo de Segurança do trabalho</t>
  </si>
  <si>
    <t xml:space="preserve">     1.1 Aluguel de Instalações Escritório</t>
  </si>
  <si>
    <t xml:space="preserve">     4.1 Aplicativo e software de Gestão + Infraeestrutura</t>
  </si>
  <si>
    <t xml:space="preserve">     3.2 Manutenção e Reposição de Sinalização Vertical (placas)</t>
  </si>
  <si>
    <t xml:space="preserve">     3.3 Manutenção e Reposição de Sinalização Vertical (colunas)</t>
  </si>
  <si>
    <t xml:space="preserve">     3.4 Bobinas para impressão de Ticket</t>
  </si>
  <si>
    <t xml:space="preserve">     5.1 Reposição de Equipamentos dos Monitores</t>
  </si>
  <si>
    <t xml:space="preserve">     5.1 Reposição de Equipamentos dos Postos de Venda</t>
  </si>
  <si>
    <t>Mesa de Reunião</t>
  </si>
  <si>
    <t>Cadeira Escritório Giratória</t>
  </si>
  <si>
    <t>Cadeira escritório Fixa</t>
  </si>
  <si>
    <t>Armário Duas Portas</t>
  </si>
  <si>
    <t xml:space="preserve">  Arquivo de Aço</t>
  </si>
  <si>
    <t>Microcomputador</t>
  </si>
  <si>
    <t xml:space="preserve">  Multifuncional Laser</t>
  </si>
  <si>
    <t>TV's 43" Led</t>
  </si>
  <si>
    <t>Power Bank - Bateria C elular</t>
  </si>
  <si>
    <t xml:space="preserve">     Aluguel de Instalações  Escritório</t>
  </si>
  <si>
    <t xml:space="preserve">     Telefone Celular (dados + voz)</t>
  </si>
  <si>
    <t xml:space="preserve">     Internet (Chip dados)</t>
  </si>
  <si>
    <t xml:space="preserve">     Pessoal de Apoio Operacional</t>
  </si>
  <si>
    <t xml:space="preserve">     Manutenção e Reposição de Sinalização Vertical (placas)</t>
  </si>
  <si>
    <t xml:space="preserve">     Manutenção e Reposição de Sinalização Vertical (colunas)</t>
  </si>
  <si>
    <t xml:space="preserve">     5.2 Reposição das impressoras dos Postos de Venda</t>
  </si>
  <si>
    <t xml:space="preserve">Encargos </t>
  </si>
  <si>
    <t>4. Despesa com Software</t>
  </si>
  <si>
    <t>4.1 Locação de software</t>
  </si>
  <si>
    <t>5. Despesa com Reposição</t>
  </si>
  <si>
    <t>5.1 Reposição por quebra</t>
  </si>
  <si>
    <t>6.1 Despesas com as formas de vendas</t>
  </si>
  <si>
    <t>Custo Operacional</t>
  </si>
  <si>
    <t xml:space="preserve">     Bobinas para impressão de Ticket/Recibo</t>
  </si>
  <si>
    <t>FATURAMENTO BRUTO ESTIMADO MENSAL DO OPERADOR:</t>
  </si>
  <si>
    <t>FATURAMENTO BRUTO ESTIMADO MENSAL DO SISTEMA:</t>
  </si>
  <si>
    <t xml:space="preserve">OCUPAÇÃO MÉDIA DAS VAGAS </t>
  </si>
  <si>
    <t xml:space="preserve">     3.4 Bobinas para impressão de Ticket/Recibo</t>
  </si>
  <si>
    <t xml:space="preserve">     4.1 Aplicativos e Software de Gestão + Infraestrutura</t>
  </si>
  <si>
    <t xml:space="preserve">     Aplicativos e Software de Gestão + Infraestrutura</t>
  </si>
  <si>
    <r>
      <t xml:space="preserve">Coluna 3,5m instalada </t>
    </r>
    <r>
      <rPr>
        <sz val="8"/>
        <color theme="1"/>
        <rFont val="Calibri"/>
        <family val="2"/>
        <scheme val="minor"/>
      </rPr>
      <t>(80% placas em coluna)</t>
    </r>
  </si>
  <si>
    <t xml:space="preserve">     1.1 Monitor (+ Reserva)</t>
  </si>
  <si>
    <r>
      <t xml:space="preserve">Pintura de faixas estacionam. </t>
    </r>
    <r>
      <rPr>
        <sz val="8"/>
        <color theme="1"/>
        <rFont val="Calibri"/>
        <family val="2"/>
        <scheme val="minor"/>
      </rPr>
      <t>(1,5m2/vaga)</t>
    </r>
  </si>
  <si>
    <t xml:space="preserve">     2.1 Honorário Advocatícios </t>
  </si>
  <si>
    <t>2% de 60%</t>
  </si>
  <si>
    <t xml:space="preserve">     6.1 Cartão de Crédito/Débito</t>
  </si>
  <si>
    <t xml:space="preserve">     3.1 Manutenção e Reposição de Sinalização Horizontal (20 meses)</t>
  </si>
  <si>
    <t>Cadeira escritório giratória</t>
  </si>
  <si>
    <t>Telefone Celular Monitoramento + Administração</t>
  </si>
  <si>
    <t>RESUMO DOS ORÇAMENTOS DE MATERIAIS E EQUIPAMENTOS</t>
  </si>
  <si>
    <t>EQUIPAMENTO / MATERIAL</t>
  </si>
  <si>
    <t>PREÇO 01</t>
  </si>
  <si>
    <t>PREÇO 02</t>
  </si>
  <si>
    <t>PREÇO 03</t>
  </si>
  <si>
    <t>PREÇO COMPONENTES/OBSERVAÇÕES</t>
  </si>
  <si>
    <t>PREÇO MÉDIO</t>
  </si>
  <si>
    <t>MICROCOMPUTADOR</t>
  </si>
  <si>
    <t>NÃO HÁ</t>
  </si>
  <si>
    <t>MULTIFUNCIONAL LASER</t>
  </si>
  <si>
    <t>MESA DE ESCRITÓRIO</t>
  </si>
  <si>
    <t>MESA DE REUNIÃO</t>
  </si>
  <si>
    <t>CADEIRA DE ESCRITÓRIO GIRATORIA</t>
  </si>
  <si>
    <t>CADEIRA DE ESCRITÓRIO FIXA</t>
  </si>
  <si>
    <t>ARMÁRIO DE ESCRITÓRIO COM DUAS PORTAS</t>
  </si>
  <si>
    <t>ARQUIVO DE AÇO (4 GAVETAS)</t>
  </si>
  <si>
    <t>BEBEDOURO</t>
  </si>
  <si>
    <t>TERMINAL POSTO DE VENDA (POS)</t>
  </si>
  <si>
    <t>TERMINAL POSTO DE VENDA (CELULAR)</t>
  </si>
  <si>
    <t>TERMINAL POSTO DE VENDA (IMPRESSORA PORTÁTIL)</t>
  </si>
  <si>
    <t>POWER BANK (BATERIA PARA CELULAR)</t>
  </si>
  <si>
    <t>TV SMART 43 POLEGADAS (CCO)</t>
  </si>
  <si>
    <t>CAMISA POLO</t>
  </si>
  <si>
    <t>CALÇA JEANS</t>
  </si>
  <si>
    <t>BOTINA EPI</t>
  </si>
  <si>
    <t>BONÉ EPI</t>
  </si>
  <si>
    <r>
      <t xml:space="preserve">SINALIZACAO MANUAL DE FAIXAS E FIGURAS PARA PEDESTRES, COM TINTA A BASE DE RESINA ACRILICA, EM VIAS URBANAS, COM UTILIZACAO DE PISTOLA PNEUMATICA(SPRAY),CONFORME NORMAS DO DER-RJ - </t>
    </r>
    <r>
      <rPr>
        <i/>
        <u/>
        <sz val="9"/>
        <rFont val="Arial"/>
        <family val="2"/>
      </rPr>
      <t>PREÇO POR METRO QUADRADO</t>
    </r>
  </si>
  <si>
    <t>PREÇOS ATUALMENTE VIGENTES NA PREFEITURA DE BARRA MANSA CONFORME PLANILHA ANEXA</t>
  </si>
  <si>
    <r>
      <t>PLACA DE SINALIZACAO, EM CHAPA DE ACO Nº16, TRATADA QUIMICAMENTE, INCLUSIVE PINTURA COM METAL PRIMER NAS DUAS FACES E ESMALTE SINTETICO PRETO NO VERSO.APLICACAO DE PELICULAS REFLETIVAS NO GRAU TECNICO E PELICULA PARA LEGENDA FIXADA ATRAVES DE CASTANHAS DUPLAS EM POSTE DE CONCRETO ARMADO.FORNECIMENTO E COLOCACAO -</t>
    </r>
    <r>
      <rPr>
        <i/>
        <u/>
        <sz val="9"/>
        <rFont val="Arial"/>
        <family val="2"/>
      </rPr>
      <t xml:space="preserve"> PREÇO POR METRO QUADRADO</t>
    </r>
  </si>
  <si>
    <t xml:space="preserve">     2.4 Exame Médico Admissional - Demissional - Periódico</t>
  </si>
  <si>
    <t xml:space="preserve">Selic (Relatório Focus*) + Média </t>
  </si>
  <si>
    <t xml:space="preserve">Obrigação Onerosa/Repasse </t>
  </si>
  <si>
    <r>
      <t xml:space="preserve">     Propaganda e Publicidade </t>
    </r>
    <r>
      <rPr>
        <sz val="11"/>
        <color rgb="FF000000"/>
        <rFont val="Calibri"/>
        <family val="2"/>
      </rPr>
      <t>(panfletagens/internet)</t>
    </r>
  </si>
  <si>
    <t>HORAS PAGAS POR MÊS (RESPEITO DE 50%)</t>
  </si>
  <si>
    <t xml:space="preserve">     5.3 Bota</t>
  </si>
  <si>
    <t xml:space="preserve">     5.4 Boné</t>
  </si>
  <si>
    <t xml:space="preserve">     5.5 Protetor solar FPS 70 (120ml)</t>
  </si>
  <si>
    <t>2. Depreciação de Equipamentos Eletrônicos, TI e Comunicação</t>
  </si>
  <si>
    <t>3. Depreciação de Sinalização</t>
  </si>
  <si>
    <t>Depreciação de Sinalização</t>
  </si>
  <si>
    <t>Composição de Depreciação de Máquinas, Equipamentos e Sinalização</t>
  </si>
  <si>
    <t>RECEITA BRUTA DO OPERADOR POR MÊS 85%  (OUTORGA = 15%)</t>
  </si>
  <si>
    <r>
      <t xml:space="preserve">POSTE DE ACO, RETO,CONICO CONTINUO, ALTURA DE  4 M, COM SAPATA E BASE(PADRAO RIO CIDADE CATETE). FORNECIMENTO - </t>
    </r>
    <r>
      <rPr>
        <i/>
        <u/>
        <sz val="9"/>
        <rFont val="Arial"/>
        <family val="2"/>
      </rPr>
      <t>PREÇO POR UNIDADE</t>
    </r>
  </si>
  <si>
    <t>TIR</t>
  </si>
  <si>
    <t>10,06% (Selic proj.)+</t>
  </si>
  <si>
    <t>http://www.bcb.gov.br/publicacoes/focus/24022023</t>
  </si>
  <si>
    <t xml:space="preserve">     3.1 Manutenção e Reposição de Sinalização Horizontal (24 meses)</t>
  </si>
  <si>
    <t>8,82anos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</si>
</sst>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_-"/>
    <numFmt numFmtId="165" formatCode="0.0000"/>
    <numFmt numFmtId="166" formatCode="#,##0_ ;\-#,##0\ "/>
    <numFmt numFmtId="167" formatCode="0.000%"/>
    <numFmt numFmtId="168" formatCode="_-* #,##0.00_-;\-* #,##0.00_-;_-* \-??_-;_-@_-"/>
    <numFmt numFmtId="169" formatCode="&quot;R$&quot;\ #,##0.00"/>
    <numFmt numFmtId="170" formatCode="0.0%"/>
  </numFmts>
  <fonts count="37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7"/>
      <name val="Calibri"/>
      <family val="2"/>
      <charset val="1"/>
    </font>
    <font>
      <b/>
      <sz val="11"/>
      <color rgb="FF000000"/>
      <name val="Calibri"/>
      <family val="2"/>
    </font>
    <font>
      <sz val="7"/>
      <name val="Calibri"/>
      <family val="2"/>
      <charset val="1"/>
    </font>
    <font>
      <b/>
      <sz val="7"/>
      <name val="Calibri"/>
      <family val="2"/>
    </font>
    <font>
      <sz val="7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u/>
      <sz val="9"/>
      <name val="Arial"/>
      <family val="2"/>
    </font>
    <font>
      <u/>
      <sz val="14.3"/>
      <color theme="10"/>
      <name val="Calibri"/>
      <family val="2"/>
      <charset val="1"/>
    </font>
    <font>
      <b/>
      <sz val="18"/>
      <color theme="1"/>
      <name val="Calibri"/>
      <family val="2"/>
      <scheme val="minor"/>
    </font>
    <font>
      <b/>
      <sz val="12"/>
      <name val="Calibri"/>
      <family val="2"/>
      <charset val="1"/>
    </font>
    <font>
      <b/>
      <sz val="16"/>
      <name val="Calibri"/>
      <family val="2"/>
    </font>
    <font>
      <b/>
      <sz val="5"/>
      <name val="Arial Narrow"/>
      <family val="2"/>
    </font>
    <font>
      <b/>
      <sz val="8"/>
      <color rgb="FF000000"/>
      <name val="Calibri"/>
      <family val="2"/>
    </font>
    <font>
      <sz val="8"/>
      <name val="Calibri"/>
      <family val="2"/>
      <charset val="1"/>
    </font>
    <font>
      <sz val="7"/>
      <color theme="0" tint="-4.9989318521683403E-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A6A6A6"/>
      </patternFill>
    </fill>
    <fill>
      <patternFill patternType="solid">
        <fgColor rgb="FFA6A6A6"/>
        <bgColor rgb="FFBFBFBF"/>
      </patternFill>
    </fill>
    <fill>
      <patternFill patternType="solid">
        <fgColor rgb="FFD9D9D9"/>
        <bgColor rgb="FFF2F2F2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8" fontId="9" fillId="0" borderId="0" applyBorder="0" applyProtection="0"/>
    <xf numFmtId="164" fontId="9" fillId="0" borderId="0" applyBorder="0" applyProtection="0"/>
    <xf numFmtId="9" fontId="9" fillId="0" borderId="0" applyBorder="0" applyProtection="0"/>
    <xf numFmtId="0" fontId="26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42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 applyAlignment="1">
      <alignment horizontal="center" vertical="center"/>
    </xf>
    <xf numFmtId="0" fontId="0" fillId="0" borderId="7" xfId="0" applyFont="1" applyBorder="1"/>
    <xf numFmtId="164" fontId="0" fillId="0" borderId="7" xfId="2" applyFont="1" applyBorder="1" applyAlignment="1" applyProtection="1"/>
    <xf numFmtId="164" fontId="0" fillId="0" borderId="7" xfId="0" applyNumberForma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Border="1"/>
    <xf numFmtId="165" fontId="0" fillId="0" borderId="7" xfId="0" applyNumberFormat="1" applyBorder="1"/>
    <xf numFmtId="0" fontId="0" fillId="0" borderId="8" xfId="0" applyBorder="1" applyAlignment="1">
      <alignment horizontal="center" vertical="center"/>
    </xf>
    <xf numFmtId="0" fontId="0" fillId="0" borderId="8" xfId="0" applyFont="1" applyBorder="1"/>
    <xf numFmtId="164" fontId="0" fillId="0" borderId="8" xfId="2" applyFont="1" applyBorder="1" applyAlignment="1" applyProtection="1"/>
    <xf numFmtId="164" fontId="0" fillId="0" borderId="8" xfId="0" applyNumberFormat="1" applyBorder="1"/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0" xfId="0" applyBorder="1" applyAlignment="1">
      <alignment horizontal="center"/>
    </xf>
    <xf numFmtId="9" fontId="0" fillId="0" borderId="8" xfId="0" applyNumberFormat="1" applyBorder="1"/>
    <xf numFmtId="0" fontId="0" fillId="0" borderId="8" xfId="0" applyBorder="1"/>
    <xf numFmtId="0" fontId="0" fillId="0" borderId="11" xfId="0" applyBorder="1"/>
    <xf numFmtId="164" fontId="0" fillId="0" borderId="11" xfId="2" applyFont="1" applyBorder="1" applyAlignment="1" applyProtection="1"/>
    <xf numFmtId="164" fontId="0" fillId="0" borderId="11" xfId="0" applyNumberFormat="1" applyBorder="1"/>
    <xf numFmtId="0" fontId="0" fillId="0" borderId="11" xfId="0" applyFont="1" applyBorder="1" applyAlignment="1">
      <alignment horizontal="center"/>
    </xf>
    <xf numFmtId="9" fontId="0" fillId="0" borderId="7" xfId="3" applyFont="1" applyBorder="1" applyAlignment="1" applyProtection="1"/>
    <xf numFmtId="0" fontId="0" fillId="0" borderId="12" xfId="0" applyFont="1" applyBorder="1"/>
    <xf numFmtId="0" fontId="0" fillId="0" borderId="12" xfId="0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0" xfId="0" applyBorder="1" applyAlignment="1"/>
    <xf numFmtId="0" fontId="0" fillId="0" borderId="14" xfId="0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164" fontId="0" fillId="0" borderId="18" xfId="0" applyNumberFormat="1" applyBorder="1"/>
    <xf numFmtId="0" fontId="0" fillId="0" borderId="19" xfId="0" applyFont="1" applyBorder="1"/>
    <xf numFmtId="164" fontId="0" fillId="0" borderId="20" xfId="2" applyFont="1" applyBorder="1" applyAlignment="1" applyProtection="1"/>
    <xf numFmtId="164" fontId="0" fillId="0" borderId="21" xfId="2" applyFont="1" applyBorder="1" applyAlignment="1" applyProtection="1"/>
    <xf numFmtId="164" fontId="3" fillId="0" borderId="10" xfId="2" applyFont="1" applyBorder="1" applyAlignment="1" applyProtection="1"/>
    <xf numFmtId="164" fontId="3" fillId="0" borderId="6" xfId="2" applyFont="1" applyBorder="1" applyAlignment="1" applyProtection="1"/>
    <xf numFmtId="0" fontId="2" fillId="0" borderId="0" xfId="0" applyFont="1" applyBorder="1" applyAlignment="1"/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/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164" fontId="0" fillId="0" borderId="0" xfId="2" applyFont="1" applyBorder="1" applyAlignment="1" applyProtection="1"/>
    <xf numFmtId="0" fontId="0" fillId="0" borderId="15" xfId="0" applyBorder="1" applyAlignment="1">
      <alignment horizontal="center"/>
    </xf>
    <xf numFmtId="164" fontId="0" fillId="0" borderId="15" xfId="2" applyFont="1" applyBorder="1" applyAlignment="1" applyProtection="1"/>
    <xf numFmtId="166" fontId="0" fillId="0" borderId="15" xfId="2" applyNumberFormat="1" applyFont="1" applyBorder="1" applyAlignment="1" applyProtection="1"/>
    <xf numFmtId="166" fontId="0" fillId="0" borderId="8" xfId="2" applyNumberFormat="1" applyFont="1" applyBorder="1" applyAlignment="1" applyProtection="1"/>
    <xf numFmtId="164" fontId="0" fillId="0" borderId="0" xfId="0" applyNumberFormat="1"/>
    <xf numFmtId="164" fontId="3" fillId="0" borderId="8" xfId="2" applyFont="1" applyBorder="1" applyAlignment="1" applyProtection="1"/>
    <xf numFmtId="164" fontId="0" fillId="0" borderId="0" xfId="0" applyNumberFormat="1" applyBorder="1"/>
    <xf numFmtId="0" fontId="3" fillId="0" borderId="28" xfId="0" applyFont="1" applyBorder="1" applyAlignment="1">
      <alignment horizontal="center"/>
    </xf>
    <xf numFmtId="10" fontId="0" fillId="0" borderId="8" xfId="0" applyNumberFormat="1" applyBorder="1"/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0" fillId="0" borderId="7" xfId="0" applyBorder="1"/>
    <xf numFmtId="164" fontId="9" fillId="0" borderId="8" xfId="2" applyBorder="1" applyProtection="1"/>
    <xf numFmtId="164" fontId="9" fillId="0" borderId="0" xfId="2" applyBorder="1" applyProtection="1"/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Font="1" applyBorder="1"/>
    <xf numFmtId="0" fontId="0" fillId="0" borderId="29" xfId="0" applyBorder="1"/>
    <xf numFmtId="0" fontId="6" fillId="0" borderId="12" xfId="0" applyFont="1" applyBorder="1"/>
    <xf numFmtId="164" fontId="0" fillId="0" borderId="12" xfId="2" applyFont="1" applyBorder="1" applyAlignment="1" applyProtection="1"/>
    <xf numFmtId="10" fontId="0" fillId="0" borderId="12" xfId="0" applyNumberFormat="1" applyBorder="1"/>
    <xf numFmtId="0" fontId="0" fillId="0" borderId="30" xfId="0" applyBorder="1"/>
    <xf numFmtId="0" fontId="6" fillId="0" borderId="0" xfId="0" applyFont="1"/>
    <xf numFmtId="9" fontId="0" fillId="0" borderId="12" xfId="0" applyNumberFormat="1" applyBorder="1" applyAlignment="1">
      <alignment horizontal="center"/>
    </xf>
    <xf numFmtId="10" fontId="0" fillId="0" borderId="30" xfId="0" applyNumberFormat="1" applyBorder="1" applyAlignment="1">
      <alignment horizontal="center"/>
    </xf>
    <xf numFmtId="0" fontId="0" fillId="0" borderId="24" xfId="0" applyFont="1" applyBorder="1" applyAlignment="1">
      <alignment horizontal="center"/>
    </xf>
    <xf numFmtId="9" fontId="0" fillId="0" borderId="24" xfId="0" applyNumberFormat="1" applyBorder="1" applyAlignment="1">
      <alignment horizontal="center"/>
    </xf>
    <xf numFmtId="10" fontId="0" fillId="0" borderId="12" xfId="3" applyNumberFormat="1" applyFont="1" applyBorder="1" applyAlignment="1" applyProtection="1"/>
    <xf numFmtId="164" fontId="0" fillId="0" borderId="12" xfId="0" applyNumberFormat="1" applyBorder="1"/>
    <xf numFmtId="0" fontId="0" fillId="0" borderId="29" xfId="0" applyBorder="1" applyAlignment="1">
      <alignment horizontal="center"/>
    </xf>
    <xf numFmtId="166" fontId="0" fillId="0" borderId="12" xfId="0" applyNumberFormat="1" applyBorder="1"/>
    <xf numFmtId="49" fontId="0" fillId="0" borderId="12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6" fillId="0" borderId="30" xfId="0" applyFont="1" applyBorder="1"/>
    <xf numFmtId="49" fontId="0" fillId="0" borderId="30" xfId="0" applyNumberFormat="1" applyFont="1" applyBorder="1" applyAlignment="1">
      <alignment horizontal="center"/>
    </xf>
    <xf numFmtId="10" fontId="0" fillId="0" borderId="30" xfId="0" applyNumberFormat="1" applyBorder="1"/>
    <xf numFmtId="49" fontId="0" fillId="0" borderId="25" xfId="0" applyNumberFormat="1" applyFont="1" applyBorder="1" applyAlignment="1">
      <alignment horizontal="center"/>
    </xf>
    <xf numFmtId="10" fontId="0" fillId="0" borderId="25" xfId="0" applyNumberFormat="1" applyBorder="1"/>
    <xf numFmtId="0" fontId="0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 wrapText="1"/>
    </xf>
    <xf numFmtId="0" fontId="6" fillId="0" borderId="35" xfId="0" applyFont="1" applyBorder="1"/>
    <xf numFmtId="0" fontId="7" fillId="0" borderId="12" xfId="0" applyFont="1" applyBorder="1"/>
    <xf numFmtId="0" fontId="6" fillId="0" borderId="29" xfId="0" applyFont="1" applyBorder="1"/>
    <xf numFmtId="49" fontId="0" fillId="0" borderId="12" xfId="0" applyNumberFormat="1" applyFont="1" applyBorder="1"/>
    <xf numFmtId="49" fontId="0" fillId="0" borderId="30" xfId="0" applyNumberFormat="1" applyBorder="1"/>
    <xf numFmtId="0" fontId="6" fillId="0" borderId="34" xfId="0" applyFont="1" applyBorder="1"/>
    <xf numFmtId="10" fontId="0" fillId="2" borderId="30" xfId="0" applyNumberFormat="1" applyFill="1" applyBorder="1"/>
    <xf numFmtId="0" fontId="7" fillId="0" borderId="12" xfId="0" applyFont="1" applyBorder="1" applyAlignment="1">
      <alignment wrapText="1"/>
    </xf>
    <xf numFmtId="0" fontId="6" fillId="0" borderId="23" xfId="0" applyFont="1" applyBorder="1"/>
    <xf numFmtId="0" fontId="7" fillId="0" borderId="34" xfId="0" applyFont="1" applyBorder="1"/>
    <xf numFmtId="0" fontId="0" fillId="0" borderId="35" xfId="0" applyFont="1" applyBorder="1" applyAlignment="1">
      <alignment horizontal="center"/>
    </xf>
    <xf numFmtId="0" fontId="7" fillId="0" borderId="24" xfId="0" applyFont="1" applyBorder="1"/>
    <xf numFmtId="10" fontId="0" fillId="2" borderId="35" xfId="0" applyNumberFormat="1" applyFill="1" applyBorder="1"/>
    <xf numFmtId="0" fontId="0" fillId="3" borderId="8" xfId="0" applyFont="1" applyFill="1" applyBorder="1"/>
    <xf numFmtId="0" fontId="6" fillId="3" borderId="8" xfId="0" applyFont="1" applyFill="1" applyBorder="1"/>
    <xf numFmtId="164" fontId="3" fillId="0" borderId="11" xfId="0" applyNumberFormat="1" applyFont="1" applyBorder="1"/>
    <xf numFmtId="10" fontId="0" fillId="0" borderId="0" xfId="3" applyNumberFormat="1" applyFont="1" applyBorder="1" applyAlignment="1" applyProtection="1"/>
    <xf numFmtId="10" fontId="0" fillId="0" borderId="7" xfId="3" applyNumberFormat="1" applyFont="1" applyBorder="1" applyAlignment="1" applyProtection="1"/>
    <xf numFmtId="164" fontId="3" fillId="0" borderId="0" xfId="0" applyNumberFormat="1" applyFont="1"/>
    <xf numFmtId="0" fontId="0" fillId="4" borderId="0" xfId="0" applyFont="1" applyFill="1" applyBorder="1"/>
    <xf numFmtId="0" fontId="0" fillId="4" borderId="0" xfId="0" applyFont="1" applyFill="1"/>
    <xf numFmtId="164" fontId="3" fillId="4" borderId="0" xfId="0" applyNumberFormat="1" applyFont="1" applyFill="1"/>
    <xf numFmtId="0" fontId="0" fillId="0" borderId="0" xfId="0" applyFont="1" applyBorder="1" applyAlignment="1"/>
    <xf numFmtId="0" fontId="0" fillId="0" borderId="7" xfId="0" applyFont="1" applyBorder="1" applyAlignment="1"/>
    <xf numFmtId="164" fontId="3" fillId="0" borderId="0" xfId="0" applyNumberFormat="1" applyFont="1" applyBorder="1"/>
    <xf numFmtId="0" fontId="0" fillId="0" borderId="0" xfId="0" applyFont="1" applyAlignment="1"/>
    <xf numFmtId="0" fontId="8" fillId="0" borderId="0" xfId="0" applyFont="1" applyBorder="1" applyAlignment="1"/>
    <xf numFmtId="0" fontId="0" fillId="3" borderId="0" xfId="0" applyFont="1" applyFill="1" applyBorder="1" applyAlignment="1"/>
    <xf numFmtId="0" fontId="0" fillId="3" borderId="0" xfId="0" applyFont="1" applyFill="1"/>
    <xf numFmtId="164" fontId="0" fillId="3" borderId="0" xfId="0" applyNumberFormat="1" applyFill="1"/>
    <xf numFmtId="0" fontId="0" fillId="3" borderId="0" xfId="0" applyFill="1" applyBorder="1"/>
    <xf numFmtId="10" fontId="0" fillId="3" borderId="0" xfId="3" applyNumberFormat="1" applyFont="1" applyFill="1" applyBorder="1" applyAlignment="1" applyProtection="1"/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/>
    <xf numFmtId="0" fontId="0" fillId="0" borderId="29" xfId="0" applyFont="1" applyBorder="1"/>
    <xf numFmtId="0" fontId="0" fillId="0" borderId="23" xfId="0" applyFont="1" applyBorder="1"/>
    <xf numFmtId="164" fontId="6" fillId="0" borderId="0" xfId="0" applyNumberFormat="1" applyFont="1"/>
    <xf numFmtId="43" fontId="6" fillId="0" borderId="0" xfId="0" applyNumberFormat="1" applyFont="1"/>
    <xf numFmtId="10" fontId="0" fillId="0" borderId="7" xfId="0" applyNumberFormat="1" applyBorder="1"/>
    <xf numFmtId="0" fontId="0" fillId="0" borderId="12" xfId="0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164" fontId="11" fillId="0" borderId="24" xfId="2" applyFont="1" applyBorder="1" applyAlignment="1" applyProtection="1"/>
    <xf numFmtId="164" fontId="11" fillId="0" borderId="24" xfId="0" applyNumberFormat="1" applyFont="1" applyBorder="1"/>
    <xf numFmtId="164" fontId="11" fillId="0" borderId="25" xfId="0" applyNumberFormat="1" applyFont="1" applyBorder="1"/>
    <xf numFmtId="164" fontId="11" fillId="0" borderId="34" xfId="2" applyFont="1" applyBorder="1" applyAlignment="1" applyProtection="1"/>
    <xf numFmtId="164" fontId="11" fillId="0" borderId="34" xfId="0" applyNumberFormat="1" applyFont="1" applyBorder="1"/>
    <xf numFmtId="164" fontId="11" fillId="0" borderId="35" xfId="0" applyNumberFormat="1" applyFont="1" applyBorder="1"/>
    <xf numFmtId="9" fontId="13" fillId="0" borderId="12" xfId="0" applyNumberFormat="1" applyFont="1" applyBorder="1"/>
    <xf numFmtId="164" fontId="13" fillId="0" borderId="12" xfId="0" applyNumberFormat="1" applyFont="1" applyBorder="1"/>
    <xf numFmtId="164" fontId="13" fillId="0" borderId="30" xfId="0" applyNumberFormat="1" applyFont="1" applyBorder="1"/>
    <xf numFmtId="10" fontId="13" fillId="0" borderId="12" xfId="0" applyNumberFormat="1" applyFont="1" applyBorder="1"/>
    <xf numFmtId="164" fontId="13" fillId="0" borderId="24" xfId="0" applyNumberFormat="1" applyFont="1" applyBorder="1"/>
    <xf numFmtId="164" fontId="11" fillId="0" borderId="3" xfId="0" applyNumberFormat="1" applyFont="1" applyBorder="1"/>
    <xf numFmtId="164" fontId="11" fillId="0" borderId="12" xfId="0" applyNumberFormat="1" applyFont="1" applyBorder="1"/>
    <xf numFmtId="164" fontId="11" fillId="0" borderId="30" xfId="0" applyNumberFormat="1" applyFont="1" applyBorder="1"/>
    <xf numFmtId="0" fontId="13" fillId="0" borderId="29" xfId="0" applyFont="1" applyBorder="1"/>
    <xf numFmtId="0" fontId="13" fillId="0" borderId="23" xfId="0" applyFont="1" applyBorder="1"/>
    <xf numFmtId="164" fontId="13" fillId="0" borderId="25" xfId="0" applyNumberFormat="1" applyFont="1" applyBorder="1"/>
    <xf numFmtId="10" fontId="13" fillId="0" borderId="24" xfId="3" applyNumberFormat="1" applyFont="1" applyBorder="1" applyAlignment="1" applyProtection="1"/>
    <xf numFmtId="10" fontId="13" fillId="0" borderId="25" xfId="3" applyNumberFormat="1" applyFont="1" applyBorder="1" applyAlignment="1" applyProtection="1"/>
    <xf numFmtId="0" fontId="13" fillId="0" borderId="0" xfId="0" applyFont="1"/>
    <xf numFmtId="164" fontId="11" fillId="0" borderId="4" xfId="0" applyNumberFormat="1" applyFont="1" applyBorder="1"/>
    <xf numFmtId="10" fontId="11" fillId="0" borderId="24" xfId="3" applyNumberFormat="1" applyFont="1" applyBorder="1" applyAlignment="1" applyProtection="1"/>
    <xf numFmtId="10" fontId="11" fillId="0" borderId="25" xfId="3" applyNumberFormat="1" applyFont="1" applyBorder="1" applyAlignment="1" applyProtection="1"/>
    <xf numFmtId="0" fontId="15" fillId="0" borderId="14" xfId="0" applyFont="1" applyBorder="1"/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4" fillId="0" borderId="44" xfId="0" applyFont="1" applyBorder="1"/>
    <xf numFmtId="164" fontId="15" fillId="0" borderId="26" xfId="0" applyNumberFormat="1" applyFont="1" applyBorder="1"/>
    <xf numFmtId="164" fontId="15" fillId="0" borderId="45" xfId="0" applyNumberFormat="1" applyFont="1" applyBorder="1"/>
    <xf numFmtId="0" fontId="15" fillId="0" borderId="0" xfId="0" applyFont="1"/>
    <xf numFmtId="0" fontId="15" fillId="0" borderId="15" xfId="2" applyNumberFormat="1" applyFont="1" applyBorder="1" applyAlignment="1" applyProtection="1">
      <alignment horizontal="center"/>
    </xf>
    <xf numFmtId="164" fontId="15" fillId="0" borderId="8" xfId="2" applyFont="1" applyBorder="1" applyAlignment="1" applyProtection="1"/>
    <xf numFmtId="164" fontId="15" fillId="0" borderId="8" xfId="0" applyNumberFormat="1" applyFont="1" applyBorder="1"/>
    <xf numFmtId="164" fontId="15" fillId="0" borderId="41" xfId="0" applyNumberFormat="1" applyFont="1" applyBorder="1"/>
    <xf numFmtId="0" fontId="15" fillId="0" borderId="8" xfId="2" applyNumberFormat="1" applyFont="1" applyBorder="1" applyAlignment="1" applyProtection="1"/>
    <xf numFmtId="0" fontId="15" fillId="0" borderId="19" xfId="0" applyFont="1" applyBorder="1" applyAlignment="1">
      <alignment horizontal="right"/>
    </xf>
    <xf numFmtId="164" fontId="14" fillId="0" borderId="20" xfId="2" applyFont="1" applyBorder="1" applyAlignment="1" applyProtection="1"/>
    <xf numFmtId="0" fontId="15" fillId="0" borderId="20" xfId="0" applyFont="1" applyBorder="1"/>
    <xf numFmtId="0" fontId="15" fillId="0" borderId="21" xfId="0" applyFont="1" applyBorder="1"/>
    <xf numFmtId="9" fontId="15" fillId="0" borderId="0" xfId="0" applyNumberFormat="1" applyFont="1"/>
    <xf numFmtId="164" fontId="15" fillId="0" borderId="0" xfId="2" applyFont="1" applyBorder="1" applyAlignment="1" applyProtection="1"/>
    <xf numFmtId="0" fontId="14" fillId="0" borderId="7" xfId="0" applyFont="1" applyBorder="1"/>
    <xf numFmtId="10" fontId="14" fillId="0" borderId="7" xfId="3" applyNumberFormat="1" applyFont="1" applyBorder="1" applyAlignment="1" applyProtection="1"/>
    <xf numFmtId="10" fontId="15" fillId="0" borderId="0" xfId="0" applyNumberFormat="1" applyFont="1"/>
    <xf numFmtId="0" fontId="14" fillId="0" borderId="8" xfId="0" applyFont="1" applyBorder="1"/>
    <xf numFmtId="10" fontId="14" fillId="0" borderId="8" xfId="3" applyNumberFormat="1" applyFont="1" applyBorder="1" applyAlignment="1" applyProtection="1"/>
    <xf numFmtId="168" fontId="14" fillId="0" borderId="7" xfId="1" applyFont="1" applyBorder="1" applyAlignment="1" applyProtection="1">
      <alignment horizontal="right"/>
    </xf>
    <xf numFmtId="168" fontId="15" fillId="0" borderId="8" xfId="0" applyNumberFormat="1" applyFont="1" applyBorder="1"/>
    <xf numFmtId="168" fontId="15" fillId="0" borderId="0" xfId="1" applyFont="1" applyBorder="1" applyAlignment="1" applyProtection="1"/>
    <xf numFmtId="0" fontId="15" fillId="0" borderId="8" xfId="0" applyFont="1" applyBorder="1"/>
    <xf numFmtId="168" fontId="14" fillId="0" borderId="20" xfId="1" applyFont="1" applyBorder="1" applyAlignment="1" applyProtection="1">
      <alignment horizontal="right"/>
    </xf>
    <xf numFmtId="0" fontId="14" fillId="0" borderId="0" xfId="0" applyFont="1"/>
    <xf numFmtId="168" fontId="15" fillId="0" borderId="0" xfId="0" applyNumberFormat="1" applyFont="1"/>
    <xf numFmtId="0" fontId="0" fillId="0" borderId="7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 vertical="center"/>
    </xf>
    <xf numFmtId="44" fontId="0" fillId="0" borderId="15" xfId="0" applyNumberFormat="1" applyBorder="1" applyAlignment="1">
      <alignment horizontal="right" vertical="center"/>
    </xf>
    <xf numFmtId="44" fontId="0" fillId="0" borderId="8" xfId="0" applyNumberFormat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10" fillId="0" borderId="46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15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15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4" fontId="10" fillId="0" borderId="15" xfId="0" applyNumberFormat="1" applyFont="1" applyBorder="1" applyAlignment="1">
      <alignment horizontal="right"/>
    </xf>
    <xf numFmtId="4" fontId="10" fillId="0" borderId="8" xfId="0" applyNumberFormat="1" applyFont="1" applyBorder="1" applyAlignment="1">
      <alignment horizontal="right"/>
    </xf>
    <xf numFmtId="4" fontId="10" fillId="0" borderId="7" xfId="0" applyNumberFormat="1" applyFont="1" applyBorder="1" applyAlignment="1">
      <alignment horizontal="right"/>
    </xf>
    <xf numFmtId="0" fontId="10" fillId="0" borderId="7" xfId="0" applyFont="1" applyBorder="1" applyAlignment="1">
      <alignment horizontal="left"/>
    </xf>
    <xf numFmtId="0" fontId="17" fillId="0" borderId="12" xfId="0" applyFont="1" applyBorder="1" applyAlignment="1">
      <alignment horizontal="center" wrapText="1"/>
    </xf>
    <xf numFmtId="0" fontId="0" fillId="0" borderId="12" xfId="0" applyBorder="1"/>
    <xf numFmtId="3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169" fontId="0" fillId="0" borderId="12" xfId="0" applyNumberFormat="1" applyBorder="1" applyAlignment="1">
      <alignment horizontal="center"/>
    </xf>
    <xf numFmtId="169" fontId="19" fillId="0" borderId="38" xfId="0" applyNumberFormat="1" applyFon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169" fontId="0" fillId="0" borderId="8" xfId="0" applyNumberFormat="1" applyFont="1" applyBorder="1"/>
    <xf numFmtId="9" fontId="0" fillId="0" borderId="8" xfId="0" applyNumberFormat="1" applyFont="1" applyBorder="1"/>
    <xf numFmtId="2" fontId="0" fillId="0" borderId="8" xfId="0" applyNumberFormat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7" xfId="0" applyBorder="1" applyAlignment="1"/>
    <xf numFmtId="0" fontId="0" fillId="4" borderId="0" xfId="0" applyFill="1" applyAlignment="1">
      <alignment horizontal="left"/>
    </xf>
    <xf numFmtId="0" fontId="0" fillId="0" borderId="0" xfId="0" applyAlignment="1">
      <alignment horizontal="left"/>
    </xf>
    <xf numFmtId="0" fontId="0" fillId="4" borderId="0" xfId="0" applyFill="1" applyBorder="1"/>
    <xf numFmtId="0" fontId="0" fillId="0" borderId="0" xfId="0" applyFill="1" applyBorder="1" applyAlignment="1"/>
    <xf numFmtId="10" fontId="0" fillId="5" borderId="0" xfId="3" applyNumberFormat="1" applyFont="1" applyFill="1" applyBorder="1" applyAlignment="1" applyProtection="1"/>
    <xf numFmtId="164" fontId="3" fillId="4" borderId="0" xfId="0" applyNumberFormat="1" applyFont="1" applyFill="1" applyBorder="1"/>
    <xf numFmtId="169" fontId="0" fillId="0" borderId="38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69" fontId="20" fillId="0" borderId="47" xfId="0" applyNumberFormat="1" applyFont="1" applyBorder="1" applyAlignment="1">
      <alignment horizontal="center"/>
    </xf>
    <xf numFmtId="0" fontId="0" fillId="0" borderId="12" xfId="2" applyNumberFormat="1" applyFont="1" applyBorder="1" applyAlignment="1" applyProtection="1"/>
    <xf numFmtId="10" fontId="13" fillId="0" borderId="24" xfId="0" applyNumberFormat="1" applyFont="1" applyBorder="1"/>
    <xf numFmtId="44" fontId="11" fillId="0" borderId="34" xfId="0" applyNumberFormat="1" applyFont="1" applyBorder="1"/>
    <xf numFmtId="44" fontId="11" fillId="0" borderId="35" xfId="0" applyNumberFormat="1" applyFont="1" applyBorder="1"/>
    <xf numFmtId="44" fontId="13" fillId="0" borderId="12" xfId="0" applyNumberFormat="1" applyFont="1" applyBorder="1"/>
    <xf numFmtId="44" fontId="13" fillId="0" borderId="30" xfId="0" applyNumberFormat="1" applyFont="1" applyBorder="1"/>
    <xf numFmtId="44" fontId="13" fillId="0" borderId="24" xfId="0" applyNumberFormat="1" applyFont="1" applyBorder="1"/>
    <xf numFmtId="44" fontId="13" fillId="0" borderId="25" xfId="0" applyNumberFormat="1" applyFont="1" applyBorder="1"/>
    <xf numFmtId="0" fontId="22" fillId="0" borderId="0" xfId="0" applyFont="1"/>
    <xf numFmtId="0" fontId="23" fillId="0" borderId="12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/>
    <xf numFmtId="169" fontId="24" fillId="0" borderId="12" xfId="2" applyNumberFormat="1" applyFont="1" applyBorder="1" applyAlignment="1">
      <alignment horizontal="right" vertical="center"/>
    </xf>
    <xf numFmtId="0" fontId="24" fillId="0" borderId="12" xfId="0" applyFont="1" applyBorder="1" applyAlignment="1">
      <alignment horizontal="center"/>
    </xf>
    <xf numFmtId="169" fontId="25" fillId="0" borderId="12" xfId="2" applyNumberFormat="1" applyFont="1" applyBorder="1" applyAlignment="1">
      <alignment horizontal="center" vertical="center"/>
    </xf>
    <xf numFmtId="0" fontId="24" fillId="0" borderId="28" xfId="0" applyFont="1" applyBorder="1"/>
    <xf numFmtId="169" fontId="24" fillId="0" borderId="48" xfId="2" applyNumberFormat="1" applyFont="1" applyBorder="1" applyAlignment="1">
      <alignment horizontal="right" vertical="center"/>
    </xf>
    <xf numFmtId="169" fontId="24" fillId="0" borderId="28" xfId="2" applyNumberFormat="1" applyFont="1" applyBorder="1" applyAlignment="1">
      <alignment horizontal="right" vertical="center"/>
    </xf>
    <xf numFmtId="169" fontId="24" fillId="0" borderId="47" xfId="2" applyNumberFormat="1" applyFont="1" applyBorder="1" applyAlignment="1">
      <alignment horizontal="right" vertical="center"/>
    </xf>
    <xf numFmtId="169" fontId="24" fillId="0" borderId="11" xfId="2" applyNumberFormat="1" applyFont="1" applyBorder="1" applyAlignment="1">
      <alignment horizontal="center" vertical="center"/>
    </xf>
    <xf numFmtId="0" fontId="24" fillId="0" borderId="49" xfId="0" applyFont="1" applyBorder="1"/>
    <xf numFmtId="169" fontId="24" fillId="0" borderId="13" xfId="2" applyNumberFormat="1" applyFont="1" applyBorder="1" applyAlignment="1">
      <alignment horizontal="right" vertical="center"/>
    </xf>
    <xf numFmtId="169" fontId="24" fillId="0" borderId="49" xfId="2" applyNumberFormat="1" applyFont="1" applyBorder="1" applyAlignment="1">
      <alignment horizontal="right" vertical="center"/>
    </xf>
    <xf numFmtId="169" fontId="24" fillId="0" borderId="50" xfId="2" applyNumberFormat="1" applyFont="1" applyBorder="1" applyAlignment="1">
      <alignment horizontal="right" vertical="center"/>
    </xf>
    <xf numFmtId="169" fontId="24" fillId="0" borderId="0" xfId="2" applyNumberFormat="1" applyFont="1" applyBorder="1" applyAlignment="1">
      <alignment horizontal="center" vertical="center"/>
    </xf>
    <xf numFmtId="0" fontId="24" fillId="0" borderId="38" xfId="0" applyFont="1" applyBorder="1"/>
    <xf numFmtId="169" fontId="24" fillId="0" borderId="51" xfId="2" applyNumberFormat="1" applyFont="1" applyBorder="1" applyAlignment="1">
      <alignment horizontal="right" vertical="center"/>
    </xf>
    <xf numFmtId="169" fontId="24" fillId="0" borderId="38" xfId="2" applyNumberFormat="1" applyFont="1" applyBorder="1" applyAlignment="1">
      <alignment horizontal="right" vertical="center"/>
    </xf>
    <xf numFmtId="169" fontId="24" fillId="0" borderId="52" xfId="2" applyNumberFormat="1" applyFont="1" applyBorder="1" applyAlignment="1">
      <alignment horizontal="right" vertical="center"/>
    </xf>
    <xf numFmtId="169" fontId="24" fillId="0" borderId="7" xfId="2" applyNumberFormat="1" applyFont="1" applyBorder="1" applyAlignment="1">
      <alignment horizontal="center" vertical="center"/>
    </xf>
    <xf numFmtId="0" fontId="24" fillId="0" borderId="12" xfId="0" applyFont="1" applyFill="1" applyBorder="1"/>
    <xf numFmtId="169" fontId="0" fillId="0" borderId="12" xfId="2" applyNumberFormat="1" applyFont="1" applyBorder="1" applyAlignment="1">
      <alignment horizontal="right" vertical="center"/>
    </xf>
    <xf numFmtId="169" fontId="1" fillId="0" borderId="12" xfId="2" applyNumberFormat="1" applyFont="1" applyBorder="1" applyAlignment="1">
      <alignment horizontal="center" vertical="center"/>
    </xf>
    <xf numFmtId="169" fontId="25" fillId="0" borderId="12" xfId="0" applyNumberFormat="1" applyFont="1" applyFill="1" applyBorder="1" applyAlignment="1">
      <alignment horizontal="center" vertical="center"/>
    </xf>
    <xf numFmtId="43" fontId="15" fillId="0" borderId="0" xfId="0" applyNumberFormat="1" applyFont="1"/>
    <xf numFmtId="0" fontId="29" fillId="0" borderId="0" xfId="5" applyAlignment="1" applyProtection="1"/>
    <xf numFmtId="2" fontId="15" fillId="0" borderId="20" xfId="0" applyNumberFormat="1" applyFont="1" applyBorder="1"/>
    <xf numFmtId="2" fontId="15" fillId="0" borderId="0" xfId="0" applyNumberFormat="1" applyFont="1" applyAlignment="1">
      <alignment horizontal="right"/>
    </xf>
    <xf numFmtId="0" fontId="30" fillId="0" borderId="0" xfId="0" applyFont="1"/>
    <xf numFmtId="0" fontId="0" fillId="0" borderId="0" xfId="0" applyAlignment="1">
      <alignment horizontal="center"/>
    </xf>
    <xf numFmtId="43" fontId="7" fillId="0" borderId="24" xfId="0" applyNumberFormat="1" applyFont="1" applyBorder="1"/>
    <xf numFmtId="43" fontId="7" fillId="0" borderId="25" xfId="0" applyNumberFormat="1" applyFont="1" applyBorder="1"/>
    <xf numFmtId="0" fontId="14" fillId="0" borderId="12" xfId="0" applyFont="1" applyBorder="1"/>
    <xf numFmtId="10" fontId="14" fillId="0" borderId="12" xfId="0" applyNumberFormat="1" applyFont="1" applyBorder="1" applyAlignment="1">
      <alignment horizontal="right"/>
    </xf>
    <xf numFmtId="164" fontId="15" fillId="0" borderId="0" xfId="0" applyNumberFormat="1" applyFont="1" applyBorder="1"/>
    <xf numFmtId="168" fontId="14" fillId="0" borderId="0" xfId="1" applyFont="1" applyBorder="1" applyAlignment="1" applyProtection="1">
      <alignment horizontal="right"/>
    </xf>
    <xf numFmtId="168" fontId="15" fillId="0" borderId="0" xfId="0" applyNumberFormat="1" applyFont="1" applyBorder="1"/>
    <xf numFmtId="0" fontId="33" fillId="0" borderId="0" xfId="0" applyFont="1" applyBorder="1"/>
    <xf numFmtId="0" fontId="0" fillId="0" borderId="23" xfId="0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0" xfId="0" applyAlignment="1"/>
    <xf numFmtId="164" fontId="14" fillId="0" borderId="12" xfId="0" applyNumberFormat="1" applyFont="1" applyBorder="1"/>
    <xf numFmtId="164" fontId="14" fillId="0" borderId="30" xfId="0" applyNumberFormat="1" applyFont="1" applyBorder="1"/>
    <xf numFmtId="170" fontId="7" fillId="0" borderId="24" xfId="0" applyNumberFormat="1" applyFont="1" applyBorder="1"/>
    <xf numFmtId="170" fontId="0" fillId="0" borderId="7" xfId="0" applyNumberFormat="1" applyBorder="1"/>
    <xf numFmtId="170" fontId="0" fillId="0" borderId="8" xfId="0" applyNumberFormat="1" applyBorder="1"/>
    <xf numFmtId="167" fontId="0" fillId="0" borderId="30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10" fontId="0" fillId="0" borderId="25" xfId="0" applyNumberFormat="1" applyBorder="1" applyAlignment="1">
      <alignment horizontal="center"/>
    </xf>
    <xf numFmtId="10" fontId="0" fillId="0" borderId="7" xfId="0" applyNumberFormat="1" applyBorder="1" applyAlignment="1">
      <alignment horizontal="center"/>
    </xf>
    <xf numFmtId="10" fontId="34" fillId="0" borderId="43" xfId="3" applyNumberFormat="1" applyFont="1" applyBorder="1"/>
    <xf numFmtId="1" fontId="36" fillId="0" borderId="20" xfId="0" applyNumberFormat="1" applyFont="1" applyBorder="1" applyAlignment="1">
      <alignment horizontal="center" vertical="center"/>
    </xf>
    <xf numFmtId="1" fontId="36" fillId="0" borderId="2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left"/>
    </xf>
    <xf numFmtId="169" fontId="25" fillId="0" borderId="28" xfId="2" applyNumberFormat="1" applyFont="1" applyBorder="1" applyAlignment="1">
      <alignment horizontal="center" vertical="center"/>
    </xf>
    <xf numFmtId="169" fontId="25" fillId="0" borderId="49" xfId="2" applyNumberFormat="1" applyFont="1" applyBorder="1" applyAlignment="1">
      <alignment horizontal="center" vertical="center"/>
    </xf>
    <xf numFmtId="169" fontId="25" fillId="0" borderId="38" xfId="2" applyNumberFormat="1" applyFont="1" applyBorder="1" applyAlignment="1">
      <alignment horizontal="center" vertical="center"/>
    </xf>
    <xf numFmtId="169" fontId="17" fillId="0" borderId="28" xfId="0" applyNumberFormat="1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27" fillId="0" borderId="12" xfId="4" applyFont="1" applyFill="1" applyBorder="1" applyAlignment="1">
      <alignment horizontal="left" vertical="top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49" xfId="0" applyFont="1" applyFill="1" applyBorder="1" applyAlignment="1">
      <alignment horizontal="center" vertical="center" wrapText="1"/>
    </xf>
    <xf numFmtId="0" fontId="24" fillId="0" borderId="38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9" fillId="0" borderId="0" xfId="0" applyFont="1" applyBorder="1" applyAlignment="1">
      <alignment horizontal="right" vertical="center"/>
    </xf>
    <xf numFmtId="0" fontId="19" fillId="0" borderId="47" xfId="0" applyFont="1" applyBorder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7" xfId="0" applyFont="1" applyBorder="1" applyAlignment="1">
      <alignment horizontal="left"/>
    </xf>
    <xf numFmtId="0" fontId="5" fillId="0" borderId="27" xfId="0" applyFont="1" applyBorder="1" applyAlignment="1">
      <alignment horizontal="center"/>
    </xf>
    <xf numFmtId="0" fontId="0" fillId="0" borderId="8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3" fillId="0" borderId="20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left"/>
    </xf>
    <xf numFmtId="0" fontId="5" fillId="0" borderId="1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0" fontId="6" fillId="0" borderId="8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2" xfId="0" applyFont="1" applyBorder="1" applyAlignment="1">
      <alignment horizontal="right"/>
    </xf>
    <xf numFmtId="164" fontId="0" fillId="0" borderId="30" xfId="0" applyNumberFormat="1" applyBorder="1" applyAlignment="1">
      <alignment horizontal="left"/>
    </xf>
    <xf numFmtId="0" fontId="0" fillId="0" borderId="30" xfId="0" applyFont="1" applyBorder="1" applyAlignment="1">
      <alignment horizontal="center"/>
    </xf>
    <xf numFmtId="0" fontId="0" fillId="0" borderId="24" xfId="0" applyFont="1" applyBorder="1" applyAlignment="1">
      <alignment horizontal="right"/>
    </xf>
    <xf numFmtId="164" fontId="0" fillId="0" borderId="25" xfId="0" applyNumberFormat="1" applyBorder="1" applyAlignment="1">
      <alignment horizontal="center"/>
    </xf>
    <xf numFmtId="164" fontId="0" fillId="0" borderId="12" xfId="2" applyFont="1" applyBorder="1" applyAlignment="1" applyProtection="1">
      <alignment horizontal="left"/>
    </xf>
    <xf numFmtId="0" fontId="0" fillId="0" borderId="12" xfId="0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2" xfId="0" applyFont="1" applyFill="1" applyBorder="1" applyAlignment="1">
      <alignment horizontal="left"/>
    </xf>
    <xf numFmtId="0" fontId="0" fillId="0" borderId="2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164" fontId="0" fillId="0" borderId="30" xfId="0" applyNumberFormat="1" applyBorder="1" applyAlignment="1">
      <alignment horizontal="center"/>
    </xf>
    <xf numFmtId="0" fontId="0" fillId="0" borderId="30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0" borderId="24" xfId="0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33" xfId="0" applyFont="1" applyFill="1" applyBorder="1" applyAlignment="1">
      <alignment horizontal="left"/>
    </xf>
    <xf numFmtId="0" fontId="0" fillId="2" borderId="34" xfId="0" applyFont="1" applyFill="1" applyBorder="1" applyAlignment="1">
      <alignment horizontal="left"/>
    </xf>
    <xf numFmtId="0" fontId="0" fillId="2" borderId="35" xfId="0" applyFont="1" applyFill="1" applyBorder="1" applyAlignment="1">
      <alignment horizontal="left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7" fillId="0" borderId="31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49" fontId="0" fillId="0" borderId="30" xfId="0" applyNumberFormat="1" applyFont="1" applyBorder="1" applyAlignment="1">
      <alignment horizontal="left"/>
    </xf>
    <xf numFmtId="49" fontId="0" fillId="2" borderId="25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23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49" fontId="0" fillId="2" borderId="30" xfId="0" applyNumberFormat="1" applyFont="1" applyFill="1" applyBorder="1" applyAlignment="1">
      <alignment horizontal="left"/>
    </xf>
    <xf numFmtId="49" fontId="8" fillId="2" borderId="30" xfId="0" applyNumberFormat="1" applyFont="1" applyFill="1" applyBorder="1" applyAlignment="1">
      <alignment horizontal="left"/>
    </xf>
    <xf numFmtId="49" fontId="0" fillId="2" borderId="30" xfId="0" applyNumberFormat="1" applyFont="1" applyFill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0" fillId="0" borderId="30" xfId="0" applyNumberFormat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left"/>
    </xf>
    <xf numFmtId="0" fontId="0" fillId="0" borderId="23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3" xfId="0" applyFont="1" applyBorder="1" applyAlignment="1">
      <alignment horizontal="left"/>
    </xf>
    <xf numFmtId="0" fontId="13" fillId="0" borderId="24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23" xfId="0" applyFont="1" applyBorder="1" applyAlignment="1">
      <alignment horizontal="center"/>
    </xf>
    <xf numFmtId="0" fontId="13" fillId="0" borderId="12" xfId="0" applyFont="1" applyBorder="1" applyAlignment="1">
      <alignment horizontal="left"/>
    </xf>
    <xf numFmtId="0" fontId="13" fillId="0" borderId="34" xfId="0" applyFont="1" applyBorder="1" applyAlignment="1">
      <alignment horizontal="left"/>
    </xf>
    <xf numFmtId="0" fontId="13" fillId="0" borderId="29" xfId="0" applyFont="1" applyBorder="1" applyAlignment="1">
      <alignment horizontal="center"/>
    </xf>
    <xf numFmtId="0" fontId="13" fillId="0" borderId="29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40" xfId="0" applyFont="1" applyBorder="1" applyAlignment="1">
      <alignment horizontal="center"/>
    </xf>
    <xf numFmtId="0" fontId="31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left"/>
    </xf>
    <xf numFmtId="0" fontId="15" fillId="0" borderId="38" xfId="0" applyFont="1" applyBorder="1" applyAlignment="1">
      <alignment horizontal="left"/>
    </xf>
    <xf numFmtId="0" fontId="35" fillId="0" borderId="0" xfId="5" applyFont="1" applyBorder="1" applyAlignment="1" applyProtection="1">
      <alignment horizontal="left"/>
    </xf>
    <xf numFmtId="0" fontId="35" fillId="0" borderId="13" xfId="0" applyFont="1" applyBorder="1" applyAlignment="1">
      <alignment horizontal="left"/>
    </xf>
    <xf numFmtId="170" fontId="14" fillId="0" borderId="12" xfId="3" applyNumberFormat="1" applyFont="1" applyBorder="1" applyAlignment="1">
      <alignment horizontal="left"/>
    </xf>
    <xf numFmtId="0" fontId="32" fillId="0" borderId="1" xfId="0" applyFont="1" applyBorder="1" applyAlignment="1">
      <alignment horizontal="center"/>
    </xf>
    <xf numFmtId="0" fontId="14" fillId="0" borderId="1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left"/>
    </xf>
  </cellXfs>
  <cellStyles count="6">
    <cellStyle name="Hyperlink" xfId="5" builtinId="8"/>
    <cellStyle name="Moeda" xfId="2" builtinId="4"/>
    <cellStyle name="Normal" xfId="0" builtinId="0"/>
    <cellStyle name="Normal_RUAS 3,4,7 e 8 R-1" xfId="4"/>
    <cellStyle name="Porcentagem" xfId="3" builtinId="5"/>
    <cellStyle name="Separador de milhares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4F81BD"/>
      <rgbColor rgb="FF9999FF"/>
      <rgbColor rgb="FFC0504D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C65AE"/>
      <rgbColor rgb="FF4BACC6"/>
      <rgbColor rgb="FF9BBB59"/>
      <rgbColor rgb="FFFFCC00"/>
      <rgbColor rgb="FFF79646"/>
      <rgbColor rgb="FFFF6600"/>
      <rgbColor rgb="FF8064A2"/>
      <rgbColor rgb="FFA6A6A6"/>
      <rgbColor rgb="FF003366"/>
      <rgbColor rgb="FF339966"/>
      <rgbColor rgb="FF003300"/>
      <rgbColor rgb="FF333300"/>
      <rgbColor rgb="FF772C2A"/>
      <rgbColor rgb="FF993366"/>
      <rgbColor rgb="FF2C4D75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/>
          <a:lstStyle/>
          <a:p>
            <a:pPr>
              <a:defRPr sz="1800" b="1" strike="noStrike" spc="-1">
                <a:solidFill>
                  <a:srgbClr val="404040"/>
                </a:solidFill>
                <a:latin typeface="Calibri"/>
              </a:defRPr>
            </a:pPr>
            <a:r>
              <a:rPr lang="pt-BR" sz="1800" b="1" strike="noStrike" spc="-1">
                <a:solidFill>
                  <a:srgbClr val="404040"/>
                </a:solidFill>
                <a:latin typeface="Calibri"/>
              </a:rPr>
              <a:t>Participação (%)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'Orçamento do Custo do Serviço'!$H$70</c:f>
              <c:strCache>
                <c:ptCount val="1"/>
                <c:pt idx="0">
                  <c:v>Participação (%)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dPt>
            <c:idx val="0"/>
            <c:spPr>
              <a:solidFill>
                <a:srgbClr val="3C65AE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863-4F7F-A03A-4CDD35E50FA6}"/>
              </c:ext>
            </c:extLst>
          </c:dPt>
          <c:dPt>
            <c:idx val="1"/>
            <c:spPr>
              <a:solidFill>
                <a:srgbClr val="C0504D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863-4F7F-A03A-4CDD35E50FA6}"/>
              </c:ext>
            </c:extLst>
          </c:dPt>
          <c:dPt>
            <c:idx val="2"/>
            <c:spPr>
              <a:solidFill>
                <a:srgbClr val="9BBB59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863-4F7F-A03A-4CDD35E50FA6}"/>
              </c:ext>
            </c:extLst>
          </c:dPt>
          <c:dPt>
            <c:idx val="3"/>
            <c:spPr>
              <a:solidFill>
                <a:srgbClr val="8064A2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863-4F7F-A03A-4CDD35E50FA6}"/>
              </c:ext>
            </c:extLst>
          </c:dPt>
          <c:dPt>
            <c:idx val="4"/>
            <c:spPr>
              <a:solidFill>
                <a:srgbClr val="4BACC6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863-4F7F-A03A-4CDD35E50FA6}"/>
              </c:ext>
            </c:extLst>
          </c:dPt>
          <c:dPt>
            <c:idx val="5"/>
            <c:spPr>
              <a:solidFill>
                <a:srgbClr val="F79646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863-4F7F-A03A-4CDD35E50FA6}"/>
              </c:ext>
            </c:extLst>
          </c:dPt>
          <c:dPt>
            <c:idx val="6"/>
            <c:spPr>
              <a:solidFill>
                <a:srgbClr val="2C4D75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0863-4F7F-A03A-4CDD35E50FA6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ctr"/>
            <c:showPercent val="1"/>
            <c:showBubbleSize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'Orçamento do Custo do Serviço'!$B$71:$B$77</c:f>
              <c:strCache>
                <c:ptCount val="7"/>
                <c:pt idx="0">
                  <c:v>Participação das Despesas com Pessoal</c:v>
                </c:pt>
                <c:pt idx="1">
                  <c:v>Participação com as Despesas com Benefício Social + EPI</c:v>
                </c:pt>
                <c:pt idx="2">
                  <c:v>Participação das Despesas Gerais</c:v>
                </c:pt>
                <c:pt idx="3">
                  <c:v>Participação da Locação de Software</c:v>
                </c:pt>
                <c:pt idx="4">
                  <c:v>Participação com Reposição</c:v>
                </c:pt>
                <c:pt idx="5">
                  <c:v>Participação com as Despesas de Arrecadação</c:v>
                </c:pt>
                <c:pt idx="6">
                  <c:v>Participação com as Despesas com Encargos</c:v>
                </c:pt>
              </c:strCache>
            </c:strRef>
          </c:cat>
          <c:val>
            <c:numRef>
              <c:f>'Orçamento do Custo do Serviço'!$H$71:$H$77</c:f>
              <c:numCache>
                <c:formatCode>0.00%</c:formatCode>
                <c:ptCount val="7"/>
                <c:pt idx="0">
                  <c:v>0.25368758124991747</c:v>
                </c:pt>
                <c:pt idx="1">
                  <c:v>8.0786777555138661E-2</c:v>
                </c:pt>
                <c:pt idx="2">
                  <c:v>0.13973686157395634</c:v>
                </c:pt>
                <c:pt idx="3">
                  <c:v>5.8515959205854146E-2</c:v>
                </c:pt>
                <c:pt idx="4">
                  <c:v>1.2891715136026279E-3</c:v>
                </c:pt>
                <c:pt idx="5">
                  <c:v>0.10766936493877163</c:v>
                </c:pt>
                <c:pt idx="6">
                  <c:v>0.35831428396275905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0863-4F7F-A03A-4CDD35E50FA6}"/>
            </c:ext>
          </c:extLst>
        </c:ser>
        <c:firstSliceAng val="0"/>
      </c:pieChart>
      <c:spPr>
        <a:noFill/>
        <a:ln>
          <a:noFill/>
        </a:ln>
      </c:spPr>
    </c:plotArea>
    <c:legend>
      <c:legendPos val="r"/>
      <c:spPr>
        <a:solidFill>
          <a:srgbClr val="F2F2F2">
            <a:alpha val="39000"/>
          </a:srgbClr>
        </a:solidFill>
        <a:ln>
          <a:noFill/>
        </a:ln>
      </c:spPr>
      <c:txPr>
        <a:bodyPr/>
        <a:lstStyle/>
        <a:p>
          <a:pPr>
            <a:defRPr sz="900" b="0" strike="noStrike" spc="-1">
              <a:solidFill>
                <a:srgbClr val="404040"/>
              </a:solidFill>
              <a:latin typeface="Calibri"/>
            </a:defRPr>
          </a:pPr>
          <a:endParaRPr lang="pt-BR"/>
        </a:p>
      </c:txPr>
    </c:legend>
    <c:plotVisOnly val="1"/>
    <c:dispBlanksAs val="zero"/>
    <c:showDLblsOverMax val="1"/>
  </c:chart>
  <c:spPr>
    <a:noFill/>
    <a:ln w="9360">
      <a:solidFill>
        <a:srgbClr val="BFBFBF"/>
      </a:solidFill>
      <a:round/>
    </a:ln>
  </c:spPr>
  <c:printSettings>
    <c:headerFooter/>
    <c:pageMargins b="0.78740157499999996" l="0.511811024" r="0.511811024" t="0.78740157499999996" header="0.31496062000000175" footer="0.3149606200000017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57240</xdr:colOff>
      <xdr:row>78</xdr:row>
      <xdr:rowOff>14400</xdr:rowOff>
    </xdr:from>
    <xdr:to>
      <xdr:col>8</xdr:col>
      <xdr:colOff>141195</xdr:colOff>
      <xdr:row>105</xdr:row>
      <xdr:rowOff>160200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bcb.gov.br/publicacoes/focus/2402202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opLeftCell="A10" workbookViewId="0">
      <selection activeCell="G24" sqref="G24"/>
    </sheetView>
  </sheetViews>
  <sheetFormatPr defaultRowHeight="15"/>
  <cols>
    <col min="1" max="1" width="4.140625" customWidth="1"/>
    <col min="2" max="2" width="46.42578125" customWidth="1"/>
    <col min="3" max="3" width="12.5703125" customWidth="1"/>
    <col min="4" max="4" width="13.42578125" customWidth="1"/>
    <col min="5" max="5" width="12" customWidth="1"/>
    <col min="6" max="6" width="15.42578125" customWidth="1"/>
    <col min="7" max="7" width="16.7109375" customWidth="1"/>
  </cols>
  <sheetData>
    <row r="1" spans="1:8">
      <c r="A1" s="303"/>
      <c r="B1" s="303"/>
      <c r="C1" s="303"/>
      <c r="D1" s="303"/>
      <c r="E1" s="303"/>
      <c r="F1" s="303"/>
      <c r="G1" s="303"/>
      <c r="H1" s="303"/>
    </row>
    <row r="2" spans="1:8">
      <c r="A2" s="303"/>
      <c r="B2" s="304" t="s">
        <v>443</v>
      </c>
      <c r="C2" s="304"/>
      <c r="D2" s="304"/>
      <c r="E2" s="304"/>
      <c r="F2" s="304"/>
      <c r="G2" s="248"/>
      <c r="H2" s="303"/>
    </row>
    <row r="3" spans="1:8">
      <c r="A3" s="303"/>
      <c r="B3" s="248"/>
      <c r="C3" s="248"/>
      <c r="D3" s="248"/>
      <c r="E3" s="248"/>
      <c r="F3" s="248"/>
      <c r="G3" s="248"/>
      <c r="H3" s="303"/>
    </row>
    <row r="4" spans="1:8" ht="51">
      <c r="A4" s="303"/>
      <c r="B4" s="249" t="s">
        <v>444</v>
      </c>
      <c r="C4" s="249" t="s">
        <v>445</v>
      </c>
      <c r="D4" s="249" t="s">
        <v>446</v>
      </c>
      <c r="E4" s="249" t="s">
        <v>447</v>
      </c>
      <c r="F4" s="250" t="s">
        <v>448</v>
      </c>
      <c r="G4" s="249" t="s">
        <v>449</v>
      </c>
      <c r="H4" s="303"/>
    </row>
    <row r="5" spans="1:8">
      <c r="A5" s="303"/>
      <c r="B5" s="251" t="s">
        <v>450</v>
      </c>
      <c r="C5" s="252">
        <v>1915.79</v>
      </c>
      <c r="D5" s="252">
        <v>1750.99</v>
      </c>
      <c r="E5" s="252">
        <v>1835.99</v>
      </c>
      <c r="F5" s="253" t="s">
        <v>451</v>
      </c>
      <c r="G5" s="254">
        <f t="shared" ref="G5:G13" si="0">AVERAGE(C5:E5)</f>
        <v>1834.2566666666664</v>
      </c>
      <c r="H5" s="303"/>
    </row>
    <row r="6" spans="1:8">
      <c r="A6" s="303"/>
      <c r="B6" s="251" t="s">
        <v>452</v>
      </c>
      <c r="C6" s="252">
        <v>1487.07</v>
      </c>
      <c r="D6" s="252">
        <v>1519.05</v>
      </c>
      <c r="E6" s="252">
        <v>1356.87</v>
      </c>
      <c r="F6" s="253" t="s">
        <v>451</v>
      </c>
      <c r="G6" s="254">
        <f t="shared" si="0"/>
        <v>1454.33</v>
      </c>
      <c r="H6" s="303"/>
    </row>
    <row r="7" spans="1:8">
      <c r="A7" s="303"/>
      <c r="B7" s="251" t="s">
        <v>453</v>
      </c>
      <c r="C7" s="252">
        <v>349.9</v>
      </c>
      <c r="D7" s="252">
        <v>279.55</v>
      </c>
      <c r="E7" s="252">
        <v>299.89999999999998</v>
      </c>
      <c r="F7" s="253" t="s">
        <v>451</v>
      </c>
      <c r="G7" s="254">
        <f t="shared" si="0"/>
        <v>309.78333333333336</v>
      </c>
      <c r="H7" s="303"/>
    </row>
    <row r="8" spans="1:8">
      <c r="A8" s="303"/>
      <c r="B8" s="251" t="s">
        <v>454</v>
      </c>
      <c r="C8" s="252">
        <v>705.23</v>
      </c>
      <c r="D8" s="252">
        <v>631.92999999999995</v>
      </c>
      <c r="E8" s="252">
        <v>692</v>
      </c>
      <c r="F8" s="253" t="s">
        <v>451</v>
      </c>
      <c r="G8" s="254">
        <f t="shared" si="0"/>
        <v>676.38666666666666</v>
      </c>
      <c r="H8" s="303"/>
    </row>
    <row r="9" spans="1:8">
      <c r="A9" s="303"/>
      <c r="B9" s="251" t="s">
        <v>455</v>
      </c>
      <c r="C9" s="252">
        <v>261.60000000000002</v>
      </c>
      <c r="D9" s="252">
        <v>328.96</v>
      </c>
      <c r="E9" s="252">
        <v>419</v>
      </c>
      <c r="F9" s="253" t="s">
        <v>451</v>
      </c>
      <c r="G9" s="254">
        <f t="shared" si="0"/>
        <v>336.52</v>
      </c>
      <c r="H9" s="303"/>
    </row>
    <row r="10" spans="1:8">
      <c r="A10" s="303"/>
      <c r="B10" s="251" t="s">
        <v>456</v>
      </c>
      <c r="C10" s="252">
        <v>144.53</v>
      </c>
      <c r="D10" s="252">
        <v>126.65</v>
      </c>
      <c r="E10" s="252">
        <v>149</v>
      </c>
      <c r="F10" s="253" t="s">
        <v>451</v>
      </c>
      <c r="G10" s="254">
        <f t="shared" si="0"/>
        <v>140.06</v>
      </c>
      <c r="H10" s="303"/>
    </row>
    <row r="11" spans="1:8">
      <c r="A11" s="303"/>
      <c r="B11" s="251" t="s">
        <v>457</v>
      </c>
      <c r="C11" s="252">
        <v>607.78</v>
      </c>
      <c r="D11" s="252">
        <v>595.27</v>
      </c>
      <c r="E11" s="252">
        <v>593.59</v>
      </c>
      <c r="F11" s="253" t="s">
        <v>451</v>
      </c>
      <c r="G11" s="254">
        <f t="shared" si="0"/>
        <v>598.88</v>
      </c>
      <c r="H11" s="303"/>
    </row>
    <row r="12" spans="1:8">
      <c r="A12" s="303"/>
      <c r="B12" s="251" t="s">
        <v>458</v>
      </c>
      <c r="C12" s="252">
        <v>989</v>
      </c>
      <c r="D12" s="252">
        <v>765.39</v>
      </c>
      <c r="E12" s="252">
        <v>823</v>
      </c>
      <c r="F12" s="253" t="s">
        <v>451</v>
      </c>
      <c r="G12" s="254">
        <f t="shared" si="0"/>
        <v>859.13</v>
      </c>
      <c r="H12" s="303"/>
    </row>
    <row r="13" spans="1:8">
      <c r="A13" s="303"/>
      <c r="B13" s="251" t="s">
        <v>459</v>
      </c>
      <c r="C13" s="252">
        <v>351.9</v>
      </c>
      <c r="D13" s="252">
        <v>338.71</v>
      </c>
      <c r="E13" s="252">
        <v>359.9</v>
      </c>
      <c r="F13" s="253" t="s">
        <v>451</v>
      </c>
      <c r="G13" s="254">
        <f t="shared" si="0"/>
        <v>350.1699999999999</v>
      </c>
      <c r="H13" s="303"/>
    </row>
    <row r="14" spans="1:8">
      <c r="A14" s="303"/>
      <c r="B14" s="255" t="s">
        <v>460</v>
      </c>
      <c r="C14" s="256">
        <v>1210</v>
      </c>
      <c r="D14" s="257">
        <v>1999.99</v>
      </c>
      <c r="E14" s="258">
        <v>1218.99</v>
      </c>
      <c r="F14" s="259">
        <f t="shared" ref="F14:F16" si="1">AVERAGE(C14:E14)</f>
        <v>1476.3266666666666</v>
      </c>
      <c r="G14" s="305">
        <f>((F15+F16)+F14)/2</f>
        <v>1358.5666666666666</v>
      </c>
      <c r="H14" s="303"/>
    </row>
    <row r="15" spans="1:8">
      <c r="A15" s="303"/>
      <c r="B15" s="260" t="s">
        <v>461</v>
      </c>
      <c r="C15" s="261">
        <v>899</v>
      </c>
      <c r="D15" s="262">
        <v>939.84</v>
      </c>
      <c r="E15" s="263">
        <v>749</v>
      </c>
      <c r="F15" s="264">
        <f t="shared" si="1"/>
        <v>862.61333333333334</v>
      </c>
      <c r="G15" s="306"/>
      <c r="H15" s="303"/>
    </row>
    <row r="16" spans="1:8">
      <c r="A16" s="303"/>
      <c r="B16" s="265" t="s">
        <v>462</v>
      </c>
      <c r="C16" s="266">
        <v>186.04</v>
      </c>
      <c r="D16" s="267">
        <v>549.9</v>
      </c>
      <c r="E16" s="268">
        <v>398.64</v>
      </c>
      <c r="F16" s="269">
        <f t="shared" si="1"/>
        <v>378.19333333333333</v>
      </c>
      <c r="G16" s="307"/>
      <c r="H16" s="303"/>
    </row>
    <row r="17" spans="1:8">
      <c r="A17" s="303"/>
      <c r="B17" s="251" t="s">
        <v>463</v>
      </c>
      <c r="C17" s="252">
        <v>102.6</v>
      </c>
      <c r="D17" s="252">
        <v>99.9</v>
      </c>
      <c r="E17" s="252">
        <v>110.11</v>
      </c>
      <c r="F17" s="253" t="s">
        <v>451</v>
      </c>
      <c r="G17" s="254">
        <f>AVERAGE(C17:E17)</f>
        <v>104.20333333333333</v>
      </c>
      <c r="H17" s="303"/>
    </row>
    <row r="18" spans="1:8">
      <c r="A18" s="303"/>
      <c r="B18" s="251" t="s">
        <v>464</v>
      </c>
      <c r="C18" s="252">
        <v>1851.3</v>
      </c>
      <c r="D18" s="252">
        <v>1775.66</v>
      </c>
      <c r="E18" s="252">
        <v>2299</v>
      </c>
      <c r="F18" s="253" t="s">
        <v>451</v>
      </c>
      <c r="G18" s="254">
        <f>AVERAGE(C18:E18)</f>
        <v>1975.32</v>
      </c>
      <c r="H18" s="303"/>
    </row>
    <row r="19" spans="1:8">
      <c r="A19" s="303"/>
      <c r="B19" s="270" t="s">
        <v>465</v>
      </c>
      <c r="C19" s="271">
        <v>69.989999999999995</v>
      </c>
      <c r="D19" s="271">
        <v>89.99</v>
      </c>
      <c r="E19" s="271">
        <v>89.99</v>
      </c>
      <c r="F19" s="272">
        <f>AVERAGE(C19:E19)</f>
        <v>83.323333333333323</v>
      </c>
      <c r="G19" s="308">
        <f>F19+F20+F21+F22</f>
        <v>333.36666666666667</v>
      </c>
      <c r="H19" s="303"/>
    </row>
    <row r="20" spans="1:8">
      <c r="A20" s="303"/>
      <c r="B20" s="270" t="s">
        <v>466</v>
      </c>
      <c r="C20" s="271">
        <v>63.99</v>
      </c>
      <c r="D20" s="271">
        <v>67.92</v>
      </c>
      <c r="E20" s="271">
        <v>109.9</v>
      </c>
      <c r="F20" s="272">
        <f>AVERAGE(C20:E20)</f>
        <v>80.603333333333339</v>
      </c>
      <c r="G20" s="309"/>
      <c r="H20" s="303"/>
    </row>
    <row r="21" spans="1:8">
      <c r="A21" s="303"/>
      <c r="B21" s="270" t="s">
        <v>467</v>
      </c>
      <c r="C21" s="271">
        <v>139.9</v>
      </c>
      <c r="D21" s="271">
        <v>103.9</v>
      </c>
      <c r="E21" s="271">
        <v>146.03</v>
      </c>
      <c r="F21" s="272">
        <f>AVERAGE(C21:E21)</f>
        <v>129.94333333333336</v>
      </c>
      <c r="G21" s="309"/>
      <c r="H21" s="303"/>
    </row>
    <row r="22" spans="1:8">
      <c r="A22" s="303"/>
      <c r="B22" s="270" t="s">
        <v>468</v>
      </c>
      <c r="C22" s="271">
        <v>36</v>
      </c>
      <c r="D22" s="271">
        <v>49.59</v>
      </c>
      <c r="E22" s="271">
        <v>32.9</v>
      </c>
      <c r="F22" s="272">
        <f>AVERAGE(C22:E22)</f>
        <v>39.49666666666667</v>
      </c>
      <c r="G22" s="310"/>
      <c r="H22" s="303"/>
    </row>
    <row r="23" spans="1:8" ht="39" customHeight="1">
      <c r="A23" s="303"/>
      <c r="B23" s="311" t="s">
        <v>469</v>
      </c>
      <c r="C23" s="311"/>
      <c r="D23" s="311"/>
      <c r="E23" s="311"/>
      <c r="F23" s="312" t="s">
        <v>470</v>
      </c>
      <c r="G23" s="273">
        <v>51.18</v>
      </c>
      <c r="H23" s="303"/>
    </row>
    <row r="24" spans="1:8" ht="64.5" customHeight="1">
      <c r="A24" s="303"/>
      <c r="B24" s="311" t="s">
        <v>471</v>
      </c>
      <c r="C24" s="311"/>
      <c r="D24" s="311"/>
      <c r="E24" s="311"/>
      <c r="F24" s="313"/>
      <c r="G24" s="273">
        <v>575.79999999999995</v>
      </c>
      <c r="H24" s="303"/>
    </row>
    <row r="25" spans="1:8" ht="25.5" customHeight="1">
      <c r="A25" s="303"/>
      <c r="B25" s="311" t="s">
        <v>485</v>
      </c>
      <c r="C25" s="311"/>
      <c r="D25" s="311"/>
      <c r="E25" s="311"/>
      <c r="F25" s="314"/>
      <c r="G25" s="273">
        <v>1920</v>
      </c>
      <c r="H25" s="303"/>
    </row>
    <row r="26" spans="1:8">
      <c r="A26" s="303"/>
      <c r="B26" s="303"/>
      <c r="C26" s="303"/>
      <c r="D26" s="303"/>
      <c r="E26" s="303"/>
      <c r="F26" s="303"/>
      <c r="G26" s="303"/>
    </row>
  </sheetData>
  <mergeCells count="11">
    <mergeCell ref="A1:H1"/>
    <mergeCell ref="A2:A25"/>
    <mergeCell ref="H2:H25"/>
    <mergeCell ref="A26:G26"/>
    <mergeCell ref="B2:F2"/>
    <mergeCell ref="G14:G16"/>
    <mergeCell ref="G19:G22"/>
    <mergeCell ref="B23:E23"/>
    <mergeCell ref="F23:F25"/>
    <mergeCell ref="B24:E24"/>
    <mergeCell ref="B25:E25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51"/>
  <sheetViews>
    <sheetView topLeftCell="A25" workbookViewId="0">
      <selection activeCell="K51" sqref="K51"/>
    </sheetView>
  </sheetViews>
  <sheetFormatPr defaultRowHeight="15"/>
  <cols>
    <col min="1" max="1" width="3.85546875" customWidth="1"/>
    <col min="2" max="2" width="8.7109375" customWidth="1"/>
    <col min="3" max="3" width="40" customWidth="1"/>
    <col min="4" max="4" width="14.5703125" customWidth="1"/>
    <col min="5" max="6" width="8.7109375" customWidth="1"/>
    <col min="7" max="7" width="17" bestFit="1" customWidth="1"/>
    <col min="8" max="8" width="10.140625" customWidth="1"/>
    <col min="9" max="9" width="11.5703125" customWidth="1"/>
    <col min="10" max="1026" width="8.7109375" customWidth="1"/>
  </cols>
  <sheetData>
    <row r="1" spans="1:10" ht="15.75" thickBot="1">
      <c r="A1" s="303"/>
      <c r="B1" s="303"/>
      <c r="C1" s="303"/>
      <c r="D1" s="303"/>
      <c r="E1" s="303"/>
      <c r="F1" s="303"/>
      <c r="G1" s="303"/>
      <c r="H1" s="303"/>
      <c r="I1" s="303"/>
      <c r="J1" s="303"/>
    </row>
    <row r="2" spans="1:10" ht="16.5" thickBot="1">
      <c r="A2" s="303"/>
      <c r="B2" s="371" t="s">
        <v>483</v>
      </c>
      <c r="C2" s="371"/>
      <c r="D2" s="371"/>
      <c r="E2" s="371"/>
      <c r="F2" s="371"/>
      <c r="G2" s="371"/>
      <c r="H2" s="371"/>
      <c r="I2" s="371"/>
      <c r="J2" s="303"/>
    </row>
    <row r="3" spans="1:10" ht="15.75" thickBot="1">
      <c r="A3" s="303"/>
      <c r="B3" s="321"/>
      <c r="C3" s="321"/>
      <c r="D3" s="321"/>
      <c r="E3" s="321"/>
      <c r="F3" s="321"/>
      <c r="G3" s="321"/>
      <c r="H3" s="321"/>
      <c r="I3" s="321"/>
      <c r="J3" s="303"/>
    </row>
    <row r="4" spans="1:10" ht="15.75" thickBot="1">
      <c r="A4" s="303"/>
      <c r="B4" s="372" t="s">
        <v>82</v>
      </c>
      <c r="C4" s="372"/>
      <c r="D4" s="372"/>
      <c r="E4" s="372"/>
      <c r="F4" s="372"/>
      <c r="G4" s="372"/>
      <c r="H4" s="372"/>
      <c r="I4" s="372"/>
      <c r="J4" s="303"/>
    </row>
    <row r="5" spans="1:10" ht="15.75" thickBot="1">
      <c r="A5" s="303"/>
      <c r="B5" s="321"/>
      <c r="C5" s="321"/>
      <c r="D5" s="321"/>
      <c r="E5" s="321"/>
      <c r="F5" s="321"/>
      <c r="G5" s="321"/>
      <c r="H5" s="321"/>
      <c r="I5" s="321"/>
      <c r="J5" s="303"/>
    </row>
    <row r="6" spans="1:10">
      <c r="A6" s="303"/>
      <c r="B6" s="373" t="s">
        <v>89</v>
      </c>
      <c r="C6" s="374"/>
      <c r="D6" s="374"/>
      <c r="E6" s="374"/>
      <c r="F6" s="374"/>
      <c r="G6" s="374"/>
      <c r="H6" s="374"/>
      <c r="I6" s="375"/>
      <c r="J6" s="303"/>
    </row>
    <row r="7" spans="1:10" ht="22.5" customHeight="1">
      <c r="A7" s="303"/>
      <c r="B7" s="363" t="s">
        <v>61</v>
      </c>
      <c r="C7" s="364" t="s">
        <v>83</v>
      </c>
      <c r="D7" s="364"/>
      <c r="E7" s="364" t="s">
        <v>85</v>
      </c>
      <c r="F7" s="365" t="s">
        <v>90</v>
      </c>
      <c r="G7" s="365" t="s">
        <v>91</v>
      </c>
      <c r="H7" s="364" t="s">
        <v>86</v>
      </c>
      <c r="I7" s="368"/>
      <c r="J7" s="303"/>
    </row>
    <row r="8" spans="1:10" ht="18" customHeight="1">
      <c r="A8" s="303"/>
      <c r="B8" s="363"/>
      <c r="C8" s="364"/>
      <c r="D8" s="364"/>
      <c r="E8" s="364"/>
      <c r="F8" s="365"/>
      <c r="G8" s="365"/>
      <c r="H8" s="33" t="s">
        <v>87</v>
      </c>
      <c r="I8" s="80" t="s">
        <v>7</v>
      </c>
      <c r="J8" s="303"/>
    </row>
    <row r="9" spans="1:10">
      <c r="A9" s="303"/>
      <c r="B9" s="289">
        <v>1</v>
      </c>
      <c r="C9" s="360" t="s">
        <v>93</v>
      </c>
      <c r="D9" s="360"/>
      <c r="E9" s="139" t="s">
        <v>92</v>
      </c>
      <c r="F9" s="139">
        <v>10</v>
      </c>
      <c r="G9" s="139" t="s">
        <v>84</v>
      </c>
      <c r="H9" s="82">
        <v>0.1</v>
      </c>
      <c r="I9" s="83">
        <f>H9/1200%</f>
        <v>8.3333333333333332E-3</v>
      </c>
      <c r="J9" s="303"/>
    </row>
    <row r="10" spans="1:10">
      <c r="A10" s="303"/>
      <c r="B10" s="88">
        <v>2</v>
      </c>
      <c r="C10" s="360" t="s">
        <v>94</v>
      </c>
      <c r="D10" s="360"/>
      <c r="E10" s="140" t="s">
        <v>92</v>
      </c>
      <c r="F10" s="140">
        <v>5</v>
      </c>
      <c r="G10" s="140" t="s">
        <v>84</v>
      </c>
      <c r="H10" s="82">
        <v>0.2</v>
      </c>
      <c r="I10" s="296">
        <f>H10/1200%</f>
        <v>1.6666666666666666E-2</v>
      </c>
      <c r="J10" s="303"/>
    </row>
    <row r="11" spans="1:10" ht="15.75" thickBot="1">
      <c r="A11" s="303"/>
      <c r="B11" s="288">
        <v>3</v>
      </c>
      <c r="C11" s="370" t="s">
        <v>482</v>
      </c>
      <c r="D11" s="370"/>
      <c r="E11" s="297" t="s">
        <v>92</v>
      </c>
      <c r="F11" s="297">
        <v>10</v>
      </c>
      <c r="G11" s="84" t="s">
        <v>84</v>
      </c>
      <c r="H11" s="85">
        <v>0.1</v>
      </c>
      <c r="I11" s="298">
        <f>I9</f>
        <v>8.3333333333333332E-3</v>
      </c>
      <c r="J11" s="303"/>
    </row>
    <row r="12" spans="1:10" ht="15.75" thickBot="1">
      <c r="A12" s="303"/>
      <c r="B12" s="321"/>
      <c r="C12" s="321"/>
      <c r="D12" s="321"/>
      <c r="E12" s="321"/>
      <c r="F12" s="321"/>
      <c r="G12" s="321"/>
      <c r="H12" s="321"/>
      <c r="I12" s="321"/>
      <c r="J12" s="303"/>
    </row>
    <row r="13" spans="1:10" ht="15.75" thickBot="1">
      <c r="A13" s="303"/>
      <c r="B13" s="369" t="s">
        <v>95</v>
      </c>
      <c r="C13" s="369"/>
      <c r="D13" s="369"/>
      <c r="E13" s="369"/>
      <c r="F13" s="369"/>
      <c r="G13" s="369"/>
      <c r="H13" s="369"/>
      <c r="I13" s="369"/>
      <c r="J13" s="303"/>
    </row>
    <row r="14" spans="1:10" ht="15.75" thickBot="1">
      <c r="A14" s="303"/>
      <c r="B14" s="321"/>
      <c r="C14" s="321"/>
      <c r="D14" s="321"/>
      <c r="E14" s="321"/>
      <c r="F14" s="321"/>
      <c r="G14" s="321"/>
      <c r="H14" s="321"/>
      <c r="I14" s="321"/>
      <c r="J14" s="303"/>
    </row>
    <row r="15" spans="1:10">
      <c r="A15" s="303"/>
      <c r="B15" s="361" t="s">
        <v>356</v>
      </c>
      <c r="C15" s="362"/>
      <c r="D15" s="362"/>
      <c r="E15" s="362"/>
      <c r="F15" s="362"/>
      <c r="G15" s="362"/>
      <c r="H15" s="362"/>
      <c r="I15" s="362"/>
      <c r="J15" s="303"/>
    </row>
    <row r="16" spans="1:10" ht="15" customHeight="1">
      <c r="A16" s="303"/>
      <c r="B16" s="363" t="s">
        <v>61</v>
      </c>
      <c r="C16" s="364" t="s">
        <v>4</v>
      </c>
      <c r="D16" s="364"/>
      <c r="E16" s="33" t="s">
        <v>86</v>
      </c>
      <c r="F16" s="33"/>
      <c r="G16" s="365" t="s">
        <v>96</v>
      </c>
      <c r="H16" s="366" t="s">
        <v>97</v>
      </c>
      <c r="I16" s="366"/>
      <c r="J16" s="303"/>
    </row>
    <row r="17" spans="1:10">
      <c r="A17" s="303"/>
      <c r="B17" s="363"/>
      <c r="C17" s="364"/>
      <c r="D17" s="364"/>
      <c r="E17" s="33" t="s">
        <v>87</v>
      </c>
      <c r="F17" s="33" t="s">
        <v>7</v>
      </c>
      <c r="G17" s="365"/>
      <c r="H17" s="365"/>
      <c r="I17" s="366"/>
      <c r="J17" s="303"/>
    </row>
    <row r="18" spans="1:10">
      <c r="A18" s="303"/>
      <c r="B18" s="72">
        <v>1</v>
      </c>
      <c r="C18" s="358" t="s">
        <v>357</v>
      </c>
      <c r="D18" s="358"/>
      <c r="E18" s="79">
        <v>0.1</v>
      </c>
      <c r="F18" s="86">
        <f t="shared" ref="F18:F24" si="0">E18/12</f>
        <v>8.3333333333333332E-3</v>
      </c>
      <c r="G18" s="78">
        <f>'Investimentos Iniciais'!F5</f>
        <v>2168.4833333333336</v>
      </c>
      <c r="H18" s="367">
        <f t="shared" ref="H18:H24" si="1">F18*G18</f>
        <v>18.070694444444445</v>
      </c>
      <c r="I18" s="367"/>
      <c r="J18" s="303"/>
    </row>
    <row r="19" spans="1:10">
      <c r="A19" s="303"/>
      <c r="B19" s="72">
        <v>2</v>
      </c>
      <c r="C19" s="358" t="s">
        <v>404</v>
      </c>
      <c r="D19" s="358"/>
      <c r="E19" s="79">
        <v>0.1</v>
      </c>
      <c r="F19" s="86">
        <f t="shared" si="0"/>
        <v>8.3333333333333332E-3</v>
      </c>
      <c r="G19" s="78">
        <f>'Investimentos Iniciais'!F6</f>
        <v>676.38666666666666</v>
      </c>
      <c r="H19" s="367">
        <f t="shared" si="1"/>
        <v>5.6365555555555558</v>
      </c>
      <c r="I19" s="367"/>
      <c r="J19" s="303"/>
    </row>
    <row r="20" spans="1:10">
      <c r="A20" s="303"/>
      <c r="B20" s="72">
        <v>3</v>
      </c>
      <c r="C20" s="358" t="s">
        <v>405</v>
      </c>
      <c r="D20" s="358"/>
      <c r="E20" s="79">
        <v>0.1</v>
      </c>
      <c r="F20" s="86">
        <f t="shared" si="0"/>
        <v>8.3333333333333332E-3</v>
      </c>
      <c r="G20" s="78">
        <f>'Investimentos Iniciais'!F7</f>
        <v>2355.64</v>
      </c>
      <c r="H20" s="367">
        <f t="shared" si="1"/>
        <v>19.630333333333333</v>
      </c>
      <c r="I20" s="367"/>
      <c r="J20" s="303"/>
    </row>
    <row r="21" spans="1:10">
      <c r="A21" s="303"/>
      <c r="B21" s="72">
        <v>4</v>
      </c>
      <c r="C21" s="358" t="s">
        <v>406</v>
      </c>
      <c r="D21" s="358"/>
      <c r="E21" s="79">
        <v>0.1</v>
      </c>
      <c r="F21" s="86">
        <f t="shared" si="0"/>
        <v>8.3333333333333332E-3</v>
      </c>
      <c r="G21" s="78">
        <f>'Investimentos Iniciais'!F8</f>
        <v>1680.72</v>
      </c>
      <c r="H21" s="367">
        <f t="shared" si="1"/>
        <v>14.006</v>
      </c>
      <c r="I21" s="367"/>
      <c r="J21" s="303"/>
    </row>
    <row r="22" spans="1:10">
      <c r="A22" s="303"/>
      <c r="B22" s="72">
        <v>5</v>
      </c>
      <c r="C22" s="358" t="s">
        <v>407</v>
      </c>
      <c r="D22" s="358"/>
      <c r="E22" s="79">
        <v>0.1</v>
      </c>
      <c r="F22" s="86">
        <f t="shared" si="0"/>
        <v>8.3333333333333332E-3</v>
      </c>
      <c r="G22" s="78">
        <f>'Investimentos Iniciais'!F9</f>
        <v>1197.76</v>
      </c>
      <c r="H22" s="367">
        <f t="shared" si="1"/>
        <v>9.9813333333333336</v>
      </c>
      <c r="I22" s="367"/>
      <c r="J22" s="303"/>
    </row>
    <row r="23" spans="1:10">
      <c r="A23" s="303"/>
      <c r="B23" s="88">
        <v>6</v>
      </c>
      <c r="C23" s="359" t="s">
        <v>408</v>
      </c>
      <c r="D23" s="360"/>
      <c r="E23" s="79">
        <v>0.1</v>
      </c>
      <c r="F23" s="86">
        <f t="shared" si="0"/>
        <v>8.3333333333333332E-3</v>
      </c>
      <c r="G23" s="78">
        <f>'Investimentos Iniciais'!F10</f>
        <v>859.13</v>
      </c>
      <c r="H23" s="367">
        <f t="shared" si="1"/>
        <v>7.1594166666666661</v>
      </c>
      <c r="I23" s="367"/>
      <c r="J23" s="303"/>
    </row>
    <row r="24" spans="1:10">
      <c r="A24" s="303"/>
      <c r="B24" s="72">
        <v>7</v>
      </c>
      <c r="C24" s="358" t="s">
        <v>65</v>
      </c>
      <c r="D24" s="358"/>
      <c r="E24" s="79">
        <v>0.1</v>
      </c>
      <c r="F24" s="86">
        <f t="shared" si="0"/>
        <v>8.3333333333333332E-3</v>
      </c>
      <c r="G24" s="78">
        <f>'Investimentos Iniciais'!F11</f>
        <v>350.1699999999999</v>
      </c>
      <c r="H24" s="367">
        <f t="shared" si="1"/>
        <v>2.9180833333333327</v>
      </c>
      <c r="I24" s="367"/>
      <c r="J24" s="303"/>
    </row>
    <row r="25" spans="1:10" ht="15.75" thickBot="1">
      <c r="A25" s="303"/>
      <c r="B25" s="352"/>
      <c r="C25" s="352"/>
      <c r="D25" s="352"/>
      <c r="E25" s="353" t="s">
        <v>66</v>
      </c>
      <c r="F25" s="353"/>
      <c r="G25" s="87">
        <f>SUM(G18:G24)</f>
        <v>9288.2900000000009</v>
      </c>
      <c r="H25" s="367">
        <f>SUM(H18:I24)</f>
        <v>77.402416666666667</v>
      </c>
      <c r="I25" s="367"/>
      <c r="J25" s="303"/>
    </row>
    <row r="26" spans="1:10" ht="15.75" thickBot="1">
      <c r="A26" s="303"/>
      <c r="B26" s="352"/>
      <c r="C26" s="352"/>
      <c r="D26" s="352"/>
      <c r="E26" s="353" t="s">
        <v>77</v>
      </c>
      <c r="F26" s="353"/>
      <c r="G26" s="89">
        <v>12</v>
      </c>
      <c r="H26" s="355"/>
      <c r="I26" s="355"/>
      <c r="J26" s="303"/>
    </row>
    <row r="27" spans="1:10" ht="15.75" thickBot="1">
      <c r="A27" s="303"/>
      <c r="B27" s="352"/>
      <c r="C27" s="352"/>
      <c r="D27" s="352"/>
      <c r="E27" s="356" t="s">
        <v>88</v>
      </c>
      <c r="F27" s="356"/>
      <c r="G27" s="75"/>
      <c r="H27" s="357">
        <f>H25*G26</f>
        <v>928.82899999999995</v>
      </c>
      <c r="I27" s="357"/>
      <c r="J27" s="303"/>
    </row>
    <row r="28" spans="1:10" ht="15.75" thickBot="1">
      <c r="A28" s="303"/>
      <c r="B28" s="321"/>
      <c r="C28" s="321"/>
      <c r="D28" s="321"/>
      <c r="E28" s="321"/>
      <c r="F28" s="321"/>
      <c r="G28" s="321"/>
      <c r="H28" s="321"/>
      <c r="I28" s="321"/>
      <c r="J28" s="303"/>
    </row>
    <row r="29" spans="1:10">
      <c r="A29" s="303"/>
      <c r="B29" s="361" t="s">
        <v>480</v>
      </c>
      <c r="C29" s="362"/>
      <c r="D29" s="362"/>
      <c r="E29" s="362"/>
      <c r="F29" s="362"/>
      <c r="G29" s="362"/>
      <c r="H29" s="362"/>
      <c r="I29" s="362"/>
      <c r="J29" s="303"/>
    </row>
    <row r="30" spans="1:10" ht="15" customHeight="1">
      <c r="A30" s="303"/>
      <c r="B30" s="363" t="s">
        <v>61</v>
      </c>
      <c r="C30" s="364" t="s">
        <v>4</v>
      </c>
      <c r="D30" s="364"/>
      <c r="E30" s="33" t="s">
        <v>86</v>
      </c>
      <c r="F30" s="33"/>
      <c r="G30" s="365" t="s">
        <v>96</v>
      </c>
      <c r="H30" s="366" t="s">
        <v>97</v>
      </c>
      <c r="I30" s="366"/>
      <c r="J30" s="303"/>
    </row>
    <row r="31" spans="1:10">
      <c r="A31" s="303"/>
      <c r="B31" s="363"/>
      <c r="C31" s="364"/>
      <c r="D31" s="364"/>
      <c r="E31" s="33" t="s">
        <v>87</v>
      </c>
      <c r="F31" s="33" t="s">
        <v>7</v>
      </c>
      <c r="G31" s="365"/>
      <c r="H31" s="365"/>
      <c r="I31" s="366"/>
      <c r="J31" s="303"/>
    </row>
    <row r="32" spans="1:10">
      <c r="A32" s="303"/>
      <c r="B32" s="72">
        <v>1</v>
      </c>
      <c r="C32" s="358" t="s">
        <v>409</v>
      </c>
      <c r="D32" s="358"/>
      <c r="E32" s="79">
        <v>0.2</v>
      </c>
      <c r="F32" s="86">
        <f t="shared" ref="F32:F37" si="2">E32/12</f>
        <v>1.6666666666666666E-2</v>
      </c>
      <c r="G32" s="78">
        <f>'Investimentos Iniciais'!F15</f>
        <v>11005.539999999999</v>
      </c>
      <c r="H32" s="354">
        <f t="shared" ref="H32:H37" si="3">G32*F32</f>
        <v>183.42566666666664</v>
      </c>
      <c r="I32" s="354"/>
      <c r="J32" s="303"/>
    </row>
    <row r="33" spans="1:10">
      <c r="A33" s="303"/>
      <c r="B33" s="72">
        <v>2</v>
      </c>
      <c r="C33" s="359" t="s">
        <v>410</v>
      </c>
      <c r="D33" s="360"/>
      <c r="E33" s="79">
        <v>0.2</v>
      </c>
      <c r="F33" s="86">
        <f t="shared" si="2"/>
        <v>1.6666666666666666E-2</v>
      </c>
      <c r="G33" s="78">
        <f>'Investimentos Iniciais'!F16</f>
        <v>2908.66</v>
      </c>
      <c r="H33" s="354">
        <f t="shared" si="3"/>
        <v>48.477666666666664</v>
      </c>
      <c r="I33" s="354"/>
      <c r="J33" s="303"/>
    </row>
    <row r="34" spans="1:10">
      <c r="A34" s="303"/>
      <c r="B34" s="72">
        <v>3</v>
      </c>
      <c r="C34" s="358" t="s">
        <v>411</v>
      </c>
      <c r="D34" s="358"/>
      <c r="E34" s="79">
        <v>0.2</v>
      </c>
      <c r="F34" s="86">
        <f t="shared" si="2"/>
        <v>1.6666666666666666E-2</v>
      </c>
      <c r="G34" s="78">
        <f>'Investimentos Iniciais'!F17</f>
        <v>1975.32</v>
      </c>
      <c r="H34" s="354">
        <f t="shared" si="3"/>
        <v>32.921999999999997</v>
      </c>
      <c r="I34" s="354"/>
      <c r="J34" s="303"/>
    </row>
    <row r="35" spans="1:10">
      <c r="A35" s="303"/>
      <c r="B35" s="72">
        <v>4</v>
      </c>
      <c r="C35" s="358" t="s">
        <v>367</v>
      </c>
      <c r="D35" s="358"/>
      <c r="E35" s="79">
        <v>0.2</v>
      </c>
      <c r="F35" s="86">
        <f t="shared" si="2"/>
        <v>1.6666666666666666E-2</v>
      </c>
      <c r="G35" s="78">
        <f>'Investimentos Iniciais'!F18</f>
        <v>97817.04</v>
      </c>
      <c r="H35" s="354">
        <f t="shared" si="3"/>
        <v>1630.2839999999999</v>
      </c>
      <c r="I35" s="354"/>
      <c r="J35" s="303"/>
    </row>
    <row r="36" spans="1:10">
      <c r="A36" s="303"/>
      <c r="B36" s="72">
        <v>5</v>
      </c>
      <c r="C36" s="358" t="s">
        <v>442</v>
      </c>
      <c r="D36" s="358"/>
      <c r="E36" s="79">
        <v>0.2</v>
      </c>
      <c r="F36" s="86">
        <f t="shared" si="2"/>
        <v>1.6666666666666666E-2</v>
      </c>
      <c r="G36" s="78">
        <f>'Investimentos Iniciais'!F19</f>
        <v>15527.04</v>
      </c>
      <c r="H36" s="354">
        <f t="shared" si="3"/>
        <v>258.78399999999999</v>
      </c>
      <c r="I36" s="354"/>
      <c r="J36" s="303"/>
    </row>
    <row r="37" spans="1:10">
      <c r="A37" s="303"/>
      <c r="B37" s="72">
        <v>6</v>
      </c>
      <c r="C37" s="358" t="s">
        <v>412</v>
      </c>
      <c r="D37" s="358"/>
      <c r="E37" s="79">
        <v>0.2</v>
      </c>
      <c r="F37" s="86">
        <f t="shared" si="2"/>
        <v>1.6666666666666666E-2</v>
      </c>
      <c r="G37" s="78">
        <f>'Investimentos Iniciais'!F20</f>
        <v>1458.8466666666666</v>
      </c>
      <c r="H37" s="354">
        <f t="shared" si="3"/>
        <v>24.31411111111111</v>
      </c>
      <c r="I37" s="354"/>
      <c r="J37" s="303"/>
    </row>
    <row r="38" spans="1:10" ht="15.75" thickBot="1">
      <c r="A38" s="303"/>
      <c r="B38" s="352"/>
      <c r="C38" s="352"/>
      <c r="D38" s="352"/>
      <c r="E38" s="353" t="s">
        <v>66</v>
      </c>
      <c r="F38" s="353"/>
      <c r="G38" s="87">
        <f>SUM(G32:G37)</f>
        <v>130692.44666666667</v>
      </c>
      <c r="H38" s="354">
        <f>SUM(H32:I37)</f>
        <v>2178.2074444444447</v>
      </c>
      <c r="I38" s="354"/>
      <c r="J38" s="303"/>
    </row>
    <row r="39" spans="1:10" ht="15.75" thickBot="1">
      <c r="A39" s="303"/>
      <c r="B39" s="352"/>
      <c r="C39" s="352"/>
      <c r="D39" s="352"/>
      <c r="E39" s="353" t="s">
        <v>77</v>
      </c>
      <c r="F39" s="353"/>
      <c r="G39" s="89">
        <v>12</v>
      </c>
      <c r="H39" s="355"/>
      <c r="I39" s="355"/>
      <c r="J39" s="303"/>
    </row>
    <row r="40" spans="1:10" ht="15.75" thickBot="1">
      <c r="A40" s="303"/>
      <c r="B40" s="352"/>
      <c r="C40" s="352"/>
      <c r="D40" s="352"/>
      <c r="E40" s="356" t="s">
        <v>88</v>
      </c>
      <c r="F40" s="356"/>
      <c r="G40" s="75"/>
      <c r="H40" s="357">
        <f>H38*G39</f>
        <v>26138.489333333338</v>
      </c>
      <c r="I40" s="357"/>
      <c r="J40" s="303"/>
    </row>
    <row r="41" spans="1:10" ht="15.75" thickBot="1">
      <c r="A41" s="303"/>
      <c r="B41" s="303"/>
      <c r="C41" s="303"/>
      <c r="D41" s="303"/>
      <c r="E41" s="303"/>
      <c r="F41" s="303"/>
      <c r="G41" s="303"/>
      <c r="H41" s="303"/>
      <c r="I41" s="303"/>
      <c r="J41" s="303"/>
    </row>
    <row r="42" spans="1:10">
      <c r="B42" s="361" t="s">
        <v>481</v>
      </c>
      <c r="C42" s="362"/>
      <c r="D42" s="362"/>
      <c r="E42" s="362"/>
      <c r="F42" s="362"/>
      <c r="G42" s="362"/>
      <c r="H42" s="362"/>
      <c r="I42" s="362"/>
    </row>
    <row r="43" spans="1:10">
      <c r="B43" s="363" t="s">
        <v>61</v>
      </c>
      <c r="C43" s="364" t="s">
        <v>4</v>
      </c>
      <c r="D43" s="364"/>
      <c r="E43" s="33" t="s">
        <v>86</v>
      </c>
      <c r="F43" s="33"/>
      <c r="G43" s="365" t="s">
        <v>96</v>
      </c>
      <c r="H43" s="366" t="s">
        <v>97</v>
      </c>
      <c r="I43" s="366"/>
    </row>
    <row r="44" spans="1:10">
      <c r="B44" s="363"/>
      <c r="C44" s="364"/>
      <c r="D44" s="364"/>
      <c r="E44" s="33" t="s">
        <v>87</v>
      </c>
      <c r="F44" s="33" t="s">
        <v>7</v>
      </c>
      <c r="G44" s="365"/>
      <c r="H44" s="365"/>
      <c r="I44" s="366"/>
    </row>
    <row r="45" spans="1:10">
      <c r="B45" s="289">
        <v>1</v>
      </c>
      <c r="C45" s="376" t="s">
        <v>369</v>
      </c>
      <c r="D45" s="377"/>
      <c r="E45" s="79">
        <v>0.1</v>
      </c>
      <c r="F45" s="86">
        <f t="shared" ref="F45:F48" si="4">E45/12</f>
        <v>8.3333333333333332E-3</v>
      </c>
      <c r="G45" s="78">
        <f>'Investimentos Iniciais'!F24</f>
        <v>105198.66</v>
      </c>
      <c r="H45" s="367">
        <f t="shared" ref="H45:H48" si="5">F45*G45</f>
        <v>876.65549999999996</v>
      </c>
      <c r="I45" s="367"/>
    </row>
    <row r="46" spans="1:10">
      <c r="B46" s="289">
        <v>2</v>
      </c>
      <c r="C46" s="376" t="s">
        <v>370</v>
      </c>
      <c r="D46" s="377"/>
      <c r="E46" s="79">
        <v>0.1</v>
      </c>
      <c r="F46" s="86">
        <f t="shared" si="4"/>
        <v>8.3333333333333332E-3</v>
      </c>
      <c r="G46" s="78">
        <f>'Investimentos Iniciais'!F25</f>
        <v>35066.22</v>
      </c>
      <c r="H46" s="367">
        <f t="shared" si="5"/>
        <v>292.21850000000001</v>
      </c>
      <c r="I46" s="367"/>
    </row>
    <row r="47" spans="1:10">
      <c r="B47" s="289">
        <v>3</v>
      </c>
      <c r="C47" s="376" t="s">
        <v>434</v>
      </c>
      <c r="D47" s="377"/>
      <c r="E47" s="79">
        <v>0.1</v>
      </c>
      <c r="F47" s="86">
        <f t="shared" si="4"/>
        <v>8.3333333333333332E-3</v>
      </c>
      <c r="G47" s="78">
        <f>'Investimentos Iniciais'!F26</f>
        <v>623616</v>
      </c>
      <c r="H47" s="367">
        <f t="shared" si="5"/>
        <v>5196.8</v>
      </c>
      <c r="I47" s="367"/>
    </row>
    <row r="48" spans="1:10">
      <c r="B48" s="289">
        <v>4</v>
      </c>
      <c r="C48" s="376" t="s">
        <v>436</v>
      </c>
      <c r="D48" s="377"/>
      <c r="E48" s="79">
        <v>0.1</v>
      </c>
      <c r="F48" s="86">
        <f t="shared" si="4"/>
        <v>8.3333333333333332E-3</v>
      </c>
      <c r="G48" s="78">
        <f>'Investimentos Iniciais'!F27</f>
        <v>127950</v>
      </c>
      <c r="H48" s="367">
        <f t="shared" si="5"/>
        <v>1066.25</v>
      </c>
      <c r="I48" s="367"/>
    </row>
    <row r="49" spans="2:9" ht="15.75" thickBot="1">
      <c r="B49" s="352"/>
      <c r="C49" s="352"/>
      <c r="D49" s="352"/>
      <c r="E49" s="353" t="s">
        <v>66</v>
      </c>
      <c r="F49" s="353"/>
      <c r="G49" s="87">
        <f>SUM(G45:G48)</f>
        <v>891830.88</v>
      </c>
      <c r="H49" s="367">
        <f>SUM(H45:I48)</f>
        <v>7431.924</v>
      </c>
      <c r="I49" s="367"/>
    </row>
    <row r="50" spans="2:9" ht="15.75" thickBot="1">
      <c r="B50" s="352"/>
      <c r="C50" s="352"/>
      <c r="D50" s="352"/>
      <c r="E50" s="353" t="s">
        <v>77</v>
      </c>
      <c r="F50" s="353"/>
      <c r="G50" s="89">
        <v>12</v>
      </c>
      <c r="H50" s="355"/>
      <c r="I50" s="355"/>
    </row>
    <row r="51" spans="2:9" ht="15.75" thickBot="1">
      <c r="B51" s="352"/>
      <c r="C51" s="352"/>
      <c r="D51" s="352"/>
      <c r="E51" s="356" t="s">
        <v>88</v>
      </c>
      <c r="F51" s="356"/>
      <c r="G51" s="75"/>
      <c r="H51" s="357">
        <f>H49*G50</f>
        <v>89183.088000000003</v>
      </c>
      <c r="I51" s="357"/>
    </row>
  </sheetData>
  <mergeCells count="92">
    <mergeCell ref="B49:D51"/>
    <mergeCell ref="E49:F49"/>
    <mergeCell ref="H49:I49"/>
    <mergeCell ref="E50:F50"/>
    <mergeCell ref="H50:I50"/>
    <mergeCell ref="E51:F51"/>
    <mergeCell ref="H51:I51"/>
    <mergeCell ref="C48:D48"/>
    <mergeCell ref="H48:I48"/>
    <mergeCell ref="C45:D45"/>
    <mergeCell ref="H45:I45"/>
    <mergeCell ref="C46:D46"/>
    <mergeCell ref="H46:I46"/>
    <mergeCell ref="C47:D47"/>
    <mergeCell ref="H47:I47"/>
    <mergeCell ref="B42:I42"/>
    <mergeCell ref="B43:B44"/>
    <mergeCell ref="C43:D44"/>
    <mergeCell ref="G43:G44"/>
    <mergeCell ref="H43:I44"/>
    <mergeCell ref="B2:I2"/>
    <mergeCell ref="B3:I3"/>
    <mergeCell ref="B4:I4"/>
    <mergeCell ref="B5:I5"/>
    <mergeCell ref="B6:I6"/>
    <mergeCell ref="H7:I7"/>
    <mergeCell ref="C9:D9"/>
    <mergeCell ref="C10:D10"/>
    <mergeCell ref="B12:I12"/>
    <mergeCell ref="B13:I13"/>
    <mergeCell ref="B7:B8"/>
    <mergeCell ref="C7:D8"/>
    <mergeCell ref="E7:E8"/>
    <mergeCell ref="F7:F8"/>
    <mergeCell ref="G7:G8"/>
    <mergeCell ref="C11:D11"/>
    <mergeCell ref="B14:I14"/>
    <mergeCell ref="B15:I15"/>
    <mergeCell ref="B16:B17"/>
    <mergeCell ref="C16:D17"/>
    <mergeCell ref="G16:G17"/>
    <mergeCell ref="H16:I17"/>
    <mergeCell ref="C18:D18"/>
    <mergeCell ref="H18:I18"/>
    <mergeCell ref="C19:D19"/>
    <mergeCell ref="H19:I19"/>
    <mergeCell ref="C20:D20"/>
    <mergeCell ref="H20:I20"/>
    <mergeCell ref="C24:D24"/>
    <mergeCell ref="H24:I24"/>
    <mergeCell ref="C21:D21"/>
    <mergeCell ref="H21:I21"/>
    <mergeCell ref="C22:D22"/>
    <mergeCell ref="H22:I22"/>
    <mergeCell ref="C23:D23"/>
    <mergeCell ref="H23:I23"/>
    <mergeCell ref="B25:D27"/>
    <mergeCell ref="E25:F25"/>
    <mergeCell ref="H25:I25"/>
    <mergeCell ref="E26:F26"/>
    <mergeCell ref="H26:I26"/>
    <mergeCell ref="E27:F27"/>
    <mergeCell ref="H27:I27"/>
    <mergeCell ref="B28:I28"/>
    <mergeCell ref="B29:I29"/>
    <mergeCell ref="B30:B31"/>
    <mergeCell ref="C30:D31"/>
    <mergeCell ref="G30:G31"/>
    <mergeCell ref="H30:I31"/>
    <mergeCell ref="H37:I37"/>
    <mergeCell ref="C32:D32"/>
    <mergeCell ref="H32:I32"/>
    <mergeCell ref="C33:D33"/>
    <mergeCell ref="H33:I33"/>
    <mergeCell ref="C34:D34"/>
    <mergeCell ref="H34:I34"/>
    <mergeCell ref="A1:J1"/>
    <mergeCell ref="A2:A40"/>
    <mergeCell ref="J2:J40"/>
    <mergeCell ref="A41:J41"/>
    <mergeCell ref="B38:D40"/>
    <mergeCell ref="E38:F38"/>
    <mergeCell ref="H38:I38"/>
    <mergeCell ref="E39:F39"/>
    <mergeCell ref="H39:I39"/>
    <mergeCell ref="E40:F40"/>
    <mergeCell ref="H40:I40"/>
    <mergeCell ref="C35:D35"/>
    <mergeCell ref="H35:I35"/>
    <mergeCell ref="C36:D36"/>
    <mergeCell ref="H36:I36"/>
    <mergeCell ref="C37:D37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56"/>
  <sheetViews>
    <sheetView topLeftCell="A37" workbookViewId="0">
      <selection activeCell="C57" sqref="C57"/>
    </sheetView>
  </sheetViews>
  <sheetFormatPr defaultRowHeight="15"/>
  <cols>
    <col min="1" max="1" width="3.85546875" customWidth="1"/>
    <col min="2" max="2" width="7" customWidth="1"/>
    <col min="3" max="3" width="44.85546875" customWidth="1"/>
    <col min="4" max="4" width="8.42578125" customWidth="1"/>
    <col min="5" max="5" width="3.42578125" customWidth="1"/>
    <col min="6" max="6" width="23" customWidth="1"/>
    <col min="7" max="7" width="8.7109375" customWidth="1"/>
    <col min="8" max="8" width="9.85546875" customWidth="1"/>
    <col min="9" max="9" width="12.42578125" customWidth="1"/>
    <col min="10" max="1026" width="8.7109375" customWidth="1"/>
  </cols>
  <sheetData>
    <row r="1" spans="1:10">
      <c r="A1" s="303"/>
      <c r="B1" s="303"/>
      <c r="C1" s="303"/>
      <c r="D1" s="303"/>
      <c r="E1" s="303"/>
      <c r="F1" s="303"/>
      <c r="G1" s="303"/>
      <c r="H1" s="303"/>
      <c r="I1" s="303"/>
      <c r="J1" s="303"/>
    </row>
    <row r="2" spans="1:10" ht="15.75">
      <c r="A2" s="303"/>
      <c r="B2" s="347" t="s">
        <v>98</v>
      </c>
      <c r="C2" s="347"/>
      <c r="D2" s="347"/>
      <c r="E2" s="347"/>
      <c r="F2" s="347"/>
      <c r="G2" s="347"/>
      <c r="H2" s="347"/>
      <c r="I2" s="347"/>
      <c r="J2" s="303"/>
    </row>
    <row r="3" spans="1:10">
      <c r="A3" s="303"/>
      <c r="J3" s="303"/>
    </row>
    <row r="4" spans="1:10">
      <c r="A4" s="303"/>
      <c r="B4" s="391" t="s">
        <v>99</v>
      </c>
      <c r="C4" s="391"/>
      <c r="D4" s="391"/>
      <c r="F4" s="391" t="s">
        <v>100</v>
      </c>
      <c r="G4" s="391"/>
      <c r="H4" s="391"/>
      <c r="I4" s="391"/>
      <c r="J4" s="303"/>
    </row>
    <row r="5" spans="1:10">
      <c r="A5" s="303"/>
      <c r="B5" s="395" t="s">
        <v>101</v>
      </c>
      <c r="C5" s="395"/>
      <c r="D5" s="395"/>
      <c r="F5" s="76"/>
      <c r="G5" s="33" t="s">
        <v>102</v>
      </c>
      <c r="H5" s="33" t="s">
        <v>103</v>
      </c>
      <c r="I5" s="80" t="s">
        <v>102</v>
      </c>
      <c r="J5" s="303"/>
    </row>
    <row r="6" spans="1:10">
      <c r="A6" s="303"/>
      <c r="B6" s="76"/>
      <c r="C6" s="33"/>
      <c r="D6" s="80"/>
      <c r="F6" s="76" t="s">
        <v>102</v>
      </c>
      <c r="G6" s="90">
        <v>365</v>
      </c>
      <c r="H6" s="34"/>
      <c r="I6" s="91">
        <f>365</f>
        <v>365</v>
      </c>
      <c r="J6" s="303"/>
    </row>
    <row r="7" spans="1:10">
      <c r="A7" s="303"/>
      <c r="B7" s="72" t="s">
        <v>104</v>
      </c>
      <c r="C7" s="77" t="s">
        <v>105</v>
      </c>
      <c r="D7" s="92" t="s">
        <v>106</v>
      </c>
      <c r="F7" s="76" t="s">
        <v>107</v>
      </c>
      <c r="G7" s="90" t="s">
        <v>108</v>
      </c>
      <c r="H7" s="34" t="s">
        <v>109</v>
      </c>
      <c r="I7" s="93" t="s">
        <v>110</v>
      </c>
      <c r="J7" s="303"/>
    </row>
    <row r="8" spans="1:10">
      <c r="A8" s="303"/>
      <c r="B8" s="396" t="s">
        <v>111</v>
      </c>
      <c r="C8" s="396"/>
      <c r="D8" s="91" t="s">
        <v>112</v>
      </c>
      <c r="F8" s="76" t="s">
        <v>113</v>
      </c>
      <c r="G8" s="90" t="s">
        <v>114</v>
      </c>
      <c r="H8" s="34" t="s">
        <v>115</v>
      </c>
      <c r="I8" s="93" t="s">
        <v>114</v>
      </c>
      <c r="J8" s="303"/>
    </row>
    <row r="9" spans="1:10">
      <c r="A9" s="303"/>
      <c r="B9" s="72">
        <v>1</v>
      </c>
      <c r="C9" s="33" t="s">
        <v>116</v>
      </c>
      <c r="D9" s="94">
        <v>0.2</v>
      </c>
      <c r="F9" s="392" t="s">
        <v>117</v>
      </c>
      <c r="G9" s="392"/>
      <c r="H9" s="392"/>
      <c r="I9" s="95" t="s">
        <v>118</v>
      </c>
      <c r="J9" s="303"/>
    </row>
    <row r="10" spans="1:10">
      <c r="A10" s="303"/>
      <c r="B10" s="72">
        <v>2</v>
      </c>
      <c r="C10" s="33" t="s">
        <v>119</v>
      </c>
      <c r="D10" s="94">
        <v>1.4999999999999999E-2</v>
      </c>
      <c r="F10" s="382" t="s">
        <v>120</v>
      </c>
      <c r="G10" s="382"/>
      <c r="H10" s="382"/>
      <c r="I10" s="382"/>
      <c r="J10" s="303"/>
    </row>
    <row r="11" spans="1:10">
      <c r="A11" s="303"/>
      <c r="B11" s="72">
        <v>3</v>
      </c>
      <c r="C11" s="33" t="s">
        <v>121</v>
      </c>
      <c r="D11" s="94">
        <v>0.01</v>
      </c>
      <c r="J11" s="303"/>
    </row>
    <row r="12" spans="1:10">
      <c r="A12" s="303"/>
      <c r="B12" s="72">
        <v>4</v>
      </c>
      <c r="C12" s="33" t="s">
        <v>122</v>
      </c>
      <c r="D12" s="94">
        <v>2E-3</v>
      </c>
      <c r="F12" s="391" t="s">
        <v>123</v>
      </c>
      <c r="G12" s="391"/>
      <c r="H12" s="391"/>
      <c r="I12" s="391"/>
      <c r="J12" s="303"/>
    </row>
    <row r="13" spans="1:10">
      <c r="A13" s="303"/>
      <c r="B13" s="72">
        <v>5</v>
      </c>
      <c r="C13" s="33" t="s">
        <v>124</v>
      </c>
      <c r="D13" s="94">
        <v>6.0000000000000001E-3</v>
      </c>
      <c r="F13" s="76"/>
      <c r="G13" s="33" t="s">
        <v>102</v>
      </c>
      <c r="H13" s="33" t="s">
        <v>103</v>
      </c>
      <c r="I13" s="80" t="s">
        <v>102</v>
      </c>
      <c r="J13" s="303"/>
    </row>
    <row r="14" spans="1:10">
      <c r="A14" s="303"/>
      <c r="B14" s="72">
        <v>6</v>
      </c>
      <c r="C14" s="33" t="s">
        <v>125</v>
      </c>
      <c r="D14" s="94">
        <v>6.0000000000000001E-3</v>
      </c>
      <c r="F14" s="76" t="s">
        <v>102</v>
      </c>
      <c r="G14" s="90">
        <v>365</v>
      </c>
      <c r="H14" s="90"/>
      <c r="I14" s="93">
        <v>365</v>
      </c>
      <c r="J14" s="303"/>
    </row>
    <row r="15" spans="1:10">
      <c r="A15" s="303"/>
      <c r="B15" s="72">
        <v>7</v>
      </c>
      <c r="C15" s="33" t="s">
        <v>126</v>
      </c>
      <c r="D15" s="94">
        <v>2.5000000000000001E-2</v>
      </c>
      <c r="F15" s="76" t="s">
        <v>127</v>
      </c>
      <c r="G15" s="90" t="s">
        <v>128</v>
      </c>
      <c r="H15" s="90" t="s">
        <v>129</v>
      </c>
      <c r="I15" s="93" t="s">
        <v>128</v>
      </c>
      <c r="J15" s="303"/>
    </row>
    <row r="16" spans="1:10">
      <c r="A16" s="303"/>
      <c r="B16" s="72">
        <v>8</v>
      </c>
      <c r="C16" s="33" t="s">
        <v>130</v>
      </c>
      <c r="D16" s="94">
        <v>0.08</v>
      </c>
      <c r="F16" s="76" t="s">
        <v>113</v>
      </c>
      <c r="G16" s="90" t="s">
        <v>131</v>
      </c>
      <c r="H16" s="90" t="s">
        <v>129</v>
      </c>
      <c r="I16" s="93" t="s">
        <v>131</v>
      </c>
      <c r="J16" s="303"/>
    </row>
    <row r="17" spans="1:10">
      <c r="A17" s="303"/>
      <c r="B17" s="393" t="s">
        <v>132</v>
      </c>
      <c r="C17" s="393"/>
      <c r="D17" s="96">
        <f>SUM(D9:D16)</f>
        <v>0.34400000000000008</v>
      </c>
      <c r="F17" s="76" t="s">
        <v>133</v>
      </c>
      <c r="G17" s="90" t="s">
        <v>134</v>
      </c>
      <c r="H17" s="90" t="s">
        <v>135</v>
      </c>
      <c r="I17" s="93" t="s">
        <v>136</v>
      </c>
      <c r="J17" s="303"/>
    </row>
    <row r="18" spans="1:10">
      <c r="A18" s="303"/>
      <c r="B18" s="394"/>
      <c r="C18" s="394"/>
      <c r="D18" s="394"/>
      <c r="F18" s="392" t="s">
        <v>137</v>
      </c>
      <c r="G18" s="392"/>
      <c r="H18" s="392"/>
      <c r="I18" s="95" t="s">
        <v>138</v>
      </c>
      <c r="J18" s="303"/>
    </row>
    <row r="19" spans="1:10" ht="23.25">
      <c r="A19" s="303"/>
      <c r="B19" s="97" t="s">
        <v>139</v>
      </c>
      <c r="C19" s="98" t="s">
        <v>140</v>
      </c>
      <c r="D19" s="99" t="s">
        <v>106</v>
      </c>
      <c r="F19" s="321"/>
      <c r="G19" s="321"/>
      <c r="H19" s="321"/>
      <c r="I19" s="321"/>
      <c r="J19" s="303"/>
    </row>
    <row r="20" spans="1:10">
      <c r="A20" s="303"/>
      <c r="B20" s="76"/>
      <c r="C20" s="33" t="s">
        <v>141</v>
      </c>
      <c r="D20" s="91" t="s">
        <v>112</v>
      </c>
      <c r="F20" s="391" t="s">
        <v>142</v>
      </c>
      <c r="G20" s="391"/>
      <c r="H20" s="391"/>
      <c r="I20" s="391"/>
      <c r="J20" s="303"/>
    </row>
    <row r="21" spans="1:10">
      <c r="A21" s="303"/>
      <c r="B21" s="72">
        <v>9</v>
      </c>
      <c r="C21" s="100" t="s">
        <v>143</v>
      </c>
      <c r="D21" s="94">
        <v>0</v>
      </c>
      <c r="F21" s="101" t="s">
        <v>144</v>
      </c>
      <c r="G21" s="102" t="s">
        <v>145</v>
      </c>
      <c r="H21" s="102"/>
      <c r="I21" s="103"/>
      <c r="J21" s="303"/>
    </row>
    <row r="22" spans="1:10">
      <c r="A22" s="303"/>
      <c r="B22" s="72">
        <v>10</v>
      </c>
      <c r="C22" s="100" t="s">
        <v>146</v>
      </c>
      <c r="D22" s="94">
        <v>9.0899999999999995E-2</v>
      </c>
      <c r="F22" s="101" t="s">
        <v>147</v>
      </c>
      <c r="G22" s="102" t="s">
        <v>148</v>
      </c>
      <c r="H22" s="102" t="s">
        <v>135</v>
      </c>
      <c r="I22" s="103" t="s">
        <v>149</v>
      </c>
      <c r="J22" s="303"/>
    </row>
    <row r="23" spans="1:10">
      <c r="A23" s="303"/>
      <c r="B23" s="72">
        <v>11</v>
      </c>
      <c r="C23" s="100" t="s">
        <v>150</v>
      </c>
      <c r="D23" s="94">
        <v>3.0300000000000001E-2</v>
      </c>
      <c r="F23" s="101" t="s">
        <v>151</v>
      </c>
      <c r="G23" s="390" t="s">
        <v>152</v>
      </c>
      <c r="H23" s="390"/>
      <c r="I23" s="390"/>
      <c r="J23" s="303"/>
    </row>
    <row r="24" spans="1:10">
      <c r="A24" s="303"/>
      <c r="B24" s="72">
        <v>12</v>
      </c>
      <c r="C24" s="100" t="s">
        <v>153</v>
      </c>
      <c r="D24" s="94">
        <v>0</v>
      </c>
      <c r="F24" s="101" t="s">
        <v>154</v>
      </c>
      <c r="G24" s="390" t="s">
        <v>155</v>
      </c>
      <c r="H24" s="390"/>
      <c r="I24" s="390"/>
      <c r="J24" s="303"/>
    </row>
    <row r="25" spans="1:10">
      <c r="A25" s="303"/>
      <c r="B25" s="72">
        <v>13</v>
      </c>
      <c r="C25" s="100" t="s">
        <v>156</v>
      </c>
      <c r="D25" s="94">
        <v>3.8E-3</v>
      </c>
      <c r="F25" s="101" t="s">
        <v>157</v>
      </c>
      <c r="G25" s="390" t="s">
        <v>158</v>
      </c>
      <c r="H25" s="390"/>
      <c r="I25" s="390"/>
      <c r="J25" s="303"/>
    </row>
    <row r="26" spans="1:10">
      <c r="A26" s="303"/>
      <c r="B26" s="72">
        <v>14</v>
      </c>
      <c r="C26" s="100" t="s">
        <v>159</v>
      </c>
      <c r="D26" s="94">
        <v>8.3299999999999999E-2</v>
      </c>
      <c r="F26" s="101" t="s">
        <v>160</v>
      </c>
      <c r="G26" s="387" t="s">
        <v>161</v>
      </c>
      <c r="H26" s="387"/>
      <c r="I26" s="387"/>
      <c r="J26" s="303"/>
    </row>
    <row r="27" spans="1:10">
      <c r="A27" s="303"/>
      <c r="B27" s="72">
        <v>15</v>
      </c>
      <c r="C27" s="100" t="s">
        <v>162</v>
      </c>
      <c r="D27" s="94">
        <v>3.5999999999999999E-3</v>
      </c>
      <c r="F27" s="101" t="s">
        <v>163</v>
      </c>
      <c r="G27" s="390" t="s">
        <v>164</v>
      </c>
      <c r="H27" s="390"/>
      <c r="I27" s="390"/>
      <c r="J27" s="303"/>
    </row>
    <row r="28" spans="1:10">
      <c r="A28" s="303"/>
      <c r="B28" s="72">
        <v>16</v>
      </c>
      <c r="C28" s="100" t="s">
        <v>165</v>
      </c>
      <c r="D28" s="94">
        <v>4.4999999999999997E-3</v>
      </c>
      <c r="F28" s="101" t="s">
        <v>166</v>
      </c>
      <c r="G28" s="102" t="s">
        <v>167</v>
      </c>
      <c r="H28" s="102" t="s">
        <v>168</v>
      </c>
      <c r="I28" s="103" t="s">
        <v>169</v>
      </c>
      <c r="J28" s="303"/>
    </row>
    <row r="29" spans="1:10">
      <c r="A29" s="303"/>
      <c r="B29" s="72">
        <v>17</v>
      </c>
      <c r="C29" s="100" t="s">
        <v>170</v>
      </c>
      <c r="D29" s="94">
        <v>0</v>
      </c>
      <c r="F29" s="101" t="s">
        <v>171</v>
      </c>
      <c r="G29" s="380" t="s">
        <v>172</v>
      </c>
      <c r="H29" s="380"/>
      <c r="I29" s="380"/>
      <c r="J29" s="303"/>
    </row>
    <row r="30" spans="1:10">
      <c r="A30" s="303"/>
      <c r="B30" s="383" t="s">
        <v>132</v>
      </c>
      <c r="C30" s="383"/>
      <c r="D30" s="96">
        <f>SUM(D21:D29)</f>
        <v>0.21639999999999998</v>
      </c>
      <c r="F30" s="101" t="s">
        <v>173</v>
      </c>
      <c r="G30" s="385" t="s">
        <v>174</v>
      </c>
      <c r="H30" s="385"/>
      <c r="I30" s="385"/>
      <c r="J30" s="303"/>
    </row>
    <row r="31" spans="1:10">
      <c r="A31" s="303"/>
      <c r="F31" s="101" t="s">
        <v>175</v>
      </c>
      <c r="G31" s="385" t="s">
        <v>176</v>
      </c>
      <c r="H31" s="385"/>
      <c r="I31" s="385"/>
      <c r="J31" s="303"/>
    </row>
    <row r="32" spans="1:10">
      <c r="A32" s="303"/>
      <c r="B32" s="389" t="s">
        <v>177</v>
      </c>
      <c r="C32" s="389"/>
      <c r="D32" s="389"/>
      <c r="F32" s="101" t="s">
        <v>178</v>
      </c>
      <c r="G32" s="380" t="s">
        <v>179</v>
      </c>
      <c r="H32" s="380"/>
      <c r="I32" s="380"/>
      <c r="J32" s="303"/>
    </row>
    <row r="33" spans="1:10">
      <c r="A33" s="303"/>
      <c r="B33" s="321"/>
      <c r="C33" s="321"/>
      <c r="D33" s="321"/>
      <c r="F33" s="101" t="s">
        <v>180</v>
      </c>
      <c r="G33" s="385" t="s">
        <v>181</v>
      </c>
      <c r="H33" s="385"/>
      <c r="I33" s="385"/>
      <c r="J33" s="303"/>
    </row>
    <row r="34" spans="1:10">
      <c r="A34" s="303"/>
      <c r="B34" s="97" t="s">
        <v>182</v>
      </c>
      <c r="C34" s="104" t="s">
        <v>183</v>
      </c>
      <c r="D34" s="99" t="s">
        <v>106</v>
      </c>
      <c r="F34" s="101" t="s">
        <v>106</v>
      </c>
      <c r="G34" s="380" t="s">
        <v>184</v>
      </c>
      <c r="H34" s="380"/>
      <c r="I34" s="380"/>
      <c r="J34" s="303"/>
    </row>
    <row r="35" spans="1:10">
      <c r="A35" s="303"/>
      <c r="B35" s="388" t="s">
        <v>185</v>
      </c>
      <c r="C35" s="388"/>
      <c r="D35" s="73" t="s">
        <v>112</v>
      </c>
      <c r="F35" s="101" t="s">
        <v>186</v>
      </c>
      <c r="G35" s="380" t="s">
        <v>187</v>
      </c>
      <c r="H35" s="380"/>
      <c r="I35" s="380"/>
      <c r="J35" s="303"/>
    </row>
    <row r="36" spans="1:10">
      <c r="A36" s="303"/>
      <c r="B36" s="72">
        <v>18</v>
      </c>
      <c r="C36" s="100" t="s">
        <v>188</v>
      </c>
      <c r="D36" s="105">
        <v>1E-4</v>
      </c>
      <c r="F36" s="101" t="s">
        <v>189</v>
      </c>
      <c r="G36" s="380" t="s">
        <v>190</v>
      </c>
      <c r="H36" s="380"/>
      <c r="I36" s="380"/>
      <c r="J36" s="303"/>
    </row>
    <row r="37" spans="1:10">
      <c r="A37" s="303"/>
      <c r="B37" s="72">
        <v>19</v>
      </c>
      <c r="C37" s="100" t="s">
        <v>191</v>
      </c>
      <c r="D37" s="105">
        <v>8.8800000000000004E-2</v>
      </c>
      <c r="F37" s="101" t="s">
        <v>192</v>
      </c>
      <c r="G37" s="385" t="s">
        <v>193</v>
      </c>
      <c r="H37" s="385"/>
      <c r="I37" s="385"/>
      <c r="J37" s="303"/>
    </row>
    <row r="38" spans="1:10">
      <c r="A38" s="303"/>
      <c r="B38" s="72">
        <v>20</v>
      </c>
      <c r="C38" s="100" t="s">
        <v>194</v>
      </c>
      <c r="D38" s="94">
        <v>8.8900000000000007E-2</v>
      </c>
      <c r="F38" s="101" t="s">
        <v>130</v>
      </c>
      <c r="G38" s="385" t="s">
        <v>195</v>
      </c>
      <c r="H38" s="385"/>
      <c r="I38" s="385"/>
      <c r="J38" s="303"/>
    </row>
    <row r="39" spans="1:10" ht="23.25" customHeight="1">
      <c r="A39" s="303"/>
      <c r="B39" s="72">
        <v>21</v>
      </c>
      <c r="C39" s="106" t="s">
        <v>196</v>
      </c>
      <c r="D39" s="94">
        <v>4.8599999999999997E-2</v>
      </c>
      <c r="F39" s="101" t="s">
        <v>197</v>
      </c>
      <c r="G39" s="380" t="s">
        <v>198</v>
      </c>
      <c r="H39" s="380"/>
      <c r="I39" s="380"/>
      <c r="J39" s="303"/>
    </row>
    <row r="40" spans="1:10">
      <c r="A40" s="303"/>
      <c r="B40" s="72">
        <v>22</v>
      </c>
      <c r="C40" s="100" t="s">
        <v>199</v>
      </c>
      <c r="D40" s="94">
        <v>7.1000000000000004E-3</v>
      </c>
      <c r="F40" s="101" t="s">
        <v>160</v>
      </c>
      <c r="G40" s="386" t="s">
        <v>200</v>
      </c>
      <c r="H40" s="386"/>
      <c r="I40" s="386"/>
      <c r="J40" s="303"/>
    </row>
    <row r="41" spans="1:10">
      <c r="A41" s="303"/>
      <c r="B41" s="72">
        <v>23</v>
      </c>
      <c r="C41" s="100" t="s">
        <v>201</v>
      </c>
      <c r="D41" s="94">
        <v>0</v>
      </c>
      <c r="F41" s="101" t="s">
        <v>202</v>
      </c>
      <c r="G41" s="387" t="s">
        <v>203</v>
      </c>
      <c r="H41" s="387"/>
      <c r="I41" s="387"/>
      <c r="J41" s="303"/>
    </row>
    <row r="42" spans="1:10">
      <c r="A42" s="303"/>
      <c r="B42" s="72">
        <v>24</v>
      </c>
      <c r="C42" s="100" t="s">
        <v>204</v>
      </c>
      <c r="D42" s="94">
        <v>0</v>
      </c>
      <c r="F42" s="101" t="s">
        <v>205</v>
      </c>
      <c r="G42" s="385" t="s">
        <v>206</v>
      </c>
      <c r="H42" s="385"/>
      <c r="I42" s="385"/>
      <c r="J42" s="303"/>
    </row>
    <row r="43" spans="1:10">
      <c r="A43" s="303"/>
      <c r="B43" s="72">
        <v>25</v>
      </c>
      <c r="C43" s="100" t="s">
        <v>207</v>
      </c>
      <c r="D43" s="94">
        <v>0</v>
      </c>
      <c r="F43" s="101" t="s">
        <v>208</v>
      </c>
      <c r="G43" s="380" t="s">
        <v>209</v>
      </c>
      <c r="H43" s="380"/>
      <c r="I43" s="380"/>
      <c r="J43" s="303"/>
    </row>
    <row r="44" spans="1:10">
      <c r="A44" s="303"/>
      <c r="B44" s="72">
        <v>26</v>
      </c>
      <c r="C44" s="100" t="s">
        <v>210</v>
      </c>
      <c r="D44" s="94">
        <v>0</v>
      </c>
      <c r="F44" s="107" t="s">
        <v>211</v>
      </c>
      <c r="G44" s="381" t="s">
        <v>212</v>
      </c>
      <c r="H44" s="381"/>
      <c r="I44" s="381"/>
      <c r="J44" s="303"/>
    </row>
    <row r="45" spans="1:10">
      <c r="A45" s="303"/>
      <c r="B45" s="72">
        <v>27</v>
      </c>
      <c r="C45" s="100" t="s">
        <v>213</v>
      </c>
      <c r="D45" s="94">
        <v>0</v>
      </c>
      <c r="F45" s="382" t="s">
        <v>214</v>
      </c>
      <c r="G45" s="382"/>
      <c r="H45" s="382"/>
      <c r="I45" s="382"/>
      <c r="J45" s="303"/>
    </row>
    <row r="46" spans="1:10">
      <c r="A46" s="303"/>
      <c r="B46" s="383" t="s">
        <v>132</v>
      </c>
      <c r="C46" s="383"/>
      <c r="D46" s="96">
        <f>SUM(D38:D44)</f>
        <v>0.14460000000000001</v>
      </c>
      <c r="J46" s="303"/>
    </row>
    <row r="47" spans="1:10">
      <c r="A47" s="303"/>
      <c r="J47" s="303"/>
    </row>
    <row r="48" spans="1:10">
      <c r="A48" s="303"/>
      <c r="B48" s="97" t="s">
        <v>215</v>
      </c>
      <c r="C48" s="108" t="s">
        <v>216</v>
      </c>
      <c r="D48" s="109" t="s">
        <v>112</v>
      </c>
      <c r="J48" s="303"/>
    </row>
    <row r="49" spans="1:10">
      <c r="A49" s="303"/>
      <c r="B49" s="74">
        <v>28</v>
      </c>
      <c r="C49" s="110" t="s">
        <v>217</v>
      </c>
      <c r="D49" s="96">
        <v>3.6400000000000002E-2</v>
      </c>
      <c r="J49" s="303"/>
    </row>
    <row r="50" spans="1:10">
      <c r="A50" s="303"/>
      <c r="J50" s="303"/>
    </row>
    <row r="51" spans="1:10">
      <c r="A51" s="303"/>
      <c r="J51" s="303"/>
    </row>
    <row r="52" spans="1:10">
      <c r="A52" s="303"/>
      <c r="B52" s="384" t="s">
        <v>218</v>
      </c>
      <c r="C52" s="384"/>
      <c r="D52" s="111">
        <f>D17+D30+D46+D49</f>
        <v>0.74140000000000006</v>
      </c>
      <c r="J52" s="303"/>
    </row>
    <row r="53" spans="1:10">
      <c r="A53" s="303"/>
      <c r="B53" s="378" t="s">
        <v>219</v>
      </c>
      <c r="C53" s="378"/>
      <c r="D53" s="378"/>
      <c r="J53" s="303"/>
    </row>
    <row r="54" spans="1:10">
      <c r="A54" s="303"/>
      <c r="B54" s="378" t="s">
        <v>220</v>
      </c>
      <c r="C54" s="378"/>
      <c r="D54" s="378"/>
      <c r="J54" s="303"/>
    </row>
    <row r="55" spans="1:10">
      <c r="A55" s="303"/>
      <c r="B55" s="379" t="s">
        <v>221</v>
      </c>
      <c r="C55" s="379"/>
      <c r="D55" s="379"/>
      <c r="J55" s="303"/>
    </row>
    <row r="56" spans="1:10">
      <c r="A56" s="303"/>
      <c r="B56" s="303"/>
      <c r="C56" s="303"/>
      <c r="D56" s="303"/>
      <c r="E56" s="303"/>
      <c r="F56" s="303"/>
      <c r="G56" s="303"/>
      <c r="H56" s="303"/>
      <c r="I56" s="303"/>
      <c r="J56" s="303"/>
    </row>
  </sheetData>
  <mergeCells count="48">
    <mergeCell ref="B2:I2"/>
    <mergeCell ref="B4:D4"/>
    <mergeCell ref="F4:I4"/>
    <mergeCell ref="B5:D5"/>
    <mergeCell ref="B8:C8"/>
    <mergeCell ref="F9:H9"/>
    <mergeCell ref="F10:I10"/>
    <mergeCell ref="F12:I12"/>
    <mergeCell ref="B17:C17"/>
    <mergeCell ref="B18:D18"/>
    <mergeCell ref="F18:H18"/>
    <mergeCell ref="F19:I19"/>
    <mergeCell ref="F20:I20"/>
    <mergeCell ref="G23:I23"/>
    <mergeCell ref="G24:I24"/>
    <mergeCell ref="G25:I25"/>
    <mergeCell ref="G26:I26"/>
    <mergeCell ref="G27:I27"/>
    <mergeCell ref="G29:I29"/>
    <mergeCell ref="B30:C30"/>
    <mergeCell ref="G30:I30"/>
    <mergeCell ref="G31:I31"/>
    <mergeCell ref="B32:D32"/>
    <mergeCell ref="G32:I32"/>
    <mergeCell ref="B33:D33"/>
    <mergeCell ref="G33:I33"/>
    <mergeCell ref="G42:I42"/>
    <mergeCell ref="G34:I34"/>
    <mergeCell ref="B35:C35"/>
    <mergeCell ref="G35:I35"/>
    <mergeCell ref="G36:I36"/>
    <mergeCell ref="G37:I37"/>
    <mergeCell ref="A1:J1"/>
    <mergeCell ref="A2:A55"/>
    <mergeCell ref="J2:J55"/>
    <mergeCell ref="A56:J56"/>
    <mergeCell ref="B53:D53"/>
    <mergeCell ref="B54:D54"/>
    <mergeCell ref="B55:D55"/>
    <mergeCell ref="G43:I43"/>
    <mergeCell ref="G44:I44"/>
    <mergeCell ref="F45:I45"/>
    <mergeCell ref="B46:C46"/>
    <mergeCell ref="B52:C52"/>
    <mergeCell ref="G38:I38"/>
    <mergeCell ref="G39:I39"/>
    <mergeCell ref="G40:I40"/>
    <mergeCell ref="G41:I41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88"/>
  <sheetViews>
    <sheetView topLeftCell="A40" workbookViewId="0">
      <selection activeCell="D51" sqref="D51"/>
    </sheetView>
  </sheetViews>
  <sheetFormatPr defaultRowHeight="15"/>
  <cols>
    <col min="1" max="1" width="3.140625" customWidth="1"/>
    <col min="2" max="2" width="48.5703125" customWidth="1"/>
    <col min="3" max="3" width="8.7109375" customWidth="1"/>
    <col min="4" max="4" width="14.28515625" customWidth="1"/>
    <col min="5" max="5" width="6.42578125" customWidth="1"/>
    <col min="6" max="6" width="7.7109375" customWidth="1"/>
    <col min="7" max="7" width="16.85546875" customWidth="1"/>
    <col min="8" max="8" width="16.140625" customWidth="1"/>
    <col min="9" max="1026" width="8.7109375" customWidth="1"/>
  </cols>
  <sheetData>
    <row r="1" spans="1:9">
      <c r="A1" s="303"/>
      <c r="B1" s="303"/>
      <c r="C1" s="303"/>
      <c r="D1" s="303"/>
      <c r="E1" s="303"/>
      <c r="F1" s="303"/>
      <c r="G1" s="303"/>
      <c r="H1" s="303"/>
      <c r="I1" s="303"/>
    </row>
    <row r="2" spans="1:9" ht="18.75">
      <c r="A2" s="279"/>
      <c r="B2" s="331" t="s">
        <v>222</v>
      </c>
      <c r="C2" s="331"/>
      <c r="D2" s="331"/>
      <c r="E2" s="331"/>
      <c r="F2" s="331"/>
      <c r="G2" s="331"/>
      <c r="H2" s="331"/>
      <c r="I2" s="279"/>
    </row>
    <row r="3" spans="1:9">
      <c r="A3" s="279"/>
      <c r="B3" s="399"/>
      <c r="C3" s="399"/>
      <c r="D3" s="399"/>
      <c r="E3" s="399"/>
      <c r="F3" s="399"/>
      <c r="G3" s="399"/>
      <c r="H3" s="399"/>
      <c r="I3" s="279"/>
    </row>
    <row r="4" spans="1:9">
      <c r="A4" s="279"/>
      <c r="B4" s="112" t="s">
        <v>223</v>
      </c>
      <c r="C4" s="112"/>
      <c r="D4" s="112" t="s">
        <v>7</v>
      </c>
      <c r="E4" s="113" t="s">
        <v>224</v>
      </c>
      <c r="F4" s="112"/>
      <c r="G4" s="112" t="s">
        <v>87</v>
      </c>
      <c r="H4" s="113" t="s">
        <v>225</v>
      </c>
      <c r="I4" s="279"/>
    </row>
    <row r="5" spans="1:9">
      <c r="A5" s="279"/>
      <c r="B5" s="233" t="s">
        <v>353</v>
      </c>
      <c r="C5" s="118" t="s">
        <v>226</v>
      </c>
      <c r="D5" s="236">
        <f>D11+D8+D6</f>
        <v>43709.14</v>
      </c>
      <c r="E5" s="118" t="s">
        <v>227</v>
      </c>
      <c r="F5" s="118" t="s">
        <v>228</v>
      </c>
      <c r="G5" s="236">
        <f>G6+G8+G11</f>
        <v>524509.68000000005</v>
      </c>
      <c r="H5" s="235">
        <f t="shared" ref="H5:H53" si="0">G5/$G$65</f>
        <v>0.25368758124991747</v>
      </c>
      <c r="I5" s="279"/>
    </row>
    <row r="6" spans="1:9">
      <c r="A6" s="279"/>
      <c r="B6" s="12" t="s">
        <v>229</v>
      </c>
      <c r="C6" s="12" t="s">
        <v>226</v>
      </c>
      <c r="D6" s="123">
        <f>SUM(D7:D7)</f>
        <v>30300.36</v>
      </c>
      <c r="E6" s="12"/>
      <c r="F6" s="12" t="s">
        <v>228</v>
      </c>
      <c r="G6" s="123">
        <f>SUM(G7:G7)</f>
        <v>363604.32</v>
      </c>
      <c r="H6" s="115">
        <f t="shared" si="0"/>
        <v>0.17586310413340889</v>
      </c>
      <c r="I6" s="279"/>
    </row>
    <row r="7" spans="1:9">
      <c r="A7" s="279"/>
      <c r="B7" s="7" t="s">
        <v>230</v>
      </c>
      <c r="C7" s="7" t="s">
        <v>226</v>
      </c>
      <c r="D7" s="9">
        <f>'Insumos Básicos'!F7</f>
        <v>30300.36</v>
      </c>
      <c r="E7" s="7">
        <v>12</v>
      </c>
      <c r="F7" s="7" t="s">
        <v>228</v>
      </c>
      <c r="G7" s="9">
        <f>D7*E7</f>
        <v>363604.32</v>
      </c>
      <c r="H7" s="116">
        <f t="shared" si="0"/>
        <v>0.17586310413340889</v>
      </c>
      <c r="I7" s="279"/>
    </row>
    <row r="8" spans="1:9">
      <c r="A8" s="279"/>
      <c r="B8" s="28" t="s">
        <v>231</v>
      </c>
      <c r="C8" s="28" t="s">
        <v>226</v>
      </c>
      <c r="D8" s="114">
        <f>SUM(D9:D10)</f>
        <v>9925.98</v>
      </c>
      <c r="E8" s="28"/>
      <c r="F8" s="28" t="s">
        <v>228</v>
      </c>
      <c r="G8" s="114">
        <f>SUM(G9:G10)</f>
        <v>119111.76000000001</v>
      </c>
      <c r="H8" s="115">
        <f t="shared" si="0"/>
        <v>5.7610327216116711E-2</v>
      </c>
      <c r="I8" s="279"/>
    </row>
    <row r="9" spans="1:9">
      <c r="A9" s="279"/>
      <c r="B9" s="12" t="s">
        <v>351</v>
      </c>
      <c r="C9" s="12" t="s">
        <v>226</v>
      </c>
      <c r="D9" s="63">
        <f>'Insumos Básicos'!F10</f>
        <v>4353.5</v>
      </c>
      <c r="E9" s="12">
        <v>12</v>
      </c>
      <c r="F9" s="12" t="s">
        <v>228</v>
      </c>
      <c r="G9" s="63">
        <f t="shared" ref="G9:G10" si="1">D9*E9</f>
        <v>52242</v>
      </c>
      <c r="H9" s="115">
        <f t="shared" si="0"/>
        <v>2.5267687375489782E-2</v>
      </c>
      <c r="I9" s="279"/>
    </row>
    <row r="10" spans="1:9">
      <c r="A10" s="279"/>
      <c r="B10" s="69" t="s">
        <v>232</v>
      </c>
      <c r="C10" s="69" t="s">
        <v>226</v>
      </c>
      <c r="D10" s="9">
        <f>'Insumos Básicos'!F11</f>
        <v>5572.4800000000005</v>
      </c>
      <c r="E10" s="69">
        <v>12</v>
      </c>
      <c r="F10" s="69" t="s">
        <v>228</v>
      </c>
      <c r="G10" s="9">
        <f t="shared" si="1"/>
        <v>66869.760000000009</v>
      </c>
      <c r="H10" s="116">
        <f t="shared" si="0"/>
        <v>3.2342639840626929E-2</v>
      </c>
      <c r="I10" s="279"/>
    </row>
    <row r="11" spans="1:9">
      <c r="A11" s="279"/>
      <c r="B11" s="12" t="s">
        <v>350</v>
      </c>
      <c r="C11" t="s">
        <v>226</v>
      </c>
      <c r="D11" s="117">
        <f>SUM(D12:D12)</f>
        <v>3482.8</v>
      </c>
      <c r="F11" t="s">
        <v>228</v>
      </c>
      <c r="G11" s="117">
        <f>SUM(G12:G12)</f>
        <v>41793.600000000006</v>
      </c>
      <c r="H11" s="115">
        <f t="shared" si="0"/>
        <v>2.0214149900391831E-2</v>
      </c>
      <c r="I11" s="279"/>
    </row>
    <row r="12" spans="1:9">
      <c r="A12" s="279"/>
      <c r="B12" s="69" t="s">
        <v>352</v>
      </c>
      <c r="C12" s="7" t="s">
        <v>226</v>
      </c>
      <c r="D12" s="9">
        <f>'Insumos Básicos'!F14</f>
        <v>3482.8</v>
      </c>
      <c r="E12" s="7">
        <v>12</v>
      </c>
      <c r="F12" s="7" t="s">
        <v>228</v>
      </c>
      <c r="G12" s="9">
        <f>D12*E12</f>
        <v>41793.600000000006</v>
      </c>
      <c r="H12" s="116">
        <f t="shared" si="0"/>
        <v>2.0214149900391831E-2</v>
      </c>
      <c r="I12" s="279"/>
    </row>
    <row r="13" spans="1:9">
      <c r="A13" s="279"/>
      <c r="B13" s="118" t="s">
        <v>233</v>
      </c>
      <c r="C13" s="119" t="s">
        <v>226</v>
      </c>
      <c r="D13" s="120">
        <f>D14+D18+D22+D26</f>
        <v>13919.170000000002</v>
      </c>
      <c r="E13" s="119"/>
      <c r="F13" s="119" t="s">
        <v>228</v>
      </c>
      <c r="G13" s="120">
        <f>G14+G18+G22+G26</f>
        <v>167030.04</v>
      </c>
      <c r="H13" s="235">
        <f t="shared" si="0"/>
        <v>8.0786777555138661E-2</v>
      </c>
      <c r="I13" s="279"/>
    </row>
    <row r="14" spans="1:9">
      <c r="A14" s="279"/>
      <c r="B14" t="s">
        <v>234</v>
      </c>
      <c r="C14" t="s">
        <v>226</v>
      </c>
      <c r="D14" s="117">
        <f>SUM(D15:D17)</f>
        <v>6240</v>
      </c>
      <c r="E14" s="227"/>
      <c r="F14" t="s">
        <v>228</v>
      </c>
      <c r="G14" s="117">
        <f>SUM(G15:G17)</f>
        <v>74880</v>
      </c>
      <c r="H14" s="115">
        <f t="shared" si="0"/>
        <v>3.6216921838303953E-2</v>
      </c>
      <c r="I14" s="279"/>
    </row>
    <row r="15" spans="1:9">
      <c r="A15" s="279"/>
      <c r="B15" s="12" t="s">
        <v>235</v>
      </c>
      <c r="C15" t="s">
        <v>226</v>
      </c>
      <c r="D15" s="61">
        <f>'Insumos Básicos'!F19</f>
        <v>4680</v>
      </c>
      <c r="E15" s="12">
        <v>12</v>
      </c>
      <c r="F15" t="s">
        <v>228</v>
      </c>
      <c r="G15" s="61">
        <f>D15*E15</f>
        <v>56160</v>
      </c>
      <c r="H15" s="115">
        <f t="shared" si="0"/>
        <v>2.7162691378727961E-2</v>
      </c>
      <c r="I15" s="279"/>
    </row>
    <row r="16" spans="1:9">
      <c r="A16" s="279"/>
      <c r="B16" s="12" t="s">
        <v>236</v>
      </c>
      <c r="C16" t="s">
        <v>226</v>
      </c>
      <c r="D16" s="61">
        <f>'Insumos Básicos'!F20</f>
        <v>1170</v>
      </c>
      <c r="E16" s="12">
        <v>12</v>
      </c>
      <c r="F16" t="s">
        <v>228</v>
      </c>
      <c r="G16" s="61">
        <f>D16*E16</f>
        <v>14040</v>
      </c>
      <c r="H16" s="115">
        <f t="shared" si="0"/>
        <v>6.7906728446819904E-3</v>
      </c>
      <c r="I16" s="279"/>
    </row>
    <row r="17" spans="1:9">
      <c r="A17" s="279"/>
      <c r="B17" s="69" t="s">
        <v>416</v>
      </c>
      <c r="C17" s="7" t="s">
        <v>226</v>
      </c>
      <c r="D17" s="9">
        <f>'Insumos Básicos'!F21</f>
        <v>390</v>
      </c>
      <c r="E17" s="69">
        <v>12</v>
      </c>
      <c r="F17" s="7" t="s">
        <v>228</v>
      </c>
      <c r="G17" s="9">
        <f>D17*E17</f>
        <v>4680</v>
      </c>
      <c r="H17" s="116">
        <f t="shared" si="0"/>
        <v>2.2635576148939971E-3</v>
      </c>
      <c r="I17" s="279"/>
    </row>
    <row r="18" spans="1:9">
      <c r="A18" s="279"/>
      <c r="B18" s="12" t="s">
        <v>237</v>
      </c>
      <c r="C18" t="s">
        <v>226</v>
      </c>
      <c r="D18" s="117">
        <f>SUM(D19:D21)</f>
        <v>3660.8000000000006</v>
      </c>
      <c r="F18" t="s">
        <v>228</v>
      </c>
      <c r="G18" s="117">
        <f>SUM(G19:G21)</f>
        <v>43929.600000000006</v>
      </c>
      <c r="H18" s="115">
        <f t="shared" si="0"/>
        <v>2.1247260811804988E-2</v>
      </c>
      <c r="I18" s="279"/>
    </row>
    <row r="19" spans="1:9">
      <c r="A19" s="279"/>
      <c r="B19" s="12" t="s">
        <v>235</v>
      </c>
      <c r="C19" t="s">
        <v>226</v>
      </c>
      <c r="D19" s="61">
        <f>'Insumos Básicos'!F24</f>
        <v>2745.6000000000004</v>
      </c>
      <c r="E19">
        <v>12</v>
      </c>
      <c r="F19" t="s">
        <v>228</v>
      </c>
      <c r="G19" s="61">
        <f>D19*E19</f>
        <v>32947.200000000004</v>
      </c>
      <c r="H19" s="115">
        <f t="shared" si="0"/>
        <v>1.5935445608853741E-2</v>
      </c>
      <c r="I19" s="279"/>
    </row>
    <row r="20" spans="1:9">
      <c r="A20" s="279"/>
      <c r="B20" s="12" t="s">
        <v>236</v>
      </c>
      <c r="C20" t="s">
        <v>226</v>
      </c>
      <c r="D20" s="61">
        <f>'Insumos Básicos'!F25</f>
        <v>686.40000000000009</v>
      </c>
      <c r="E20">
        <v>12</v>
      </c>
      <c r="F20" t="s">
        <v>228</v>
      </c>
      <c r="G20" s="61">
        <f>D20*E20</f>
        <v>8236.8000000000011</v>
      </c>
      <c r="H20" s="115">
        <f t="shared" si="0"/>
        <v>3.9838614022134353E-3</v>
      </c>
      <c r="I20" s="279"/>
    </row>
    <row r="21" spans="1:9">
      <c r="A21" s="279"/>
      <c r="B21" s="69" t="s">
        <v>416</v>
      </c>
      <c r="C21" s="7" t="s">
        <v>226</v>
      </c>
      <c r="D21" s="9">
        <f>'Insumos Básicos'!F26</f>
        <v>228.8</v>
      </c>
      <c r="E21" s="7">
        <v>12</v>
      </c>
      <c r="F21" s="7" t="s">
        <v>228</v>
      </c>
      <c r="G21" s="8">
        <f>D21*E21</f>
        <v>2745.6000000000004</v>
      </c>
      <c r="H21" s="116">
        <f t="shared" si="0"/>
        <v>1.3279538007378118E-3</v>
      </c>
      <c r="I21" s="279"/>
    </row>
    <row r="22" spans="1:9">
      <c r="A22" s="279"/>
      <c r="B22" s="12" t="s">
        <v>354</v>
      </c>
      <c r="C22" t="s">
        <v>226</v>
      </c>
      <c r="D22" s="117">
        <f>SUM(D23:D25)</f>
        <v>1440</v>
      </c>
      <c r="F22" t="s">
        <v>228</v>
      </c>
      <c r="G22" s="117">
        <f>SUM(G23:G25)</f>
        <v>17280</v>
      </c>
      <c r="H22" s="115">
        <f t="shared" si="0"/>
        <v>8.3577511934547575E-3</v>
      </c>
      <c r="I22" s="279"/>
    </row>
    <row r="23" spans="1:9">
      <c r="A23" s="279"/>
      <c r="B23" s="12" t="s">
        <v>238</v>
      </c>
      <c r="C23" t="s">
        <v>226</v>
      </c>
      <c r="D23" s="61">
        <f>'Insumos Básicos'!F29</f>
        <v>1080</v>
      </c>
      <c r="E23">
        <v>12</v>
      </c>
      <c r="F23" t="s">
        <v>228</v>
      </c>
      <c r="G23" s="61">
        <f>D23*E23</f>
        <v>12960</v>
      </c>
      <c r="H23" s="115">
        <f t="shared" si="0"/>
        <v>6.2683133950910686E-3</v>
      </c>
      <c r="I23" s="279"/>
    </row>
    <row r="24" spans="1:9">
      <c r="A24" s="279"/>
      <c r="B24" s="12" t="s">
        <v>239</v>
      </c>
      <c r="C24" t="s">
        <v>226</v>
      </c>
      <c r="D24" s="61">
        <f>'Insumos Básicos'!F30</f>
        <v>270</v>
      </c>
      <c r="E24">
        <v>12</v>
      </c>
      <c r="F24" t="s">
        <v>228</v>
      </c>
      <c r="G24" s="61">
        <f>D24*E24</f>
        <v>3240</v>
      </c>
      <c r="H24" s="115">
        <f t="shared" si="0"/>
        <v>1.5670783487727671E-3</v>
      </c>
      <c r="I24" s="279"/>
    </row>
    <row r="25" spans="1:9">
      <c r="A25" s="279"/>
      <c r="B25" s="69" t="s">
        <v>416</v>
      </c>
      <c r="C25" s="7" t="s">
        <v>226</v>
      </c>
      <c r="D25" s="9">
        <f>'Insumos Básicos'!F31</f>
        <v>90</v>
      </c>
      <c r="E25" s="7">
        <v>12</v>
      </c>
      <c r="F25" s="7" t="s">
        <v>228</v>
      </c>
      <c r="G25" s="9">
        <f>D25*E25</f>
        <v>1080</v>
      </c>
      <c r="H25" s="116">
        <f t="shared" si="0"/>
        <v>5.2235944959092234E-4</v>
      </c>
      <c r="I25" s="279"/>
    </row>
    <row r="26" spans="1:9">
      <c r="A26" s="279"/>
      <c r="B26" t="s">
        <v>355</v>
      </c>
      <c r="C26" t="s">
        <v>226</v>
      </c>
      <c r="D26" s="117">
        <f>SUM(D27:D31)</f>
        <v>2578.37</v>
      </c>
      <c r="F26" t="s">
        <v>228</v>
      </c>
      <c r="G26" s="117">
        <f>SUM(G27:G31)</f>
        <v>30940.44</v>
      </c>
      <c r="H26" s="115">
        <f t="shared" si="0"/>
        <v>1.4964843711574961E-2</v>
      </c>
      <c r="I26" s="279"/>
    </row>
    <row r="27" spans="1:9">
      <c r="A27" s="279"/>
      <c r="B27" s="12" t="s">
        <v>240</v>
      </c>
      <c r="C27" t="s">
        <v>226</v>
      </c>
      <c r="D27" s="63">
        <f>'Insumos Básicos'!F35</f>
        <v>429.86666666666662</v>
      </c>
      <c r="E27">
        <v>12</v>
      </c>
      <c r="F27" t="s">
        <v>228</v>
      </c>
      <c r="G27" s="61">
        <f t="shared" ref="G27:G31" si="2">D27*E27</f>
        <v>5158.3999999999996</v>
      </c>
      <c r="H27" s="115">
        <f t="shared" si="0"/>
        <v>2.4949435044164942E-3</v>
      </c>
      <c r="I27" s="279"/>
    </row>
    <row r="28" spans="1:9">
      <c r="A28" s="279"/>
      <c r="B28" s="12" t="s">
        <v>241</v>
      </c>
      <c r="C28" t="s">
        <v>226</v>
      </c>
      <c r="D28" s="63">
        <f>'Insumos Básicos'!F36</f>
        <v>444.37333333333328</v>
      </c>
      <c r="E28">
        <v>12</v>
      </c>
      <c r="F28" t="s">
        <v>228</v>
      </c>
      <c r="G28" s="61">
        <f t="shared" si="2"/>
        <v>5332.48</v>
      </c>
      <c r="H28" s="115">
        <f t="shared" si="0"/>
        <v>2.5791401090320383E-3</v>
      </c>
      <c r="I28" s="279"/>
    </row>
    <row r="29" spans="1:9">
      <c r="A29" s="279"/>
      <c r="B29" s="12" t="s">
        <v>242</v>
      </c>
      <c r="C29" t="s">
        <v>226</v>
      </c>
      <c r="D29" s="63">
        <f>'Insumos Básicos'!F37</f>
        <v>346.50666666666666</v>
      </c>
      <c r="E29">
        <v>12</v>
      </c>
      <c r="F29" t="s">
        <v>228</v>
      </c>
      <c r="G29" s="61">
        <f t="shared" si="2"/>
        <v>4158.08</v>
      </c>
      <c r="H29" s="115">
        <f t="shared" si="0"/>
        <v>2.0111225742176133E-3</v>
      </c>
      <c r="I29" s="279"/>
    </row>
    <row r="30" spans="1:9">
      <c r="A30" s="279"/>
      <c r="B30" s="12" t="s">
        <v>243</v>
      </c>
      <c r="C30" t="s">
        <v>226</v>
      </c>
      <c r="D30" s="63">
        <f>'Insumos Básicos'!F38</f>
        <v>85.583333333333329</v>
      </c>
      <c r="E30">
        <v>12</v>
      </c>
      <c r="F30" t="s">
        <v>228</v>
      </c>
      <c r="G30" s="61">
        <f t="shared" si="2"/>
        <v>1027</v>
      </c>
      <c r="H30" s="115">
        <f t="shared" si="0"/>
        <v>4.967251432684049E-4</v>
      </c>
      <c r="I30" s="279"/>
    </row>
    <row r="31" spans="1:9">
      <c r="A31" s="279"/>
      <c r="B31" s="7" t="s">
        <v>244</v>
      </c>
      <c r="C31" s="7" t="s">
        <v>226</v>
      </c>
      <c r="D31" s="9">
        <f>'Insumos Básicos'!F39</f>
        <v>1272.04</v>
      </c>
      <c r="E31" s="7">
        <v>12</v>
      </c>
      <c r="F31" s="7" t="s">
        <v>228</v>
      </c>
      <c r="G31" s="9">
        <f t="shared" si="2"/>
        <v>15264.48</v>
      </c>
      <c r="H31" s="116">
        <f t="shared" si="0"/>
        <v>7.38291238064041E-3</v>
      </c>
      <c r="I31" s="279"/>
    </row>
    <row r="32" spans="1:9">
      <c r="A32" s="279"/>
      <c r="B32" s="118" t="s">
        <v>245</v>
      </c>
      <c r="C32" s="119" t="s">
        <v>226</v>
      </c>
      <c r="D32" s="120">
        <f>D33+D44+D49</f>
        <v>24075.9836</v>
      </c>
      <c r="E32" s="119"/>
      <c r="F32" s="119"/>
      <c r="G32" s="120">
        <f>G33+G44+G49</f>
        <v>288911.80319999997</v>
      </c>
      <c r="H32" s="235">
        <f t="shared" si="0"/>
        <v>0.13973686157395634</v>
      </c>
      <c r="I32" s="279"/>
    </row>
    <row r="33" spans="1:9">
      <c r="A33" s="279"/>
      <c r="B33" s="12" t="s">
        <v>246</v>
      </c>
      <c r="C33" t="s">
        <v>226</v>
      </c>
      <c r="D33" s="117">
        <f>SUM(D34:D43)</f>
        <v>10588</v>
      </c>
      <c r="E33" s="12">
        <v>12</v>
      </c>
      <c r="F33" s="12" t="s">
        <v>228</v>
      </c>
      <c r="G33" s="117">
        <f t="shared" ref="G33:G43" si="3">D33*E33</f>
        <v>127056</v>
      </c>
      <c r="H33" s="115">
        <f t="shared" si="0"/>
        <v>6.1452687247429846E-2</v>
      </c>
      <c r="I33" s="279"/>
    </row>
    <row r="34" spans="1:9">
      <c r="A34" s="279"/>
      <c r="B34" s="36" t="s">
        <v>413</v>
      </c>
      <c r="C34" t="s">
        <v>226</v>
      </c>
      <c r="D34" s="63">
        <f>'Insumos Básicos'!F44</f>
        <v>2000</v>
      </c>
      <c r="E34" s="12">
        <v>12</v>
      </c>
      <c r="F34" s="12" t="s">
        <v>228</v>
      </c>
      <c r="G34" s="61">
        <f t="shared" si="3"/>
        <v>24000</v>
      </c>
      <c r="H34" s="115">
        <f t="shared" si="0"/>
        <v>1.1607987768687164E-2</v>
      </c>
      <c r="I34" s="279"/>
    </row>
    <row r="35" spans="1:9">
      <c r="A35" s="279"/>
      <c r="B35" s="36" t="s">
        <v>414</v>
      </c>
      <c r="C35" t="s">
        <v>226</v>
      </c>
      <c r="D35" s="63">
        <f>'Insumos Básicos'!F45</f>
        <v>320</v>
      </c>
      <c r="E35" s="12">
        <v>12</v>
      </c>
      <c r="F35" s="12" t="s">
        <v>228</v>
      </c>
      <c r="G35" s="61">
        <f t="shared" si="3"/>
        <v>3840</v>
      </c>
      <c r="H35" s="115">
        <f t="shared" si="0"/>
        <v>1.8572780429899462E-3</v>
      </c>
      <c r="I35" s="279"/>
    </row>
    <row r="36" spans="1:9">
      <c r="A36" s="279"/>
      <c r="B36" s="36" t="s">
        <v>415</v>
      </c>
      <c r="C36" t="s">
        <v>226</v>
      </c>
      <c r="D36" s="63">
        <f>'Insumos Básicos'!F46</f>
        <v>3528</v>
      </c>
      <c r="E36" s="12">
        <v>12</v>
      </c>
      <c r="F36" s="12" t="s">
        <v>228</v>
      </c>
      <c r="G36" s="61">
        <f t="shared" si="3"/>
        <v>42336</v>
      </c>
      <c r="H36" s="115">
        <f t="shared" si="0"/>
        <v>2.0476490423964155E-2</v>
      </c>
      <c r="I36" s="279"/>
    </row>
    <row r="37" spans="1:9">
      <c r="A37" s="279"/>
      <c r="B37" s="121" t="s">
        <v>247</v>
      </c>
      <c r="C37" t="s">
        <v>226</v>
      </c>
      <c r="D37" s="63">
        <f>'Insumos Básicos'!F47</f>
        <v>350</v>
      </c>
      <c r="E37" s="12">
        <v>12</v>
      </c>
      <c r="F37" s="12" t="s">
        <v>228</v>
      </c>
      <c r="G37" s="61">
        <f t="shared" si="3"/>
        <v>4200</v>
      </c>
      <c r="H37" s="115">
        <f t="shared" si="0"/>
        <v>2.0313978595202535E-3</v>
      </c>
      <c r="I37" s="279"/>
    </row>
    <row r="38" spans="1:9">
      <c r="A38" s="279"/>
      <c r="B38" s="121" t="s">
        <v>248</v>
      </c>
      <c r="C38" t="s">
        <v>226</v>
      </c>
      <c r="D38" s="63">
        <f>'Insumos Básicos'!F48</f>
        <v>60</v>
      </c>
      <c r="E38" s="12">
        <v>12</v>
      </c>
      <c r="F38" s="12" t="s">
        <v>228</v>
      </c>
      <c r="G38" s="61">
        <f t="shared" si="3"/>
        <v>720</v>
      </c>
      <c r="H38" s="115">
        <f t="shared" si="0"/>
        <v>3.4823963306061491E-4</v>
      </c>
      <c r="I38" s="279"/>
    </row>
    <row r="39" spans="1:9">
      <c r="A39" s="279"/>
      <c r="B39" s="36" t="s">
        <v>475</v>
      </c>
      <c r="C39" t="s">
        <v>226</v>
      </c>
      <c r="D39" s="63">
        <f>'Insumos Básicos'!F49</f>
        <v>800</v>
      </c>
      <c r="E39" s="12">
        <v>12</v>
      </c>
      <c r="F39" s="12" t="s">
        <v>228</v>
      </c>
      <c r="G39" s="61">
        <f t="shared" si="3"/>
        <v>9600</v>
      </c>
      <c r="H39" s="115">
        <f t="shared" si="0"/>
        <v>4.6431951074748651E-3</v>
      </c>
      <c r="I39" s="279"/>
    </row>
    <row r="40" spans="1:9">
      <c r="A40" s="279"/>
      <c r="B40" s="121" t="s">
        <v>249</v>
      </c>
      <c r="C40" t="s">
        <v>226</v>
      </c>
      <c r="D40" s="63">
        <f>'Insumos Básicos'!F50</f>
        <v>150</v>
      </c>
      <c r="E40" s="12">
        <v>12</v>
      </c>
      <c r="F40" s="12" t="s">
        <v>228</v>
      </c>
      <c r="G40" s="61">
        <f t="shared" si="3"/>
        <v>1800</v>
      </c>
      <c r="H40" s="115">
        <f t="shared" si="0"/>
        <v>8.7059908265153731E-4</v>
      </c>
      <c r="I40" s="279"/>
    </row>
    <row r="41" spans="1:9">
      <c r="A41" s="279"/>
      <c r="B41" s="121" t="s">
        <v>250</v>
      </c>
      <c r="C41" t="s">
        <v>226</v>
      </c>
      <c r="D41" s="63">
        <f>'Insumos Básicos'!F51</f>
        <v>180</v>
      </c>
      <c r="E41" s="12">
        <v>12</v>
      </c>
      <c r="F41" s="12" t="s">
        <v>228</v>
      </c>
      <c r="G41" s="61">
        <f t="shared" si="3"/>
        <v>2160</v>
      </c>
      <c r="H41" s="115">
        <f t="shared" si="0"/>
        <v>1.0447188991818447E-3</v>
      </c>
      <c r="I41" s="279"/>
    </row>
    <row r="42" spans="1:9">
      <c r="A42" s="279"/>
      <c r="B42" s="121" t="s">
        <v>251</v>
      </c>
      <c r="C42" s="12" t="s">
        <v>226</v>
      </c>
      <c r="D42" s="63">
        <f>'Insumos Básicos'!F52</f>
        <v>200</v>
      </c>
      <c r="E42" s="12">
        <v>12</v>
      </c>
      <c r="F42" s="12" t="s">
        <v>228</v>
      </c>
      <c r="G42" s="61">
        <f t="shared" si="3"/>
        <v>2400</v>
      </c>
      <c r="H42" s="115">
        <f t="shared" si="0"/>
        <v>1.1607987768687163E-3</v>
      </c>
      <c r="I42" s="279"/>
    </row>
    <row r="43" spans="1:9">
      <c r="A43" s="279"/>
      <c r="B43" s="122" t="s">
        <v>252</v>
      </c>
      <c r="C43" s="7" t="s">
        <v>226</v>
      </c>
      <c r="D43" s="9">
        <f>'Insumos Básicos'!F53</f>
        <v>3000</v>
      </c>
      <c r="E43" s="69">
        <v>12</v>
      </c>
      <c r="F43" s="7" t="s">
        <v>228</v>
      </c>
      <c r="G43" s="9">
        <f t="shared" si="3"/>
        <v>36000</v>
      </c>
      <c r="H43" s="116">
        <f t="shared" si="0"/>
        <v>1.7411981653030744E-2</v>
      </c>
      <c r="I43" s="279"/>
    </row>
    <row r="44" spans="1:9">
      <c r="A44" s="279"/>
      <c r="B44" s="121" t="s">
        <v>253</v>
      </c>
      <c r="C44" t="s">
        <v>226</v>
      </c>
      <c r="D44" s="123">
        <f>SUM(D45:D48)</f>
        <v>4738</v>
      </c>
      <c r="G44" s="117">
        <f>SUM(G45:G48)</f>
        <v>56856</v>
      </c>
      <c r="H44" s="115">
        <f t="shared" si="0"/>
        <v>2.7499323024019889E-2</v>
      </c>
      <c r="I44" s="279"/>
    </row>
    <row r="45" spans="1:9">
      <c r="A45" s="279"/>
      <c r="B45" s="121" t="s">
        <v>254</v>
      </c>
      <c r="C45" t="s">
        <v>226</v>
      </c>
      <c r="D45" s="63">
        <f>'Insumos Básicos'!F56</f>
        <v>2000</v>
      </c>
      <c r="E45">
        <v>12</v>
      </c>
      <c r="F45" s="12" t="s">
        <v>228</v>
      </c>
      <c r="G45" s="61">
        <f t="shared" ref="G45:G48" si="4">D45*E45</f>
        <v>24000</v>
      </c>
      <c r="H45" s="115">
        <f t="shared" si="0"/>
        <v>1.1607987768687164E-2</v>
      </c>
      <c r="I45" s="279"/>
    </row>
    <row r="46" spans="1:9">
      <c r="A46" s="279"/>
      <c r="B46" s="121" t="s">
        <v>255</v>
      </c>
      <c r="C46" t="s">
        <v>226</v>
      </c>
      <c r="D46" s="63">
        <f>'Insumos Básicos'!F57</f>
        <v>1670</v>
      </c>
      <c r="E46">
        <v>12</v>
      </c>
      <c r="F46" s="12" t="s">
        <v>228</v>
      </c>
      <c r="G46" s="61">
        <f t="shared" si="4"/>
        <v>20040</v>
      </c>
      <c r="H46" s="115">
        <f t="shared" si="0"/>
        <v>9.692669786853781E-3</v>
      </c>
      <c r="I46" s="279"/>
    </row>
    <row r="47" spans="1:9">
      <c r="A47" s="279"/>
      <c r="B47" s="121" t="s">
        <v>256</v>
      </c>
      <c r="C47" t="s">
        <v>226</v>
      </c>
      <c r="D47" s="63">
        <f>'Insumos Básicos'!F58</f>
        <v>368</v>
      </c>
      <c r="E47">
        <v>12</v>
      </c>
      <c r="F47" s="12" t="s">
        <v>228</v>
      </c>
      <c r="G47" s="61">
        <f t="shared" si="4"/>
        <v>4416</v>
      </c>
      <c r="H47" s="115">
        <f t="shared" si="0"/>
        <v>2.1358697494384383E-3</v>
      </c>
      <c r="I47" s="279"/>
    </row>
    <row r="48" spans="1:9">
      <c r="A48" s="279"/>
      <c r="B48" s="122" t="s">
        <v>257</v>
      </c>
      <c r="C48" s="69" t="s">
        <v>226</v>
      </c>
      <c r="D48" s="9">
        <f>'Insumos Básicos'!F59</f>
        <v>700</v>
      </c>
      <c r="E48" s="69">
        <v>12</v>
      </c>
      <c r="F48" s="69" t="s">
        <v>228</v>
      </c>
      <c r="G48" s="9">
        <f t="shared" si="4"/>
        <v>8400</v>
      </c>
      <c r="H48" s="116">
        <f t="shared" si="0"/>
        <v>4.0627957190405069E-3</v>
      </c>
      <c r="I48" s="279"/>
    </row>
    <row r="49" spans="1:9">
      <c r="A49" s="279"/>
      <c r="B49" s="124" t="s">
        <v>258</v>
      </c>
      <c r="C49" t="s">
        <v>226</v>
      </c>
      <c r="D49" s="117">
        <f>SUM(D50:D53)</f>
        <v>8749.9835999999996</v>
      </c>
      <c r="G49" s="117">
        <f>SUM(G50:G53)</f>
        <v>104999.80319999999</v>
      </c>
      <c r="H49" s="115">
        <f t="shared" si="0"/>
        <v>5.0784851302506637E-2</v>
      </c>
      <c r="I49" s="279"/>
    </row>
    <row r="50" spans="1:9">
      <c r="A50" s="279"/>
      <c r="B50" s="125" t="s">
        <v>259</v>
      </c>
      <c r="C50" t="s">
        <v>226</v>
      </c>
      <c r="D50" s="63">
        <f>'Insumos Básicos'!F62</f>
        <v>5119.0235999999995</v>
      </c>
      <c r="E50">
        <v>12</v>
      </c>
      <c r="F50" s="12" t="s">
        <v>228</v>
      </c>
      <c r="G50" s="61">
        <f t="shared" ref="G50:G53" si="5">D50*E50</f>
        <v>61428.283199999991</v>
      </c>
      <c r="H50" s="115">
        <f t="shared" si="0"/>
        <v>2.9710781668210461E-2</v>
      </c>
      <c r="I50" s="279"/>
    </row>
    <row r="51" spans="1:9">
      <c r="A51" s="279"/>
      <c r="B51" s="125" t="s">
        <v>417</v>
      </c>
      <c r="C51" t="s">
        <v>226</v>
      </c>
      <c r="D51" s="63">
        <f>'Insumos Básicos'!F63</f>
        <v>690.95999999999992</v>
      </c>
      <c r="E51">
        <v>12</v>
      </c>
      <c r="F51" s="12" t="s">
        <v>228</v>
      </c>
      <c r="G51" s="61">
        <f t="shared" si="5"/>
        <v>8291.5199999999986</v>
      </c>
      <c r="H51" s="115">
        <f t="shared" si="0"/>
        <v>4.0103276143260407E-3</v>
      </c>
      <c r="I51" s="279"/>
    </row>
    <row r="52" spans="1:9">
      <c r="A52" s="279"/>
      <c r="B52" s="125" t="s">
        <v>418</v>
      </c>
      <c r="C52" t="s">
        <v>226</v>
      </c>
      <c r="D52" s="63">
        <f>'Insumos Básicos'!F64</f>
        <v>960</v>
      </c>
      <c r="E52">
        <v>12</v>
      </c>
      <c r="F52" s="228" t="s">
        <v>228</v>
      </c>
      <c r="G52" s="61">
        <f t="shared" si="5"/>
        <v>11520</v>
      </c>
      <c r="H52" s="115">
        <f t="shared" si="0"/>
        <v>5.5718341289698386E-3</v>
      </c>
      <c r="I52" s="279"/>
    </row>
    <row r="53" spans="1:9">
      <c r="A53" s="279"/>
      <c r="B53" s="230" t="s">
        <v>427</v>
      </c>
      <c r="C53" s="69" t="s">
        <v>226</v>
      </c>
      <c r="D53" s="9">
        <f>'Insumos Básicos'!F65</f>
        <v>1980</v>
      </c>
      <c r="E53" s="69">
        <v>12</v>
      </c>
      <c r="F53" s="69" t="s">
        <v>228</v>
      </c>
      <c r="G53" s="9">
        <f t="shared" si="5"/>
        <v>23760</v>
      </c>
      <c r="H53" s="116">
        <f t="shared" si="0"/>
        <v>1.1491907891000292E-2</v>
      </c>
      <c r="I53" s="279"/>
    </row>
    <row r="54" spans="1:9">
      <c r="A54" s="279"/>
      <c r="B54" s="231" t="s">
        <v>421</v>
      </c>
      <c r="C54" s="119" t="s">
        <v>226</v>
      </c>
      <c r="D54" s="120">
        <f>D55</f>
        <v>10082.016000000001</v>
      </c>
      <c r="E54" s="119"/>
      <c r="F54" s="118" t="s">
        <v>228</v>
      </c>
      <c r="G54" s="120">
        <f>G55</f>
        <v>120984.19200000001</v>
      </c>
      <c r="H54" s="235">
        <f t="shared" ref="H54:H64" si="6">G54/$G$65</f>
        <v>5.8515959205854146E-2</v>
      </c>
      <c r="I54" s="279"/>
    </row>
    <row r="55" spans="1:9">
      <c r="A55" s="279"/>
      <c r="B55" s="232" t="s">
        <v>422</v>
      </c>
      <c r="C55" t="s">
        <v>226</v>
      </c>
      <c r="D55" s="117">
        <f>D56</f>
        <v>10082.016000000001</v>
      </c>
      <c r="F55" s="12" t="s">
        <v>228</v>
      </c>
      <c r="G55" s="117">
        <f>G56</f>
        <v>120984.19200000001</v>
      </c>
      <c r="H55" s="115">
        <f t="shared" si="6"/>
        <v>5.8515959205854146E-2</v>
      </c>
      <c r="I55" s="279"/>
    </row>
    <row r="56" spans="1:9">
      <c r="A56" s="279"/>
      <c r="B56" s="69" t="s">
        <v>433</v>
      </c>
      <c r="C56" s="7" t="s">
        <v>226</v>
      </c>
      <c r="D56" s="9">
        <f>'Insumos Básicos'!F68</f>
        <v>10082.016000000001</v>
      </c>
      <c r="E56" s="7">
        <v>12</v>
      </c>
      <c r="F56" s="7" t="s">
        <v>228</v>
      </c>
      <c r="G56" s="9">
        <f>D56*E56</f>
        <v>120984.19200000001</v>
      </c>
      <c r="H56" s="116">
        <f t="shared" si="6"/>
        <v>5.8515959205854146E-2</v>
      </c>
      <c r="I56" s="279"/>
    </row>
    <row r="57" spans="1:9">
      <c r="A57" s="279"/>
      <c r="B57" s="231" t="s">
        <v>423</v>
      </c>
      <c r="C57" s="119" t="s">
        <v>226</v>
      </c>
      <c r="D57" s="120">
        <f>D58</f>
        <v>222.11799999999999</v>
      </c>
      <c r="E57" s="119"/>
      <c r="F57" s="118" t="s">
        <v>228</v>
      </c>
      <c r="G57" s="120">
        <f>G58</f>
        <v>2665.4160000000002</v>
      </c>
      <c r="H57" s="235">
        <f t="shared" si="6"/>
        <v>1.2891715136026279E-3</v>
      </c>
      <c r="I57" s="279"/>
    </row>
    <row r="58" spans="1:9">
      <c r="A58" s="279"/>
      <c r="B58" s="229" t="s">
        <v>424</v>
      </c>
      <c r="C58" t="s">
        <v>226</v>
      </c>
      <c r="D58" s="117">
        <f>SUM(D59:D60)</f>
        <v>222.11799999999999</v>
      </c>
      <c r="F58" s="12" t="s">
        <v>228</v>
      </c>
      <c r="G58" s="117">
        <f>SUM(G59:G60)</f>
        <v>2665.4160000000002</v>
      </c>
      <c r="H58" s="115">
        <f t="shared" si="6"/>
        <v>1.2891715136026279E-3</v>
      </c>
      <c r="I58" s="279"/>
    </row>
    <row r="59" spans="1:9">
      <c r="A59" s="279"/>
      <c r="B59" s="229" t="s">
        <v>402</v>
      </c>
      <c r="C59" t="s">
        <v>226</v>
      </c>
      <c r="D59" s="63">
        <f>'Insumos Básicos'!F71</f>
        <v>86.26100000000001</v>
      </c>
      <c r="E59">
        <v>12</v>
      </c>
      <c r="F59" s="12" t="s">
        <v>228</v>
      </c>
      <c r="G59" s="61">
        <f>D59*E59</f>
        <v>1035.1320000000001</v>
      </c>
      <c r="H59" s="115">
        <f t="shared" si="6"/>
        <v>5.0065831645736169E-4</v>
      </c>
      <c r="I59" s="279"/>
    </row>
    <row r="60" spans="1:9">
      <c r="A60" s="279"/>
      <c r="B60" s="230" t="s">
        <v>419</v>
      </c>
      <c r="C60" s="7" t="s">
        <v>226</v>
      </c>
      <c r="D60" s="9">
        <f>'Insumos Básicos'!F72</f>
        <v>135.857</v>
      </c>
      <c r="E60" s="7">
        <v>12</v>
      </c>
      <c r="F60" s="7" t="s">
        <v>228</v>
      </c>
      <c r="G60" s="9">
        <f>D60*E60</f>
        <v>1630.2840000000001</v>
      </c>
      <c r="H60" s="116">
        <f t="shared" si="6"/>
        <v>7.8851319714526606E-4</v>
      </c>
      <c r="I60" s="279"/>
    </row>
    <row r="61" spans="1:9">
      <c r="A61" s="279"/>
      <c r="B61" s="233" t="s">
        <v>44</v>
      </c>
      <c r="C61" s="119" t="s">
        <v>226</v>
      </c>
      <c r="D61" s="120">
        <f>D62</f>
        <v>18550.909440000003</v>
      </c>
      <c r="E61" s="119"/>
      <c r="F61" s="118" t="s">
        <v>228</v>
      </c>
      <c r="G61" s="120">
        <f>G62</f>
        <v>222610.91328000004</v>
      </c>
      <c r="H61" s="235">
        <f t="shared" si="6"/>
        <v>0.10766936493877163</v>
      </c>
      <c r="I61" s="279"/>
    </row>
    <row r="62" spans="1:9">
      <c r="A62" s="279"/>
      <c r="B62" s="12" t="s">
        <v>425</v>
      </c>
      <c r="C62" t="s">
        <v>226</v>
      </c>
      <c r="D62" s="117">
        <f>SUM(D63:D64)</f>
        <v>18550.909440000003</v>
      </c>
      <c r="F62" s="12" t="s">
        <v>228</v>
      </c>
      <c r="G62" s="117">
        <f>SUM(G63:G64)</f>
        <v>222610.91328000004</v>
      </c>
      <c r="H62" s="115">
        <f t="shared" si="6"/>
        <v>0.10766936493877163</v>
      </c>
      <c r="I62" s="279"/>
    </row>
    <row r="63" spans="1:9">
      <c r="A63" s="279"/>
      <c r="B63" s="121" t="s">
        <v>260</v>
      </c>
      <c r="C63" t="s">
        <v>226</v>
      </c>
      <c r="D63" s="63">
        <f>'Insumos Básicos'!F75</f>
        <v>2419.6838400000001</v>
      </c>
      <c r="E63">
        <v>12</v>
      </c>
      <c r="F63" s="12" t="s">
        <v>228</v>
      </c>
      <c r="G63" s="56">
        <f t="shared" ref="G63:G67" si="7">D63*E63</f>
        <v>29036.206080000004</v>
      </c>
      <c r="H63" s="115">
        <f t="shared" si="6"/>
        <v>1.4043830209404995E-2</v>
      </c>
      <c r="I63" s="279"/>
    </row>
    <row r="64" spans="1:9">
      <c r="A64" s="279"/>
      <c r="B64" s="122" t="s">
        <v>261</v>
      </c>
      <c r="C64" s="7" t="s">
        <v>226</v>
      </c>
      <c r="D64" s="9">
        <f>'Insumos Básicos'!F76</f>
        <v>16131.225600000003</v>
      </c>
      <c r="E64" s="7">
        <v>12</v>
      </c>
      <c r="F64" s="7" t="s">
        <v>228</v>
      </c>
      <c r="G64" s="8">
        <f t="shared" si="7"/>
        <v>193574.70720000003</v>
      </c>
      <c r="H64" s="116">
        <f t="shared" si="6"/>
        <v>9.3625534729366647E-2</v>
      </c>
      <c r="I64" s="279"/>
    </row>
    <row r="65" spans="1:9">
      <c r="A65" s="279"/>
      <c r="B65" s="126" t="s">
        <v>262</v>
      </c>
      <c r="C65" s="127" t="s">
        <v>226</v>
      </c>
      <c r="D65" s="128">
        <f>D67+D66</f>
        <v>172295.15053376002</v>
      </c>
      <c r="E65" s="129">
        <v>12</v>
      </c>
      <c r="F65" s="129" t="s">
        <v>228</v>
      </c>
      <c r="G65" s="128">
        <f t="shared" si="7"/>
        <v>2067541.8064051203</v>
      </c>
      <c r="H65" s="130">
        <v>1</v>
      </c>
      <c r="I65" s="279"/>
    </row>
    <row r="66" spans="1:9">
      <c r="A66" s="279"/>
      <c r="B66" s="36" t="s">
        <v>420</v>
      </c>
      <c r="C66" t="s">
        <v>226</v>
      </c>
      <c r="D66" s="61">
        <f>Encargos!F16</f>
        <v>61735.813493760004</v>
      </c>
      <c r="E66" s="12">
        <v>12</v>
      </c>
      <c r="F66" s="12" t="s">
        <v>228</v>
      </c>
      <c r="G66" s="56">
        <f t="shared" si="7"/>
        <v>740829.76192512002</v>
      </c>
      <c r="H66" s="115">
        <f>G66/G65</f>
        <v>0.35831428396275905</v>
      </c>
      <c r="I66" s="279"/>
    </row>
    <row r="67" spans="1:9">
      <c r="A67" s="279"/>
      <c r="B67" s="234" t="s">
        <v>426</v>
      </c>
      <c r="C67" t="s">
        <v>226</v>
      </c>
      <c r="D67" s="61">
        <f>D5+D13+D32+D54+D57+D61</f>
        <v>110559.33704000001</v>
      </c>
      <c r="E67" s="228">
        <v>12</v>
      </c>
      <c r="F67" s="228" t="s">
        <v>228</v>
      </c>
      <c r="G67" s="56">
        <f t="shared" si="7"/>
        <v>1326712.0444800002</v>
      </c>
      <c r="H67" s="115">
        <f>G67/G65</f>
        <v>0.64168571603724089</v>
      </c>
      <c r="I67" s="279"/>
    </row>
    <row r="68" spans="1:9">
      <c r="A68" s="279"/>
      <c r="B68" s="12"/>
      <c r="C68" s="12"/>
      <c r="I68" s="279"/>
    </row>
    <row r="69" spans="1:9">
      <c r="A69" s="279"/>
      <c r="B69" s="328" t="s">
        <v>263</v>
      </c>
      <c r="C69" s="328"/>
      <c r="D69" s="328"/>
      <c r="E69" s="328"/>
      <c r="F69" s="328"/>
      <c r="G69" s="328"/>
      <c r="H69" s="328"/>
      <c r="I69" s="279"/>
    </row>
    <row r="70" spans="1:9">
      <c r="A70" s="279"/>
      <c r="B70" s="131" t="s">
        <v>4</v>
      </c>
      <c r="C70" s="132" t="s">
        <v>264</v>
      </c>
      <c r="D70" s="400" t="s">
        <v>226</v>
      </c>
      <c r="E70" s="400"/>
      <c r="F70" s="400" t="s">
        <v>228</v>
      </c>
      <c r="G70" s="400"/>
      <c r="H70" s="133" t="s">
        <v>225</v>
      </c>
      <c r="I70" s="279"/>
    </row>
    <row r="71" spans="1:9">
      <c r="A71" s="279"/>
      <c r="B71" s="134" t="s">
        <v>265</v>
      </c>
      <c r="C71" s="35" t="s">
        <v>266</v>
      </c>
      <c r="D71" s="397">
        <f>D5</f>
        <v>43709.14</v>
      </c>
      <c r="E71" s="397"/>
      <c r="F71" s="397">
        <f>G5</f>
        <v>524509.68000000005</v>
      </c>
      <c r="G71" s="397"/>
      <c r="H71" s="94">
        <f>H5</f>
        <v>0.25368758124991747</v>
      </c>
      <c r="I71" s="279"/>
    </row>
    <row r="72" spans="1:9">
      <c r="A72" s="279"/>
      <c r="B72" s="134" t="s">
        <v>267</v>
      </c>
      <c r="C72" s="35" t="s">
        <v>268</v>
      </c>
      <c r="D72" s="397">
        <f>D13</f>
        <v>13919.170000000002</v>
      </c>
      <c r="E72" s="397"/>
      <c r="F72" s="397">
        <f>G13</f>
        <v>167030.04</v>
      </c>
      <c r="G72" s="397"/>
      <c r="H72" s="94">
        <f>H13</f>
        <v>8.0786777555138661E-2</v>
      </c>
      <c r="I72" s="279"/>
    </row>
    <row r="73" spans="1:9">
      <c r="A73" s="279"/>
      <c r="B73" s="134" t="s">
        <v>269</v>
      </c>
      <c r="C73" s="35" t="s">
        <v>270</v>
      </c>
      <c r="D73" s="397">
        <f>D32</f>
        <v>24075.9836</v>
      </c>
      <c r="E73" s="397"/>
      <c r="F73" s="397">
        <f>G32</f>
        <v>288911.80319999997</v>
      </c>
      <c r="G73" s="397"/>
      <c r="H73" s="94">
        <f>H32</f>
        <v>0.13973686157395634</v>
      </c>
      <c r="I73" s="279"/>
    </row>
    <row r="74" spans="1:9">
      <c r="A74" s="279"/>
      <c r="B74" s="134" t="s">
        <v>271</v>
      </c>
      <c r="C74" s="35" t="s">
        <v>272</v>
      </c>
      <c r="D74" s="397">
        <f>D54</f>
        <v>10082.016000000001</v>
      </c>
      <c r="E74" s="397"/>
      <c r="F74" s="397">
        <f>G54</f>
        <v>120984.19200000001</v>
      </c>
      <c r="G74" s="397"/>
      <c r="H74" s="94">
        <f>H54</f>
        <v>5.8515959205854146E-2</v>
      </c>
      <c r="I74" s="279"/>
    </row>
    <row r="75" spans="1:9">
      <c r="A75" s="279"/>
      <c r="B75" s="134" t="s">
        <v>273</v>
      </c>
      <c r="C75" s="35" t="s">
        <v>274</v>
      </c>
      <c r="D75" s="397">
        <f>D57</f>
        <v>222.11799999999999</v>
      </c>
      <c r="E75" s="397"/>
      <c r="F75" s="397">
        <f>G57</f>
        <v>2665.4160000000002</v>
      </c>
      <c r="G75" s="397"/>
      <c r="H75" s="94">
        <f>H57</f>
        <v>1.2891715136026279E-3</v>
      </c>
      <c r="I75" s="279"/>
    </row>
    <row r="76" spans="1:9">
      <c r="A76" s="279"/>
      <c r="B76" s="134" t="s">
        <v>275</v>
      </c>
      <c r="C76" s="35" t="s">
        <v>276</v>
      </c>
      <c r="D76" s="397">
        <f>D61</f>
        <v>18550.909440000003</v>
      </c>
      <c r="E76" s="397"/>
      <c r="F76" s="397">
        <f>G61</f>
        <v>222610.91328000004</v>
      </c>
      <c r="G76" s="397"/>
      <c r="H76" s="94">
        <f>H61</f>
        <v>0.10766936493877163</v>
      </c>
      <c r="I76" s="279"/>
    </row>
    <row r="77" spans="1:9">
      <c r="A77" s="279"/>
      <c r="B77" s="135" t="s">
        <v>277</v>
      </c>
      <c r="C77" s="84" t="s">
        <v>278</v>
      </c>
      <c r="D77" s="398">
        <f>D66</f>
        <v>61735.813493760004</v>
      </c>
      <c r="E77" s="398"/>
      <c r="F77" s="398">
        <f>G66</f>
        <v>740829.76192512002</v>
      </c>
      <c r="G77" s="398"/>
      <c r="H77" s="96">
        <f>H66</f>
        <v>0.35831428396275905</v>
      </c>
      <c r="I77" s="279"/>
    </row>
    <row r="78" spans="1:9">
      <c r="A78" s="303"/>
      <c r="B78" s="303"/>
      <c r="C78" s="303"/>
      <c r="D78" s="303"/>
      <c r="E78" s="303"/>
      <c r="F78" s="303"/>
      <c r="G78" s="303"/>
      <c r="H78" s="303"/>
      <c r="I78" s="303"/>
    </row>
    <row r="88" spans="15:15">
      <c r="O88">
        <f>(32*2+37*8)/10</f>
        <v>36</v>
      </c>
    </row>
  </sheetData>
  <mergeCells count="21">
    <mergeCell ref="B2:H2"/>
    <mergeCell ref="B3:H3"/>
    <mergeCell ref="B69:H69"/>
    <mergeCell ref="D70:E70"/>
    <mergeCell ref="F70:G70"/>
    <mergeCell ref="A1:I1"/>
    <mergeCell ref="A78:I78"/>
    <mergeCell ref="D76:E76"/>
    <mergeCell ref="F76:G76"/>
    <mergeCell ref="D77:E77"/>
    <mergeCell ref="F77:G77"/>
    <mergeCell ref="D74:E74"/>
    <mergeCell ref="F74:G74"/>
    <mergeCell ref="D75:E75"/>
    <mergeCell ref="F75:G75"/>
    <mergeCell ref="D71:E71"/>
    <mergeCell ref="F71:G71"/>
    <mergeCell ref="D72:E72"/>
    <mergeCell ref="F72:G72"/>
    <mergeCell ref="D73:E73"/>
    <mergeCell ref="F73:G73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S57"/>
  <sheetViews>
    <sheetView topLeftCell="E1" zoomScale="120" zoomScaleNormal="120" workbookViewId="0">
      <selection activeCell="B14" sqref="B14:R14"/>
    </sheetView>
  </sheetViews>
  <sheetFormatPr defaultRowHeight="15"/>
  <cols>
    <col min="1" max="1" width="1.28515625" customWidth="1"/>
    <col min="2" max="2" width="0.85546875" customWidth="1"/>
    <col min="3" max="3" width="8.7109375" customWidth="1"/>
    <col min="4" max="4" width="4" customWidth="1"/>
    <col min="5" max="5" width="4.28515625" customWidth="1"/>
    <col min="6" max="6" width="4.5703125" customWidth="1"/>
    <col min="7" max="7" width="7.42578125" customWidth="1"/>
    <col min="8" max="8" width="8.28515625" customWidth="1"/>
    <col min="9" max="9" width="11.7109375" bestFit="1" customWidth="1"/>
    <col min="10" max="10" width="12.5703125" customWidth="1"/>
    <col min="11" max="11" width="11.5703125" bestFit="1" customWidth="1"/>
    <col min="12" max="12" width="12.28515625" bestFit="1" customWidth="1"/>
    <col min="13" max="17" width="11.5703125" bestFit="1" customWidth="1"/>
    <col min="18" max="18" width="12.42578125" bestFit="1" customWidth="1"/>
    <col min="19" max="19" width="16.85546875" customWidth="1"/>
    <col min="20" max="1026" width="8.7109375" customWidth="1"/>
  </cols>
  <sheetData>
    <row r="1" spans="1:19" ht="9" customHeight="1" thickBot="1">
      <c r="A1" s="303"/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</row>
    <row r="2" spans="1:19" ht="15.75">
      <c r="B2" s="412" t="s">
        <v>279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290"/>
    </row>
    <row r="3" spans="1:19">
      <c r="B3" s="408"/>
      <c r="C3" s="408"/>
      <c r="D3" s="408"/>
      <c r="E3" s="408"/>
      <c r="F3" s="408"/>
      <c r="G3" s="408"/>
      <c r="H3" s="408"/>
      <c r="I3" s="142" t="s">
        <v>47</v>
      </c>
      <c r="J3" s="142" t="s">
        <v>48</v>
      </c>
      <c r="K3" s="142" t="s">
        <v>49</v>
      </c>
      <c r="L3" s="142" t="s">
        <v>50</v>
      </c>
      <c r="M3" s="142" t="s">
        <v>51</v>
      </c>
      <c r="N3" s="142" t="s">
        <v>52</v>
      </c>
      <c r="O3" s="142" t="s">
        <v>53</v>
      </c>
      <c r="P3" s="142" t="s">
        <v>54</v>
      </c>
      <c r="Q3" s="142" t="s">
        <v>55</v>
      </c>
      <c r="R3" s="143" t="s">
        <v>56</v>
      </c>
      <c r="S3" s="290"/>
    </row>
    <row r="4" spans="1:19" ht="15.75" thickBot="1">
      <c r="B4" s="413" t="s">
        <v>280</v>
      </c>
      <c r="C4" s="413"/>
      <c r="D4" s="413"/>
      <c r="E4" s="413"/>
      <c r="F4" s="413"/>
      <c r="G4" s="413"/>
      <c r="H4" s="413"/>
      <c r="I4" s="144">
        <f>(('Cálculo da Receita Bruta'!I6)*0.8)*12</f>
        <v>1935747.0720000002</v>
      </c>
      <c r="J4" s="144">
        <f>('Cálculo da Receita Bruta'!I6)*12</f>
        <v>2419683.84</v>
      </c>
      <c r="K4" s="144">
        <f t="shared" ref="K4:R4" si="0">J4</f>
        <v>2419683.84</v>
      </c>
      <c r="L4" s="145">
        <f t="shared" si="0"/>
        <v>2419683.84</v>
      </c>
      <c r="M4" s="145">
        <f t="shared" si="0"/>
        <v>2419683.84</v>
      </c>
      <c r="N4" s="145">
        <f t="shared" si="0"/>
        <v>2419683.84</v>
      </c>
      <c r="O4" s="145">
        <f t="shared" si="0"/>
        <v>2419683.84</v>
      </c>
      <c r="P4" s="145">
        <f t="shared" si="0"/>
        <v>2419683.84</v>
      </c>
      <c r="Q4" s="145">
        <f t="shared" si="0"/>
        <v>2419683.84</v>
      </c>
      <c r="R4" s="146">
        <f t="shared" si="0"/>
        <v>2419683.84</v>
      </c>
      <c r="S4" s="290"/>
    </row>
    <row r="5" spans="1:19" ht="6" customHeight="1" thickBot="1"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  <c r="Q5" s="401"/>
      <c r="R5" s="401"/>
      <c r="S5" s="290"/>
    </row>
    <row r="6" spans="1:19">
      <c r="B6" s="402" t="s">
        <v>281</v>
      </c>
      <c r="C6" s="402"/>
      <c r="D6" s="402"/>
      <c r="E6" s="402"/>
      <c r="F6" s="402"/>
      <c r="G6" s="402"/>
      <c r="H6" s="402"/>
      <c r="I6" s="147">
        <f>SUM(I7:I11)</f>
        <v>432687.86426880001</v>
      </c>
      <c r="J6" s="148">
        <f>SUM(J7:J11)</f>
        <v>540859.83033599984</v>
      </c>
      <c r="K6" s="148">
        <f t="shared" ref="K6:R6" si="1">SUM(K7:K11)</f>
        <v>540859.83033599984</v>
      </c>
      <c r="L6" s="148">
        <f t="shared" si="1"/>
        <v>540859.83033599984</v>
      </c>
      <c r="M6" s="148">
        <f t="shared" si="1"/>
        <v>540859.83033599984</v>
      </c>
      <c r="N6" s="148">
        <f t="shared" si="1"/>
        <v>540859.83033599984</v>
      </c>
      <c r="O6" s="148">
        <f t="shared" si="1"/>
        <v>540859.83033599984</v>
      </c>
      <c r="P6" s="148">
        <f t="shared" si="1"/>
        <v>540859.83033599984</v>
      </c>
      <c r="Q6" s="148">
        <f t="shared" si="1"/>
        <v>540859.83033599984</v>
      </c>
      <c r="R6" s="149">
        <f t="shared" si="1"/>
        <v>540859.83033599984</v>
      </c>
      <c r="S6" s="290"/>
    </row>
    <row r="7" spans="1:19" ht="15.75" thickBot="1">
      <c r="B7" s="405"/>
      <c r="C7" s="406" t="s">
        <v>282</v>
      </c>
      <c r="D7" s="406"/>
      <c r="E7" s="406"/>
      <c r="F7" s="406"/>
      <c r="G7" s="406"/>
      <c r="H7" s="150">
        <v>0.05</v>
      </c>
      <c r="I7" s="151">
        <f>(I4*85%)*H7</f>
        <v>82269.250560000015</v>
      </c>
      <c r="J7" s="151">
        <f>($J$4*85%)*H7</f>
        <v>102836.56319999999</v>
      </c>
      <c r="K7" s="151">
        <f>(K4*85%)*$H$7</f>
        <v>102836.56319999999</v>
      </c>
      <c r="L7" s="151">
        <f t="shared" ref="L7:R7" si="2">(L4*85%)*$H$7</f>
        <v>102836.56319999999</v>
      </c>
      <c r="M7" s="151">
        <f t="shared" si="2"/>
        <v>102836.56319999999</v>
      </c>
      <c r="N7" s="151">
        <f t="shared" si="2"/>
        <v>102836.56319999999</v>
      </c>
      <c r="O7" s="151">
        <f t="shared" si="2"/>
        <v>102836.56319999999</v>
      </c>
      <c r="P7" s="151">
        <f t="shared" si="2"/>
        <v>102836.56319999999</v>
      </c>
      <c r="Q7" s="151">
        <f t="shared" si="2"/>
        <v>102836.56319999999</v>
      </c>
      <c r="R7" s="152">
        <f t="shared" si="2"/>
        <v>102836.56319999999</v>
      </c>
      <c r="S7" s="290"/>
    </row>
    <row r="8" spans="1:19" ht="15.75" thickBot="1">
      <c r="B8" s="405"/>
      <c r="C8" s="406" t="s">
        <v>283</v>
      </c>
      <c r="D8" s="406"/>
      <c r="E8" s="406"/>
      <c r="F8" s="406"/>
      <c r="G8" s="406"/>
      <c r="H8" s="153">
        <v>0.03</v>
      </c>
      <c r="I8" s="151">
        <f>($I$4*85%)*H8</f>
        <v>49361.550336</v>
      </c>
      <c r="J8" s="151">
        <f>($J$4*85%)*H8</f>
        <v>61701.937919999989</v>
      </c>
      <c r="K8" s="151">
        <f>(K4*85%)*$H$8</f>
        <v>61701.937919999989</v>
      </c>
      <c r="L8" s="151">
        <f t="shared" ref="L8:R8" si="3">(L4*85%)*$H$8</f>
        <v>61701.937919999989</v>
      </c>
      <c r="M8" s="151">
        <f t="shared" si="3"/>
        <v>61701.937919999989</v>
      </c>
      <c r="N8" s="151">
        <f t="shared" si="3"/>
        <v>61701.937919999989</v>
      </c>
      <c r="O8" s="151">
        <f t="shared" si="3"/>
        <v>61701.937919999989</v>
      </c>
      <c r="P8" s="151">
        <f t="shared" si="3"/>
        <v>61701.937919999989</v>
      </c>
      <c r="Q8" s="151">
        <f t="shared" si="3"/>
        <v>61701.937919999989</v>
      </c>
      <c r="R8" s="152">
        <f t="shared" si="3"/>
        <v>61701.937919999989</v>
      </c>
      <c r="S8" s="290"/>
    </row>
    <row r="9" spans="1:19" ht="15.75" thickBot="1">
      <c r="B9" s="405"/>
      <c r="C9" s="406" t="s">
        <v>284</v>
      </c>
      <c r="D9" s="406"/>
      <c r="E9" s="406"/>
      <c r="F9" s="406"/>
      <c r="G9" s="406"/>
      <c r="H9" s="153">
        <v>6.4999999999999997E-3</v>
      </c>
      <c r="I9" s="151">
        <f>($I$4*85%)*H9</f>
        <v>10695.0025728</v>
      </c>
      <c r="J9" s="151">
        <f>($J$4*85%)*H9</f>
        <v>13368.753215999997</v>
      </c>
      <c r="K9" s="151">
        <f>(K4*85%)*$H$9</f>
        <v>13368.753215999997</v>
      </c>
      <c r="L9" s="151">
        <f t="shared" ref="L9:R9" si="4">(L4*85%)*$H$9</f>
        <v>13368.753215999997</v>
      </c>
      <c r="M9" s="151">
        <f t="shared" si="4"/>
        <v>13368.753215999997</v>
      </c>
      <c r="N9" s="151">
        <f t="shared" si="4"/>
        <v>13368.753215999997</v>
      </c>
      <c r="O9" s="151">
        <f t="shared" si="4"/>
        <v>13368.753215999997</v>
      </c>
      <c r="P9" s="151">
        <f t="shared" si="4"/>
        <v>13368.753215999997</v>
      </c>
      <c r="Q9" s="151">
        <f t="shared" si="4"/>
        <v>13368.753215999997</v>
      </c>
      <c r="R9" s="152">
        <f t="shared" si="4"/>
        <v>13368.753215999997</v>
      </c>
      <c r="S9" s="290"/>
    </row>
    <row r="10" spans="1:19" ht="15.75" thickBot="1">
      <c r="B10" s="405"/>
      <c r="C10" s="406" t="s">
        <v>285</v>
      </c>
      <c r="D10" s="406"/>
      <c r="E10" s="406"/>
      <c r="F10" s="406"/>
      <c r="G10" s="406"/>
      <c r="H10" s="153">
        <v>0</v>
      </c>
      <c r="I10" s="151">
        <f>($I$4*85%)*H10</f>
        <v>0</v>
      </c>
      <c r="J10" s="151">
        <f>($J$4*85%)*H10</f>
        <v>0</v>
      </c>
      <c r="K10" s="151">
        <f t="shared" ref="K10" si="5">($K$4*85%)*H10</f>
        <v>0</v>
      </c>
      <c r="L10" s="151">
        <f t="shared" ref="L10:Q10" si="6">K10*1.03</f>
        <v>0</v>
      </c>
      <c r="M10" s="151">
        <f t="shared" si="6"/>
        <v>0</v>
      </c>
      <c r="N10" s="151">
        <f t="shared" si="6"/>
        <v>0</v>
      </c>
      <c r="O10" s="151">
        <f t="shared" si="6"/>
        <v>0</v>
      </c>
      <c r="P10" s="151">
        <f t="shared" si="6"/>
        <v>0</v>
      </c>
      <c r="Q10" s="151">
        <f t="shared" si="6"/>
        <v>0</v>
      </c>
      <c r="R10" s="152">
        <f>Q10*1.09</f>
        <v>0</v>
      </c>
      <c r="S10" s="290"/>
    </row>
    <row r="11" spans="1:19" ht="15.75" thickBot="1">
      <c r="B11" s="405"/>
      <c r="C11" s="403" t="s">
        <v>474</v>
      </c>
      <c r="D11" s="403"/>
      <c r="E11" s="403"/>
      <c r="F11" s="403"/>
      <c r="G11" s="403"/>
      <c r="H11" s="293">
        <v>0.15</v>
      </c>
      <c r="I11" s="280">
        <f>I4*15%</f>
        <v>290362.06080000004</v>
      </c>
      <c r="J11" s="280">
        <f>J4*15%</f>
        <v>362952.57599999994</v>
      </c>
      <c r="K11" s="280">
        <f t="shared" ref="K11:P11" si="7">K4*15%</f>
        <v>362952.57599999994</v>
      </c>
      <c r="L11" s="280">
        <f t="shared" si="7"/>
        <v>362952.57599999994</v>
      </c>
      <c r="M11" s="280">
        <f t="shared" si="7"/>
        <v>362952.57599999994</v>
      </c>
      <c r="N11" s="280">
        <f t="shared" si="7"/>
        <v>362952.57599999994</v>
      </c>
      <c r="O11" s="280">
        <f t="shared" si="7"/>
        <v>362952.57599999994</v>
      </c>
      <c r="P11" s="280">
        <f t="shared" si="7"/>
        <v>362952.57599999994</v>
      </c>
      <c r="Q11" s="280">
        <f>Q4*15%</f>
        <v>362952.57599999994</v>
      </c>
      <c r="R11" s="281">
        <f>R4*15%</f>
        <v>362952.57599999994</v>
      </c>
      <c r="S11" s="290"/>
    </row>
    <row r="12" spans="1:19" ht="6" customHeight="1" thickBot="1">
      <c r="B12" s="401"/>
      <c r="C12" s="401"/>
      <c r="D12" s="401"/>
      <c r="E12" s="401"/>
      <c r="F12" s="401"/>
      <c r="G12" s="401"/>
      <c r="H12" s="401"/>
      <c r="I12" s="401"/>
      <c r="J12" s="401"/>
      <c r="K12" s="401"/>
      <c r="L12" s="401"/>
      <c r="M12" s="401"/>
      <c r="N12" s="401"/>
      <c r="O12" s="401"/>
      <c r="P12" s="401"/>
      <c r="Q12" s="401"/>
      <c r="R12" s="401"/>
      <c r="S12" s="290"/>
    </row>
    <row r="13" spans="1:19" ht="15.75" thickBot="1">
      <c r="B13" s="404" t="s">
        <v>286</v>
      </c>
      <c r="C13" s="404"/>
      <c r="D13" s="404"/>
      <c r="E13" s="404"/>
      <c r="F13" s="404"/>
      <c r="G13" s="404"/>
      <c r="H13" s="404"/>
      <c r="I13" s="155">
        <f t="shared" ref="I13:R13" si="8">I4-I6</f>
        <v>1503059.2077312001</v>
      </c>
      <c r="J13" s="155">
        <f t="shared" si="8"/>
        <v>1878824.009664</v>
      </c>
      <c r="K13" s="155">
        <f t="shared" si="8"/>
        <v>1878824.009664</v>
      </c>
      <c r="L13" s="155">
        <f t="shared" si="8"/>
        <v>1878824.009664</v>
      </c>
      <c r="M13" s="155">
        <f t="shared" si="8"/>
        <v>1878824.009664</v>
      </c>
      <c r="N13" s="155">
        <f t="shared" si="8"/>
        <v>1878824.009664</v>
      </c>
      <c r="O13" s="155">
        <f t="shared" si="8"/>
        <v>1878824.009664</v>
      </c>
      <c r="P13" s="155">
        <f t="shared" si="8"/>
        <v>1878824.009664</v>
      </c>
      <c r="Q13" s="155">
        <f t="shared" si="8"/>
        <v>1878824.009664</v>
      </c>
      <c r="R13" s="164">
        <f t="shared" si="8"/>
        <v>1878824.009664</v>
      </c>
      <c r="S13" s="290"/>
    </row>
    <row r="14" spans="1:19" ht="6" customHeight="1" thickBot="1"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290"/>
    </row>
    <row r="15" spans="1:19" ht="15.75" thickBot="1">
      <c r="B15" s="410" t="s">
        <v>287</v>
      </c>
      <c r="C15" s="410"/>
      <c r="D15" s="410"/>
      <c r="E15" s="410"/>
      <c r="F15" s="410"/>
      <c r="G15" s="410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290"/>
    </row>
    <row r="16" spans="1:19" ht="6.75" customHeight="1">
      <c r="B16" s="411"/>
      <c r="C16" s="411"/>
      <c r="D16" s="411"/>
      <c r="E16" s="411"/>
      <c r="F16" s="411"/>
      <c r="G16" s="411"/>
      <c r="H16" s="411"/>
      <c r="I16" s="411"/>
      <c r="J16" s="411"/>
      <c r="K16" s="411"/>
      <c r="L16" s="411"/>
      <c r="M16" s="411"/>
      <c r="N16" s="411"/>
      <c r="O16" s="411"/>
      <c r="P16" s="411"/>
      <c r="Q16" s="411"/>
      <c r="R16" s="411"/>
      <c r="S16" s="290"/>
    </row>
    <row r="17" spans="2:19">
      <c r="B17" s="409" t="s">
        <v>288</v>
      </c>
      <c r="C17" s="409"/>
      <c r="D17" s="409"/>
      <c r="E17" s="409"/>
      <c r="F17" s="409"/>
      <c r="G17" s="409"/>
      <c r="H17" s="409"/>
      <c r="I17" s="156">
        <f>SUM(I18:I20)</f>
        <v>524509.68000000005</v>
      </c>
      <c r="J17" s="156">
        <f t="shared" ref="J17:R17" si="9">I17</f>
        <v>524509.68000000005</v>
      </c>
      <c r="K17" s="156">
        <f t="shared" si="9"/>
        <v>524509.68000000005</v>
      </c>
      <c r="L17" s="156">
        <f t="shared" si="9"/>
        <v>524509.68000000005</v>
      </c>
      <c r="M17" s="156">
        <f t="shared" si="9"/>
        <v>524509.68000000005</v>
      </c>
      <c r="N17" s="156">
        <f t="shared" si="9"/>
        <v>524509.68000000005</v>
      </c>
      <c r="O17" s="156">
        <f t="shared" si="9"/>
        <v>524509.68000000005</v>
      </c>
      <c r="P17" s="156">
        <f t="shared" si="9"/>
        <v>524509.68000000005</v>
      </c>
      <c r="Q17" s="156">
        <f t="shared" si="9"/>
        <v>524509.68000000005</v>
      </c>
      <c r="R17" s="157">
        <f t="shared" si="9"/>
        <v>524509.68000000005</v>
      </c>
      <c r="S17" s="290"/>
    </row>
    <row r="18" spans="2:19">
      <c r="B18" s="408"/>
      <c r="C18" s="406" t="s">
        <v>289</v>
      </c>
      <c r="D18" s="406"/>
      <c r="E18" s="406"/>
      <c r="F18" s="406"/>
      <c r="G18" s="406"/>
      <c r="H18" s="406"/>
      <c r="I18" s="151">
        <f>'Orçamento do Custo do Serviço'!D6*12</f>
        <v>363604.32</v>
      </c>
      <c r="J18" s="151">
        <f t="shared" ref="J18:M19" si="10">I18</f>
        <v>363604.32</v>
      </c>
      <c r="K18" s="151">
        <f t="shared" si="10"/>
        <v>363604.32</v>
      </c>
      <c r="L18" s="151">
        <f t="shared" si="10"/>
        <v>363604.32</v>
      </c>
      <c r="M18" s="151">
        <f t="shared" si="10"/>
        <v>363604.32</v>
      </c>
      <c r="N18" s="151">
        <f t="shared" ref="N18:Q18" si="11">M18</f>
        <v>363604.32</v>
      </c>
      <c r="O18" s="151">
        <f t="shared" si="11"/>
        <v>363604.32</v>
      </c>
      <c r="P18" s="151">
        <f t="shared" si="11"/>
        <v>363604.32</v>
      </c>
      <c r="Q18" s="151">
        <f t="shared" si="11"/>
        <v>363604.32</v>
      </c>
      <c r="R18" s="152">
        <f t="shared" ref="R18:R26" si="12">Q18</f>
        <v>363604.32</v>
      </c>
      <c r="S18" s="290"/>
    </row>
    <row r="19" spans="2:19">
      <c r="B19" s="408"/>
      <c r="C19" s="406" t="s">
        <v>290</v>
      </c>
      <c r="D19" s="406"/>
      <c r="E19" s="406"/>
      <c r="F19" s="406"/>
      <c r="G19" s="406"/>
      <c r="H19" s="406"/>
      <c r="I19" s="151">
        <f>'Orçamento do Custo do Serviço'!D8*12</f>
        <v>119111.76</v>
      </c>
      <c r="J19" s="151">
        <f t="shared" si="10"/>
        <v>119111.76</v>
      </c>
      <c r="K19" s="151">
        <f t="shared" si="10"/>
        <v>119111.76</v>
      </c>
      <c r="L19" s="151">
        <f t="shared" si="10"/>
        <v>119111.76</v>
      </c>
      <c r="M19" s="151">
        <f t="shared" si="10"/>
        <v>119111.76</v>
      </c>
      <c r="N19" s="151">
        <f>M19</f>
        <v>119111.76</v>
      </c>
      <c r="O19" s="151">
        <f>N19</f>
        <v>119111.76</v>
      </c>
      <c r="P19" s="151">
        <f>O19</f>
        <v>119111.76</v>
      </c>
      <c r="Q19" s="151">
        <f>P19</f>
        <v>119111.76</v>
      </c>
      <c r="R19" s="152">
        <f t="shared" si="12"/>
        <v>119111.76</v>
      </c>
      <c r="S19" s="290"/>
    </row>
    <row r="20" spans="2:19">
      <c r="B20" s="408"/>
      <c r="C20" s="406" t="s">
        <v>291</v>
      </c>
      <c r="D20" s="406"/>
      <c r="E20" s="406"/>
      <c r="F20" s="406"/>
      <c r="G20" s="406"/>
      <c r="H20" s="406"/>
      <c r="I20" s="151">
        <f>'Orçamento do Custo do Serviço'!D11*12</f>
        <v>41793.600000000006</v>
      </c>
      <c r="J20" s="151">
        <f t="shared" ref="J20:L26" si="13">I20</f>
        <v>41793.600000000006</v>
      </c>
      <c r="K20" s="151">
        <f t="shared" si="13"/>
        <v>41793.600000000006</v>
      </c>
      <c r="L20" s="151">
        <f t="shared" si="13"/>
        <v>41793.600000000006</v>
      </c>
      <c r="M20" s="151">
        <f t="shared" ref="M20:Q20" si="14">L20</f>
        <v>41793.600000000006</v>
      </c>
      <c r="N20" s="151">
        <f t="shared" si="14"/>
        <v>41793.600000000006</v>
      </c>
      <c r="O20" s="151">
        <f t="shared" si="14"/>
        <v>41793.600000000006</v>
      </c>
      <c r="P20" s="151">
        <f t="shared" si="14"/>
        <v>41793.600000000006</v>
      </c>
      <c r="Q20" s="151">
        <f t="shared" si="14"/>
        <v>41793.600000000006</v>
      </c>
      <c r="R20" s="152">
        <f t="shared" si="12"/>
        <v>41793.600000000006</v>
      </c>
      <c r="S20" s="290"/>
    </row>
    <row r="21" spans="2:19">
      <c r="B21" s="409" t="s">
        <v>292</v>
      </c>
      <c r="C21" s="409"/>
      <c r="D21" s="409"/>
      <c r="E21" s="409"/>
      <c r="F21" s="409"/>
      <c r="G21" s="409"/>
      <c r="H21" s="409"/>
      <c r="I21" s="156">
        <f>SUM(I22:I25)</f>
        <v>167030.04</v>
      </c>
      <c r="J21" s="156">
        <f t="shared" si="13"/>
        <v>167030.04</v>
      </c>
      <c r="K21" s="156">
        <f t="shared" si="13"/>
        <v>167030.04</v>
      </c>
      <c r="L21" s="156">
        <f t="shared" si="13"/>
        <v>167030.04</v>
      </c>
      <c r="M21" s="156">
        <f>L21</f>
        <v>167030.04</v>
      </c>
      <c r="N21" s="291">
        <f>M21</f>
        <v>167030.04</v>
      </c>
      <c r="O21" s="291">
        <f>N21</f>
        <v>167030.04</v>
      </c>
      <c r="P21" s="291">
        <f>O21</f>
        <v>167030.04</v>
      </c>
      <c r="Q21" s="291">
        <f>P21</f>
        <v>167030.04</v>
      </c>
      <c r="R21" s="292">
        <f t="shared" si="12"/>
        <v>167030.04</v>
      </c>
      <c r="S21" s="290"/>
    </row>
    <row r="22" spans="2:19">
      <c r="B22" s="408"/>
      <c r="C22" s="406" t="s">
        <v>293</v>
      </c>
      <c r="D22" s="406"/>
      <c r="E22" s="406"/>
      <c r="F22" s="406"/>
      <c r="G22" s="406"/>
      <c r="H22" s="406"/>
      <c r="I22" s="151">
        <f>'Orçamento do Custo do Serviço'!D14*12</f>
        <v>74880</v>
      </c>
      <c r="J22" s="151">
        <f t="shared" si="13"/>
        <v>74880</v>
      </c>
      <c r="K22" s="151">
        <f t="shared" si="13"/>
        <v>74880</v>
      </c>
      <c r="L22" s="151">
        <f t="shared" si="13"/>
        <v>74880</v>
      </c>
      <c r="M22" s="151">
        <f t="shared" ref="M22:Q22" si="15">L22</f>
        <v>74880</v>
      </c>
      <c r="N22" s="151">
        <f t="shared" si="15"/>
        <v>74880</v>
      </c>
      <c r="O22" s="151">
        <f t="shared" si="15"/>
        <v>74880</v>
      </c>
      <c r="P22" s="151">
        <f t="shared" si="15"/>
        <v>74880</v>
      </c>
      <c r="Q22" s="151">
        <f t="shared" si="15"/>
        <v>74880</v>
      </c>
      <c r="R22" s="152">
        <f t="shared" si="12"/>
        <v>74880</v>
      </c>
      <c r="S22" s="290"/>
    </row>
    <row r="23" spans="2:19">
      <c r="B23" s="408"/>
      <c r="C23" s="406" t="s">
        <v>294</v>
      </c>
      <c r="D23" s="406"/>
      <c r="E23" s="406"/>
      <c r="F23" s="406"/>
      <c r="G23" s="406"/>
      <c r="H23" s="406"/>
      <c r="I23" s="151">
        <f>'Orçamento do Custo do Serviço'!D18*12</f>
        <v>43929.600000000006</v>
      </c>
      <c r="J23" s="151">
        <f t="shared" si="13"/>
        <v>43929.600000000006</v>
      </c>
      <c r="K23" s="151">
        <f t="shared" si="13"/>
        <v>43929.600000000006</v>
      </c>
      <c r="L23" s="151">
        <f t="shared" si="13"/>
        <v>43929.600000000006</v>
      </c>
      <c r="M23" s="151">
        <f t="shared" ref="M23:Q23" si="16">L23</f>
        <v>43929.600000000006</v>
      </c>
      <c r="N23" s="151">
        <f t="shared" si="16"/>
        <v>43929.600000000006</v>
      </c>
      <c r="O23" s="151">
        <f t="shared" si="16"/>
        <v>43929.600000000006</v>
      </c>
      <c r="P23" s="151">
        <f t="shared" si="16"/>
        <v>43929.600000000006</v>
      </c>
      <c r="Q23" s="151">
        <f t="shared" si="16"/>
        <v>43929.600000000006</v>
      </c>
      <c r="R23" s="152">
        <f t="shared" si="12"/>
        <v>43929.600000000006</v>
      </c>
      <c r="S23" s="290"/>
    </row>
    <row r="24" spans="2:19">
      <c r="B24" s="408"/>
      <c r="C24" s="406" t="s">
        <v>295</v>
      </c>
      <c r="D24" s="406"/>
      <c r="E24" s="406"/>
      <c r="F24" s="406"/>
      <c r="G24" s="406"/>
      <c r="H24" s="406"/>
      <c r="I24" s="151">
        <f>'Orçamento do Custo do Serviço'!D22*12</f>
        <v>17280</v>
      </c>
      <c r="J24" s="151">
        <f t="shared" si="13"/>
        <v>17280</v>
      </c>
      <c r="K24" s="151">
        <f t="shared" si="13"/>
        <v>17280</v>
      </c>
      <c r="L24" s="151">
        <f t="shared" si="13"/>
        <v>17280</v>
      </c>
      <c r="M24" s="151">
        <f t="shared" ref="M24:Q24" si="17">L24</f>
        <v>17280</v>
      </c>
      <c r="N24" s="151">
        <f t="shared" si="17"/>
        <v>17280</v>
      </c>
      <c r="O24" s="151">
        <f t="shared" si="17"/>
        <v>17280</v>
      </c>
      <c r="P24" s="151">
        <f t="shared" si="17"/>
        <v>17280</v>
      </c>
      <c r="Q24" s="151">
        <f t="shared" si="17"/>
        <v>17280</v>
      </c>
      <c r="R24" s="152">
        <f t="shared" si="12"/>
        <v>17280</v>
      </c>
      <c r="S24" s="290"/>
    </row>
    <row r="25" spans="2:19">
      <c r="B25" s="408"/>
      <c r="C25" s="406" t="s">
        <v>296</v>
      </c>
      <c r="D25" s="406"/>
      <c r="E25" s="406"/>
      <c r="F25" s="406"/>
      <c r="G25" s="406"/>
      <c r="H25" s="406"/>
      <c r="I25" s="151">
        <f>'Orçamento do Custo do Serviço'!D26*12</f>
        <v>30940.44</v>
      </c>
      <c r="J25" s="151">
        <f t="shared" si="13"/>
        <v>30940.44</v>
      </c>
      <c r="K25" s="151">
        <f t="shared" si="13"/>
        <v>30940.44</v>
      </c>
      <c r="L25" s="151">
        <f t="shared" si="13"/>
        <v>30940.44</v>
      </c>
      <c r="M25" s="151">
        <f t="shared" ref="M25:Q25" si="18">L25</f>
        <v>30940.44</v>
      </c>
      <c r="N25" s="151">
        <f t="shared" si="18"/>
        <v>30940.44</v>
      </c>
      <c r="O25" s="151">
        <f t="shared" si="18"/>
        <v>30940.44</v>
      </c>
      <c r="P25" s="151">
        <f t="shared" si="18"/>
        <v>30940.44</v>
      </c>
      <c r="Q25" s="151">
        <f t="shared" si="18"/>
        <v>30940.44</v>
      </c>
      <c r="R25" s="152">
        <f t="shared" si="12"/>
        <v>30940.44</v>
      </c>
      <c r="S25" s="290"/>
    </row>
    <row r="26" spans="2:19">
      <c r="B26" s="409" t="s">
        <v>297</v>
      </c>
      <c r="C26" s="409"/>
      <c r="D26" s="409"/>
      <c r="E26" s="409"/>
      <c r="F26" s="409"/>
      <c r="G26" s="409"/>
      <c r="H26" s="409"/>
      <c r="I26" s="156">
        <f>SUM(I27:I29)</f>
        <v>288911.80319999997</v>
      </c>
      <c r="J26" s="156">
        <f t="shared" si="13"/>
        <v>288911.80319999997</v>
      </c>
      <c r="K26" s="156">
        <f t="shared" si="13"/>
        <v>288911.80319999997</v>
      </c>
      <c r="L26" s="156">
        <f t="shared" si="13"/>
        <v>288911.80319999997</v>
      </c>
      <c r="M26" s="156">
        <f>L26</f>
        <v>288911.80319999997</v>
      </c>
      <c r="N26" s="291">
        <f>M26</f>
        <v>288911.80319999997</v>
      </c>
      <c r="O26" s="291">
        <f>N26</f>
        <v>288911.80319999997</v>
      </c>
      <c r="P26" s="291">
        <f>O26</f>
        <v>288911.80319999997</v>
      </c>
      <c r="Q26" s="291">
        <f>P26</f>
        <v>288911.80319999997</v>
      </c>
      <c r="R26" s="292">
        <f t="shared" si="12"/>
        <v>288911.80319999997</v>
      </c>
      <c r="S26" s="290"/>
    </row>
    <row r="27" spans="2:19">
      <c r="B27" s="408"/>
      <c r="C27" s="406" t="s">
        <v>298</v>
      </c>
      <c r="D27" s="406"/>
      <c r="E27" s="406"/>
      <c r="F27" s="406"/>
      <c r="G27" s="406"/>
      <c r="H27" s="406"/>
      <c r="I27" s="151">
        <f>'Orçamento do Custo do Serviço'!D33*12</f>
        <v>127056</v>
      </c>
      <c r="J27" s="151">
        <f t="shared" ref="J27:K33" si="19">I27</f>
        <v>127056</v>
      </c>
      <c r="K27" s="151">
        <f t="shared" si="19"/>
        <v>127056</v>
      </c>
      <c r="L27" s="151">
        <f t="shared" ref="L27:R27" si="20">K27</f>
        <v>127056</v>
      </c>
      <c r="M27" s="151">
        <f t="shared" si="20"/>
        <v>127056</v>
      </c>
      <c r="N27" s="151">
        <f t="shared" si="20"/>
        <v>127056</v>
      </c>
      <c r="O27" s="151">
        <f t="shared" si="20"/>
        <v>127056</v>
      </c>
      <c r="P27" s="151">
        <f t="shared" si="20"/>
        <v>127056</v>
      </c>
      <c r="Q27" s="151">
        <f t="shared" si="20"/>
        <v>127056</v>
      </c>
      <c r="R27" s="152">
        <f t="shared" si="20"/>
        <v>127056</v>
      </c>
      <c r="S27" s="290"/>
    </row>
    <row r="28" spans="2:19">
      <c r="B28" s="408"/>
      <c r="C28" s="406" t="s">
        <v>299</v>
      </c>
      <c r="D28" s="406"/>
      <c r="E28" s="406"/>
      <c r="F28" s="406"/>
      <c r="G28" s="406"/>
      <c r="H28" s="406"/>
      <c r="I28" s="151">
        <f>'Orçamento do Custo do Serviço'!D44*12</f>
        <v>56856</v>
      </c>
      <c r="J28" s="151">
        <f t="shared" si="19"/>
        <v>56856</v>
      </c>
      <c r="K28" s="151">
        <f t="shared" si="19"/>
        <v>56856</v>
      </c>
      <c r="L28" s="151">
        <f t="shared" ref="L28:R28" si="21">K28</f>
        <v>56856</v>
      </c>
      <c r="M28" s="151">
        <f t="shared" si="21"/>
        <v>56856</v>
      </c>
      <c r="N28" s="151">
        <f t="shared" si="21"/>
        <v>56856</v>
      </c>
      <c r="O28" s="151">
        <f t="shared" si="21"/>
        <v>56856</v>
      </c>
      <c r="P28" s="151">
        <f t="shared" si="21"/>
        <v>56856</v>
      </c>
      <c r="Q28" s="151">
        <f t="shared" si="21"/>
        <v>56856</v>
      </c>
      <c r="R28" s="152">
        <f t="shared" si="21"/>
        <v>56856</v>
      </c>
      <c r="S28" s="290"/>
    </row>
    <row r="29" spans="2:19">
      <c r="B29" s="408"/>
      <c r="C29" s="406" t="s">
        <v>300</v>
      </c>
      <c r="D29" s="406"/>
      <c r="E29" s="406"/>
      <c r="F29" s="406"/>
      <c r="G29" s="406"/>
      <c r="H29" s="406"/>
      <c r="I29" s="151">
        <f>'Orçamento do Custo do Serviço'!D49*12</f>
        <v>104999.80319999999</v>
      </c>
      <c r="J29" s="151">
        <f t="shared" si="19"/>
        <v>104999.80319999999</v>
      </c>
      <c r="K29" s="151">
        <f t="shared" si="19"/>
        <v>104999.80319999999</v>
      </c>
      <c r="L29" s="151">
        <f t="shared" ref="L29:R29" si="22">K29</f>
        <v>104999.80319999999</v>
      </c>
      <c r="M29" s="151">
        <f t="shared" si="22"/>
        <v>104999.80319999999</v>
      </c>
      <c r="N29" s="151">
        <f t="shared" si="22"/>
        <v>104999.80319999999</v>
      </c>
      <c r="O29" s="151">
        <f t="shared" si="22"/>
        <v>104999.80319999999</v>
      </c>
      <c r="P29" s="151">
        <f t="shared" si="22"/>
        <v>104999.80319999999</v>
      </c>
      <c r="Q29" s="151">
        <f t="shared" si="22"/>
        <v>104999.80319999999</v>
      </c>
      <c r="R29" s="152">
        <f t="shared" si="22"/>
        <v>104999.80319999999</v>
      </c>
      <c r="S29" s="290"/>
    </row>
    <row r="30" spans="2:19">
      <c r="B30" s="409" t="s">
        <v>301</v>
      </c>
      <c r="C30" s="409"/>
      <c r="D30" s="409"/>
      <c r="E30" s="409"/>
      <c r="F30" s="409"/>
      <c r="G30" s="409"/>
      <c r="H30" s="409"/>
      <c r="I30" s="156">
        <f>I31</f>
        <v>120984.19200000001</v>
      </c>
      <c r="J30" s="156">
        <f t="shared" si="19"/>
        <v>120984.19200000001</v>
      </c>
      <c r="K30" s="291">
        <f t="shared" si="19"/>
        <v>120984.19200000001</v>
      </c>
      <c r="L30" s="291">
        <f t="shared" ref="L30:R30" si="23">K30</f>
        <v>120984.19200000001</v>
      </c>
      <c r="M30" s="291">
        <f t="shared" si="23"/>
        <v>120984.19200000001</v>
      </c>
      <c r="N30" s="291">
        <f t="shared" si="23"/>
        <v>120984.19200000001</v>
      </c>
      <c r="O30" s="291">
        <f t="shared" si="23"/>
        <v>120984.19200000001</v>
      </c>
      <c r="P30" s="291">
        <f t="shared" si="23"/>
        <v>120984.19200000001</v>
      </c>
      <c r="Q30" s="291">
        <f t="shared" si="23"/>
        <v>120984.19200000001</v>
      </c>
      <c r="R30" s="292">
        <f t="shared" si="23"/>
        <v>120984.19200000001</v>
      </c>
      <c r="S30" s="290"/>
    </row>
    <row r="31" spans="2:19">
      <c r="B31" s="158"/>
      <c r="C31" s="406" t="s">
        <v>302</v>
      </c>
      <c r="D31" s="406"/>
      <c r="E31" s="406"/>
      <c r="F31" s="406"/>
      <c r="G31" s="406"/>
      <c r="H31" s="406"/>
      <c r="I31" s="151">
        <f>'Orçamento do Custo do Serviço'!D55*12</f>
        <v>120984.19200000001</v>
      </c>
      <c r="J31" s="151">
        <f t="shared" si="19"/>
        <v>120984.19200000001</v>
      </c>
      <c r="K31" s="151">
        <f t="shared" si="19"/>
        <v>120984.19200000001</v>
      </c>
      <c r="L31" s="151">
        <f t="shared" ref="L31:R31" si="24">K31</f>
        <v>120984.19200000001</v>
      </c>
      <c r="M31" s="151">
        <f t="shared" si="24"/>
        <v>120984.19200000001</v>
      </c>
      <c r="N31" s="151">
        <f t="shared" si="24"/>
        <v>120984.19200000001</v>
      </c>
      <c r="O31" s="151">
        <f t="shared" si="24"/>
        <v>120984.19200000001</v>
      </c>
      <c r="P31" s="151">
        <f t="shared" si="24"/>
        <v>120984.19200000001</v>
      </c>
      <c r="Q31" s="151">
        <f t="shared" si="24"/>
        <v>120984.19200000001</v>
      </c>
      <c r="R31" s="152">
        <f t="shared" si="24"/>
        <v>120984.19200000001</v>
      </c>
      <c r="S31" s="290"/>
    </row>
    <row r="32" spans="2:19">
      <c r="B32" s="409" t="s">
        <v>303</v>
      </c>
      <c r="C32" s="409"/>
      <c r="D32" s="409"/>
      <c r="E32" s="409"/>
      <c r="F32" s="409"/>
      <c r="G32" s="409"/>
      <c r="H32" s="409"/>
      <c r="I32" s="156">
        <f>I33</f>
        <v>2665.4160000000002</v>
      </c>
      <c r="J32" s="156">
        <f t="shared" si="19"/>
        <v>2665.4160000000002</v>
      </c>
      <c r="K32" s="291">
        <f t="shared" si="19"/>
        <v>2665.4160000000002</v>
      </c>
      <c r="L32" s="291">
        <f t="shared" ref="L32:R32" si="25">K32</f>
        <v>2665.4160000000002</v>
      </c>
      <c r="M32" s="291">
        <f t="shared" si="25"/>
        <v>2665.4160000000002</v>
      </c>
      <c r="N32" s="291">
        <f t="shared" si="25"/>
        <v>2665.4160000000002</v>
      </c>
      <c r="O32" s="291">
        <f t="shared" si="25"/>
        <v>2665.4160000000002</v>
      </c>
      <c r="P32" s="291">
        <f t="shared" si="25"/>
        <v>2665.4160000000002</v>
      </c>
      <c r="Q32" s="291">
        <f t="shared" si="25"/>
        <v>2665.4160000000002</v>
      </c>
      <c r="R32" s="292">
        <f t="shared" si="25"/>
        <v>2665.4160000000002</v>
      </c>
      <c r="S32" s="290"/>
    </row>
    <row r="33" spans="2:19" ht="15.75" thickBot="1">
      <c r="B33" s="159"/>
      <c r="C33" s="403" t="s">
        <v>303</v>
      </c>
      <c r="D33" s="403"/>
      <c r="E33" s="403"/>
      <c r="F33" s="403"/>
      <c r="G33" s="403"/>
      <c r="H33" s="403"/>
      <c r="I33" s="154">
        <f>'Orçamento do Custo do Serviço'!D58*12</f>
        <v>2665.4160000000002</v>
      </c>
      <c r="J33" s="154">
        <f t="shared" si="19"/>
        <v>2665.4160000000002</v>
      </c>
      <c r="K33" s="154">
        <f t="shared" si="19"/>
        <v>2665.4160000000002</v>
      </c>
      <c r="L33" s="154">
        <f t="shared" ref="L33:R33" si="26">K33</f>
        <v>2665.4160000000002</v>
      </c>
      <c r="M33" s="154">
        <f t="shared" si="26"/>
        <v>2665.4160000000002</v>
      </c>
      <c r="N33" s="154">
        <f t="shared" si="26"/>
        <v>2665.4160000000002</v>
      </c>
      <c r="O33" s="154">
        <f t="shared" si="26"/>
        <v>2665.4160000000002</v>
      </c>
      <c r="P33" s="154">
        <f t="shared" si="26"/>
        <v>2665.4160000000002</v>
      </c>
      <c r="Q33" s="154">
        <f t="shared" si="26"/>
        <v>2665.4160000000002</v>
      </c>
      <c r="R33" s="160">
        <f t="shared" si="26"/>
        <v>2665.4160000000002</v>
      </c>
      <c r="S33" s="290"/>
    </row>
    <row r="34" spans="2:19" ht="6.75" customHeight="1" thickBot="1">
      <c r="B34" s="401"/>
      <c r="C34" s="401"/>
      <c r="D34" s="401"/>
      <c r="E34" s="401"/>
      <c r="F34" s="401"/>
      <c r="G34" s="401"/>
      <c r="H34" s="401"/>
      <c r="I34" s="401"/>
      <c r="J34" s="401"/>
      <c r="K34" s="401"/>
      <c r="L34" s="401"/>
      <c r="M34" s="401"/>
      <c r="N34" s="401"/>
      <c r="O34" s="401"/>
      <c r="P34" s="401"/>
      <c r="Q34" s="401"/>
      <c r="R34" s="401"/>
      <c r="S34" s="290"/>
    </row>
    <row r="35" spans="2:19">
      <c r="B35" s="402" t="s">
        <v>304</v>
      </c>
      <c r="C35" s="402"/>
      <c r="D35" s="402"/>
      <c r="E35" s="402"/>
      <c r="F35" s="402"/>
      <c r="G35" s="402"/>
      <c r="H35" s="402"/>
      <c r="I35" s="148">
        <f>I13-I18-I19-I20-I22-I23-I24-I25-I27-I28-I29-I31-I33</f>
        <v>398958.07653120015</v>
      </c>
      <c r="J35" s="148">
        <f t="shared" ref="J35:R35" si="27">J13-J18-J19-J20-J22-J23-J24-J25-J27-J28-J29-J31-J33</f>
        <v>774722.87846399983</v>
      </c>
      <c r="K35" s="148">
        <f t="shared" si="27"/>
        <v>774722.87846399983</v>
      </c>
      <c r="L35" s="148">
        <f t="shared" si="27"/>
        <v>774722.87846399983</v>
      </c>
      <c r="M35" s="148">
        <f t="shared" si="27"/>
        <v>774722.87846399983</v>
      </c>
      <c r="N35" s="148">
        <f t="shared" si="27"/>
        <v>774722.87846399983</v>
      </c>
      <c r="O35" s="148">
        <f t="shared" si="27"/>
        <v>774722.87846399983</v>
      </c>
      <c r="P35" s="148">
        <f t="shared" si="27"/>
        <v>774722.87846399983</v>
      </c>
      <c r="Q35" s="148">
        <f t="shared" si="27"/>
        <v>774722.87846399983</v>
      </c>
      <c r="R35" s="148">
        <f t="shared" si="27"/>
        <v>774722.87846399983</v>
      </c>
      <c r="S35" s="290"/>
    </row>
    <row r="36" spans="2:19" ht="15.75" thickBot="1">
      <c r="B36" s="159"/>
      <c r="C36" s="403" t="s">
        <v>305</v>
      </c>
      <c r="D36" s="403"/>
      <c r="E36" s="403"/>
      <c r="F36" s="403"/>
      <c r="G36" s="403"/>
      <c r="H36" s="403"/>
      <c r="I36" s="161">
        <f t="shared" ref="I36:R36" si="28">I35/I4</f>
        <v>0.20610031253669905</v>
      </c>
      <c r="J36" s="161">
        <f t="shared" si="28"/>
        <v>0.32017525002935915</v>
      </c>
      <c r="K36" s="161">
        <f t="shared" si="28"/>
        <v>0.32017525002935915</v>
      </c>
      <c r="L36" s="161">
        <f t="shared" si="28"/>
        <v>0.32017525002935915</v>
      </c>
      <c r="M36" s="161">
        <f t="shared" si="28"/>
        <v>0.32017525002935915</v>
      </c>
      <c r="N36" s="161">
        <f t="shared" si="28"/>
        <v>0.32017525002935915</v>
      </c>
      <c r="O36" s="161">
        <f t="shared" si="28"/>
        <v>0.32017525002935915</v>
      </c>
      <c r="P36" s="161">
        <f t="shared" si="28"/>
        <v>0.32017525002935915</v>
      </c>
      <c r="Q36" s="161">
        <f t="shared" si="28"/>
        <v>0.32017525002935915</v>
      </c>
      <c r="R36" s="162">
        <f t="shared" si="28"/>
        <v>0.32017525002935915</v>
      </c>
      <c r="S36" s="290"/>
    </row>
    <row r="37" spans="2:19" ht="6" customHeight="1" thickBot="1">
      <c r="B37" s="401"/>
      <c r="C37" s="401"/>
      <c r="D37" s="401"/>
      <c r="E37" s="401"/>
      <c r="F37" s="401"/>
      <c r="G37" s="401"/>
      <c r="H37" s="401"/>
      <c r="I37" s="401"/>
      <c r="J37" s="401"/>
      <c r="K37" s="401"/>
      <c r="L37" s="401"/>
      <c r="M37" s="401"/>
      <c r="N37" s="401"/>
      <c r="O37" s="401"/>
      <c r="P37" s="401"/>
      <c r="Q37" s="401"/>
      <c r="R37" s="401"/>
      <c r="S37" s="290"/>
    </row>
    <row r="38" spans="2:19">
      <c r="B38" s="402" t="s">
        <v>306</v>
      </c>
      <c r="C38" s="407"/>
      <c r="D38" s="407"/>
      <c r="E38" s="407"/>
      <c r="F38" s="407"/>
      <c r="G38" s="407"/>
      <c r="H38" s="407"/>
      <c r="I38" s="148">
        <f t="shared" ref="I38:R38" si="29">SUM(I39:I41)</f>
        <v>116250.40633333335</v>
      </c>
      <c r="J38" s="148">
        <f t="shared" si="29"/>
        <v>116250.40633333335</v>
      </c>
      <c r="K38" s="148">
        <f t="shared" si="29"/>
        <v>116250.40633333335</v>
      </c>
      <c r="L38" s="148">
        <f t="shared" si="29"/>
        <v>116250.40633333335</v>
      </c>
      <c r="M38" s="148">
        <f t="shared" si="29"/>
        <v>116250.40633333335</v>
      </c>
      <c r="N38" s="148">
        <f t="shared" si="29"/>
        <v>90111.917000000001</v>
      </c>
      <c r="O38" s="148">
        <f t="shared" si="29"/>
        <v>90111.917000000001</v>
      </c>
      <c r="P38" s="148">
        <f t="shared" si="29"/>
        <v>90111.917000000001</v>
      </c>
      <c r="Q38" s="148">
        <f t="shared" si="29"/>
        <v>90111.917000000001</v>
      </c>
      <c r="R38" s="149">
        <f t="shared" si="29"/>
        <v>90111.917000000001</v>
      </c>
      <c r="S38" s="290"/>
    </row>
    <row r="39" spans="2:19">
      <c r="B39" s="408"/>
      <c r="C39" s="406" t="s">
        <v>307</v>
      </c>
      <c r="D39" s="406"/>
      <c r="E39" s="406"/>
      <c r="F39" s="406"/>
      <c r="G39" s="406"/>
      <c r="H39" s="406"/>
      <c r="I39" s="151">
        <f>'Comp Deprec Maq e Equip'!H27</f>
        <v>928.82899999999995</v>
      </c>
      <c r="J39" s="151">
        <f t="shared" ref="J39:K41" si="30">I39</f>
        <v>928.82899999999995</v>
      </c>
      <c r="K39" s="151">
        <f t="shared" si="30"/>
        <v>928.82899999999995</v>
      </c>
      <c r="L39" s="151">
        <f t="shared" ref="L39:R39" si="31">K39</f>
        <v>928.82899999999995</v>
      </c>
      <c r="M39" s="151">
        <f t="shared" si="31"/>
        <v>928.82899999999995</v>
      </c>
      <c r="N39" s="151">
        <f t="shared" si="31"/>
        <v>928.82899999999995</v>
      </c>
      <c r="O39" s="151">
        <f t="shared" si="31"/>
        <v>928.82899999999995</v>
      </c>
      <c r="P39" s="151">
        <f t="shared" si="31"/>
        <v>928.82899999999995</v>
      </c>
      <c r="Q39" s="151">
        <f t="shared" si="31"/>
        <v>928.82899999999995</v>
      </c>
      <c r="R39" s="152">
        <f t="shared" si="31"/>
        <v>928.82899999999995</v>
      </c>
      <c r="S39" s="290"/>
    </row>
    <row r="40" spans="2:19">
      <c r="B40" s="408"/>
      <c r="C40" s="406" t="s">
        <v>94</v>
      </c>
      <c r="D40" s="406"/>
      <c r="E40" s="406"/>
      <c r="F40" s="406"/>
      <c r="G40" s="406"/>
      <c r="H40" s="406"/>
      <c r="I40" s="151">
        <f>'Comp Deprec Maq e Equip'!H40</f>
        <v>26138.489333333338</v>
      </c>
      <c r="J40" s="151">
        <f t="shared" si="30"/>
        <v>26138.489333333338</v>
      </c>
      <c r="K40" s="151">
        <f t="shared" si="30"/>
        <v>26138.489333333338</v>
      </c>
      <c r="L40" s="151">
        <f t="shared" ref="L40:R41" si="32">K40</f>
        <v>26138.489333333338</v>
      </c>
      <c r="M40" s="151">
        <f t="shared" si="32"/>
        <v>26138.489333333338</v>
      </c>
      <c r="N40" s="151"/>
      <c r="O40" s="151"/>
      <c r="P40" s="151"/>
      <c r="Q40" s="151"/>
      <c r="R40" s="152"/>
      <c r="S40" s="290"/>
    </row>
    <row r="41" spans="2:19" ht="15.75" thickBot="1">
      <c r="B41" s="405"/>
      <c r="C41" s="403" t="s">
        <v>482</v>
      </c>
      <c r="D41" s="403"/>
      <c r="E41" s="403"/>
      <c r="F41" s="403"/>
      <c r="G41" s="403"/>
      <c r="H41" s="403"/>
      <c r="I41" s="154">
        <f>'Comp Deprec Maq e Equip'!H51</f>
        <v>89183.088000000003</v>
      </c>
      <c r="J41" s="154">
        <f t="shared" si="30"/>
        <v>89183.088000000003</v>
      </c>
      <c r="K41" s="154">
        <f t="shared" si="30"/>
        <v>89183.088000000003</v>
      </c>
      <c r="L41" s="154">
        <f t="shared" si="32"/>
        <v>89183.088000000003</v>
      </c>
      <c r="M41" s="154">
        <f t="shared" si="32"/>
        <v>89183.088000000003</v>
      </c>
      <c r="N41" s="154">
        <f t="shared" si="32"/>
        <v>89183.088000000003</v>
      </c>
      <c r="O41" s="154">
        <f t="shared" si="32"/>
        <v>89183.088000000003</v>
      </c>
      <c r="P41" s="154">
        <f t="shared" si="32"/>
        <v>89183.088000000003</v>
      </c>
      <c r="Q41" s="154">
        <f t="shared" si="32"/>
        <v>89183.088000000003</v>
      </c>
      <c r="R41" s="160">
        <f t="shared" si="32"/>
        <v>89183.088000000003</v>
      </c>
      <c r="S41" s="290"/>
    </row>
    <row r="42" spans="2:19" ht="15.75" thickBot="1">
      <c r="B42" s="401"/>
      <c r="C42" s="401"/>
      <c r="D42" s="401"/>
      <c r="E42" s="401"/>
      <c r="F42" s="401"/>
      <c r="G42" s="401"/>
      <c r="H42" s="401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290"/>
    </row>
    <row r="43" spans="2:19" ht="15.75" thickBot="1">
      <c r="B43" s="404" t="s">
        <v>308</v>
      </c>
      <c r="C43" s="404"/>
      <c r="D43" s="404"/>
      <c r="E43" s="404"/>
      <c r="F43" s="404"/>
      <c r="G43" s="404"/>
      <c r="H43" s="404"/>
      <c r="I43" s="155">
        <f>I35-I39-I40-I41</f>
        <v>282707.6701978668</v>
      </c>
      <c r="J43" s="155">
        <f>J35-J39-J40-J41</f>
        <v>658472.47213066649</v>
      </c>
      <c r="K43" s="155">
        <f t="shared" ref="K43:P43" si="33">K35-K39-K40-K41</f>
        <v>658472.47213066649</v>
      </c>
      <c r="L43" s="155">
        <f t="shared" si="33"/>
        <v>658472.47213066649</v>
      </c>
      <c r="M43" s="155">
        <f t="shared" si="33"/>
        <v>658472.47213066649</v>
      </c>
      <c r="N43" s="155">
        <f t="shared" si="33"/>
        <v>684610.96146399982</v>
      </c>
      <c r="O43" s="155">
        <f t="shared" si="33"/>
        <v>684610.96146399982</v>
      </c>
      <c r="P43" s="155">
        <f t="shared" si="33"/>
        <v>684610.96146399982</v>
      </c>
      <c r="Q43" s="155">
        <f>Q35-Q39-Q40-Q41</f>
        <v>684610.96146399982</v>
      </c>
      <c r="R43" s="155">
        <f>R35-R39-R40-R41</f>
        <v>684610.96146399982</v>
      </c>
      <c r="S43" s="290"/>
    </row>
    <row r="44" spans="2:19" ht="7.5" customHeight="1" thickBot="1">
      <c r="B44" s="401"/>
      <c r="C44" s="401"/>
      <c r="D44" s="401"/>
      <c r="E44" s="401"/>
      <c r="F44" s="401"/>
      <c r="G44" s="401"/>
      <c r="H44" s="401"/>
      <c r="I44" s="401"/>
      <c r="J44" s="401"/>
      <c r="K44" s="401"/>
      <c r="L44" s="401"/>
      <c r="M44" s="401"/>
      <c r="N44" s="401"/>
      <c r="O44" s="401"/>
      <c r="P44" s="401"/>
      <c r="Q44" s="401"/>
      <c r="R44" s="401"/>
      <c r="S44" s="290"/>
    </row>
    <row r="45" spans="2:19">
      <c r="B45" s="402" t="s">
        <v>309</v>
      </c>
      <c r="C45" s="402"/>
      <c r="D45" s="402"/>
      <c r="E45" s="402"/>
      <c r="F45" s="402"/>
      <c r="G45" s="402"/>
      <c r="H45" s="402"/>
      <c r="I45" s="148">
        <f t="shared" ref="I45:R45" si="34">I46</f>
        <v>222610.91328000004</v>
      </c>
      <c r="J45" s="148">
        <f t="shared" si="34"/>
        <v>222610.91328000004</v>
      </c>
      <c r="K45" s="148">
        <f t="shared" si="34"/>
        <v>222610.91328000004</v>
      </c>
      <c r="L45" s="148">
        <f t="shared" si="34"/>
        <v>222610.91328000004</v>
      </c>
      <c r="M45" s="148">
        <f t="shared" si="34"/>
        <v>222610.91328000004</v>
      </c>
      <c r="N45" s="148">
        <f t="shared" si="34"/>
        <v>222610.91328000004</v>
      </c>
      <c r="O45" s="148">
        <f t="shared" si="34"/>
        <v>222610.91328000004</v>
      </c>
      <c r="P45" s="148">
        <f t="shared" si="34"/>
        <v>222610.91328000004</v>
      </c>
      <c r="Q45" s="148">
        <f t="shared" si="34"/>
        <v>222610.91328000004</v>
      </c>
      <c r="R45" s="149">
        <f t="shared" si="34"/>
        <v>222610.91328000004</v>
      </c>
      <c r="S45" s="290"/>
    </row>
    <row r="46" spans="2:19" ht="15.75" thickBot="1">
      <c r="B46" s="159"/>
      <c r="C46" s="403" t="s">
        <v>310</v>
      </c>
      <c r="D46" s="403"/>
      <c r="E46" s="403"/>
      <c r="F46" s="403"/>
      <c r="G46" s="403"/>
      <c r="H46" s="403"/>
      <c r="I46" s="154">
        <f>'Orçamento do Custo do Serviço'!D61*12</f>
        <v>222610.91328000004</v>
      </c>
      <c r="J46" s="154">
        <f>I46</f>
        <v>222610.91328000004</v>
      </c>
      <c r="K46" s="154">
        <f>J46</f>
        <v>222610.91328000004</v>
      </c>
      <c r="L46" s="154">
        <f t="shared" ref="L46:P46" si="35">K46</f>
        <v>222610.91328000004</v>
      </c>
      <c r="M46" s="154">
        <f t="shared" si="35"/>
        <v>222610.91328000004</v>
      </c>
      <c r="N46" s="154">
        <f t="shared" si="35"/>
        <v>222610.91328000004</v>
      </c>
      <c r="O46" s="154">
        <f t="shared" si="35"/>
        <v>222610.91328000004</v>
      </c>
      <c r="P46" s="154">
        <f t="shared" si="35"/>
        <v>222610.91328000004</v>
      </c>
      <c r="Q46" s="154">
        <f>P46</f>
        <v>222610.91328000004</v>
      </c>
      <c r="R46" s="160">
        <f>Q46</f>
        <v>222610.91328000004</v>
      </c>
      <c r="S46" s="290"/>
    </row>
    <row r="47" spans="2:19" ht="15.75" thickBot="1">
      <c r="B47" s="401"/>
      <c r="C47" s="401"/>
      <c r="D47" s="401"/>
      <c r="E47" s="401"/>
      <c r="F47" s="401"/>
      <c r="G47" s="401"/>
      <c r="H47" s="401"/>
      <c r="I47" s="401"/>
      <c r="J47" s="401"/>
      <c r="K47" s="401"/>
      <c r="L47" s="401"/>
      <c r="M47" s="401"/>
      <c r="N47" s="401"/>
      <c r="O47" s="401"/>
      <c r="P47" s="401"/>
      <c r="Q47" s="401"/>
      <c r="R47" s="401"/>
      <c r="S47" s="290"/>
    </row>
    <row r="48" spans="2:19" ht="15.75" thickBot="1">
      <c r="B48" s="404" t="s">
        <v>311</v>
      </c>
      <c r="C48" s="404"/>
      <c r="D48" s="404"/>
      <c r="E48" s="404"/>
      <c r="F48" s="404"/>
      <c r="G48" s="404"/>
      <c r="H48" s="404"/>
      <c r="I48" s="155">
        <f t="shared" ref="I48:R48" si="36">I43-I46</f>
        <v>60096.756917866762</v>
      </c>
      <c r="J48" s="155">
        <f t="shared" si="36"/>
        <v>435861.55885066645</v>
      </c>
      <c r="K48" s="155">
        <f t="shared" si="36"/>
        <v>435861.55885066645</v>
      </c>
      <c r="L48" s="155">
        <f t="shared" si="36"/>
        <v>435861.55885066645</v>
      </c>
      <c r="M48" s="155">
        <f t="shared" si="36"/>
        <v>435861.55885066645</v>
      </c>
      <c r="N48" s="155">
        <f t="shared" si="36"/>
        <v>462000.04818399978</v>
      </c>
      <c r="O48" s="155">
        <f t="shared" si="36"/>
        <v>462000.04818399978</v>
      </c>
      <c r="P48" s="155">
        <f t="shared" si="36"/>
        <v>462000.04818399978</v>
      </c>
      <c r="Q48" s="155">
        <f t="shared" si="36"/>
        <v>462000.04818399978</v>
      </c>
      <c r="R48" s="164">
        <f t="shared" si="36"/>
        <v>462000.04818399978</v>
      </c>
      <c r="S48" s="290"/>
    </row>
    <row r="49" spans="1:19" ht="6.75" customHeight="1" thickBot="1">
      <c r="B49" s="401"/>
      <c r="C49" s="401"/>
      <c r="D49" s="401"/>
      <c r="E49" s="401"/>
      <c r="F49" s="401"/>
      <c r="G49" s="401"/>
      <c r="H49" s="401"/>
      <c r="I49" s="401"/>
      <c r="J49" s="401"/>
      <c r="K49" s="401"/>
      <c r="L49" s="401"/>
      <c r="M49" s="401"/>
      <c r="N49" s="401"/>
      <c r="O49" s="401"/>
      <c r="P49" s="401"/>
      <c r="Q49" s="401"/>
      <c r="R49" s="401"/>
      <c r="S49" s="290"/>
    </row>
    <row r="50" spans="1:19">
      <c r="B50" s="402" t="s">
        <v>312</v>
      </c>
      <c r="C50" s="402"/>
      <c r="D50" s="402"/>
      <c r="E50" s="402"/>
      <c r="F50" s="402"/>
      <c r="G50" s="402"/>
      <c r="H50" s="402"/>
      <c r="I50" s="242">
        <f t="shared" ref="I50:R50" si="37">SUM(I51:I53)</f>
        <v>177957.09982310398</v>
      </c>
      <c r="J50" s="242">
        <f t="shared" si="37"/>
        <v>217190.82147839997</v>
      </c>
      <c r="K50" s="242">
        <f t="shared" si="37"/>
        <v>217190.82147839997</v>
      </c>
      <c r="L50" s="242">
        <f t="shared" si="37"/>
        <v>217190.82147839997</v>
      </c>
      <c r="M50" s="242">
        <f t="shared" si="37"/>
        <v>217190.82147839997</v>
      </c>
      <c r="N50" s="242">
        <f t="shared" si="37"/>
        <v>217190.82147839997</v>
      </c>
      <c r="O50" s="242">
        <f t="shared" si="37"/>
        <v>217190.82147839997</v>
      </c>
      <c r="P50" s="242">
        <f t="shared" si="37"/>
        <v>217190.82147839997</v>
      </c>
      <c r="Q50" s="242">
        <f t="shared" si="37"/>
        <v>217190.82147839997</v>
      </c>
      <c r="R50" s="243">
        <f t="shared" si="37"/>
        <v>217190.82147839997</v>
      </c>
      <c r="S50" s="290"/>
    </row>
    <row r="51" spans="1:19" ht="15.75" thickBot="1">
      <c r="B51" s="405"/>
      <c r="C51" s="406" t="s">
        <v>313</v>
      </c>
      <c r="D51" s="406"/>
      <c r="E51" s="406"/>
      <c r="F51" s="406"/>
      <c r="G51" s="406"/>
      <c r="H51" s="153">
        <v>2.8799999999999999E-2</v>
      </c>
      <c r="I51" s="244">
        <f>($J$4*81.5%)*H51</f>
        <v>56794.819092479993</v>
      </c>
      <c r="J51" s="244">
        <f>($J$4*85%)*$H$51</f>
        <v>59233.860403199993</v>
      </c>
      <c r="K51" s="244">
        <f>($K$4*85%)*H$51</f>
        <v>59233.860403199993</v>
      </c>
      <c r="L51" s="244">
        <f>($L$4*85%)*$H51</f>
        <v>59233.860403199993</v>
      </c>
      <c r="M51" s="244">
        <f>($M$4*85%)*$H51</f>
        <v>59233.860403199993</v>
      </c>
      <c r="N51" s="244">
        <f>($N$4*85%)*$H51</f>
        <v>59233.860403199993</v>
      </c>
      <c r="O51" s="244">
        <f>($O$4*85%)*$H51</f>
        <v>59233.860403199993</v>
      </c>
      <c r="P51" s="244">
        <f>($P$4*85%)*$H51</f>
        <v>59233.860403199993</v>
      </c>
      <c r="Q51" s="244">
        <f>($Q$4*85%)*$H51</f>
        <v>59233.860403199993</v>
      </c>
      <c r="R51" s="245">
        <f>($R$4*85%)*$H51</f>
        <v>59233.860403199993</v>
      </c>
      <c r="S51" s="290"/>
    </row>
    <row r="52" spans="1:19" ht="15.75" thickBot="1">
      <c r="B52" s="405"/>
      <c r="C52" s="406" t="s">
        <v>314</v>
      </c>
      <c r="D52" s="406"/>
      <c r="E52" s="406"/>
      <c r="F52" s="406"/>
      <c r="G52" s="406"/>
      <c r="H52" s="153">
        <v>4.8000000000000001E-2</v>
      </c>
      <c r="I52" s="244">
        <f>(I4*81.5%)*H52</f>
        <v>75726.425456640005</v>
      </c>
      <c r="J52" s="244">
        <f>($J$4*85%)*$H$52</f>
        <v>98723.100671999986</v>
      </c>
      <c r="K52" s="244">
        <f>($K$4*85%)*H52</f>
        <v>98723.100671999986</v>
      </c>
      <c r="L52" s="244">
        <f>($L$4*85%)*$H52</f>
        <v>98723.100671999986</v>
      </c>
      <c r="M52" s="244">
        <f>($M$4*85%)*$H52</f>
        <v>98723.100671999986</v>
      </c>
      <c r="N52" s="244">
        <f t="shared" ref="N52:N53" si="38">($N$4*85%)*$H52</f>
        <v>98723.100671999986</v>
      </c>
      <c r="O52" s="244">
        <f t="shared" ref="O52:O53" si="39">($O$4*85%)*$H52</f>
        <v>98723.100671999986</v>
      </c>
      <c r="P52" s="244">
        <f t="shared" ref="P52:P53" si="40">($P$4*85%)*$H52</f>
        <v>98723.100671999986</v>
      </c>
      <c r="Q52" s="244">
        <f t="shared" ref="Q52:Q53" si="41">($Q$4*85%)*$H52</f>
        <v>98723.100671999986</v>
      </c>
      <c r="R52" s="245">
        <f>($R$4*85%)*$H52</f>
        <v>98723.100671999986</v>
      </c>
      <c r="S52" s="290"/>
    </row>
    <row r="53" spans="1:19" ht="15.75" thickBot="1">
      <c r="B53" s="405"/>
      <c r="C53" s="403" t="s">
        <v>315</v>
      </c>
      <c r="D53" s="403"/>
      <c r="E53" s="403"/>
      <c r="F53" s="403"/>
      <c r="G53" s="403"/>
      <c r="H53" s="241">
        <v>2.8799999999999999E-2</v>
      </c>
      <c r="I53" s="246">
        <f>(I4*81.5%)*H53</f>
        <v>45435.855273983994</v>
      </c>
      <c r="J53" s="246">
        <f>($J$4*85%)*$H$53</f>
        <v>59233.860403199993</v>
      </c>
      <c r="K53" s="246">
        <f>($K$4*85%)*H53</f>
        <v>59233.860403199993</v>
      </c>
      <c r="L53" s="246">
        <f>($L$4*85%)*$H53</f>
        <v>59233.860403199993</v>
      </c>
      <c r="M53" s="246">
        <f>($M$4*85%)*$H53</f>
        <v>59233.860403199993</v>
      </c>
      <c r="N53" s="246">
        <f t="shared" si="38"/>
        <v>59233.860403199993</v>
      </c>
      <c r="O53" s="246">
        <f t="shared" si="39"/>
        <v>59233.860403199993</v>
      </c>
      <c r="P53" s="246">
        <f t="shared" si="40"/>
        <v>59233.860403199993</v>
      </c>
      <c r="Q53" s="246">
        <f t="shared" si="41"/>
        <v>59233.860403199993</v>
      </c>
      <c r="R53" s="247">
        <f>($R$4*85%)*$H53</f>
        <v>59233.860403199993</v>
      </c>
      <c r="S53" s="290"/>
    </row>
    <row r="54" spans="1:19" ht="6.75" customHeight="1" thickBot="1">
      <c r="B54" s="401"/>
      <c r="C54" s="401"/>
      <c r="D54" s="401"/>
      <c r="E54" s="401"/>
      <c r="F54" s="401"/>
      <c r="G54" s="401"/>
      <c r="H54" s="401"/>
      <c r="I54" s="401"/>
      <c r="J54" s="401"/>
      <c r="K54" s="401"/>
      <c r="L54" s="401"/>
      <c r="M54" s="401"/>
      <c r="N54" s="401"/>
      <c r="O54" s="401"/>
      <c r="P54" s="401"/>
      <c r="Q54" s="401"/>
      <c r="R54" s="401"/>
      <c r="S54" s="290"/>
    </row>
    <row r="55" spans="1:19">
      <c r="B55" s="402" t="s">
        <v>316</v>
      </c>
      <c r="C55" s="402"/>
      <c r="D55" s="402"/>
      <c r="E55" s="402"/>
      <c r="F55" s="402"/>
      <c r="G55" s="402"/>
      <c r="H55" s="402"/>
      <c r="I55" s="148">
        <f t="shared" ref="I55:R55" si="42">I48-I50</f>
        <v>-117860.34290523722</v>
      </c>
      <c r="J55" s="148">
        <f t="shared" si="42"/>
        <v>218670.73737226648</v>
      </c>
      <c r="K55" s="148">
        <f t="shared" si="42"/>
        <v>218670.73737226648</v>
      </c>
      <c r="L55" s="148">
        <f t="shared" si="42"/>
        <v>218670.73737226648</v>
      </c>
      <c r="M55" s="148">
        <f t="shared" si="42"/>
        <v>218670.73737226648</v>
      </c>
      <c r="N55" s="148">
        <f t="shared" si="42"/>
        <v>244809.22670559981</v>
      </c>
      <c r="O55" s="148">
        <f t="shared" si="42"/>
        <v>244809.22670559981</v>
      </c>
      <c r="P55" s="148">
        <f t="shared" si="42"/>
        <v>244809.22670559981</v>
      </c>
      <c r="Q55" s="148">
        <f t="shared" si="42"/>
        <v>244809.22670559981</v>
      </c>
      <c r="R55" s="149">
        <f t="shared" si="42"/>
        <v>244809.22670559981</v>
      </c>
      <c r="S55" s="290"/>
    </row>
    <row r="56" spans="1:19" ht="15.75" thickBot="1">
      <c r="B56" s="159"/>
      <c r="C56" s="403" t="s">
        <v>317</v>
      </c>
      <c r="D56" s="403"/>
      <c r="E56" s="403"/>
      <c r="F56" s="403"/>
      <c r="G56" s="403"/>
      <c r="H56" s="403"/>
      <c r="I56" s="165">
        <f>I55/(I4*85%)</f>
        <v>-7.1630859709412437E-2</v>
      </c>
      <c r="J56" s="165">
        <f>J55/(J4*85%)</f>
        <v>0.10631954752658757</v>
      </c>
      <c r="K56" s="165">
        <f>K55/(K4*85%)</f>
        <v>0.10631954752658757</v>
      </c>
      <c r="L56" s="165">
        <f>L55/(L4*85%)</f>
        <v>0.10631954752658757</v>
      </c>
      <c r="M56" s="165">
        <f>M55/(M4*85%)</f>
        <v>0.10631954752658757</v>
      </c>
      <c r="N56" s="165">
        <f>N55/($N$4*85%)</f>
        <v>0.11902830038645236</v>
      </c>
      <c r="O56" s="165">
        <f>O55/(O4*85%)</f>
        <v>0.11902830038645236</v>
      </c>
      <c r="P56" s="165">
        <f>P55/(P4*85%)</f>
        <v>0.11902830038645236</v>
      </c>
      <c r="Q56" s="165">
        <f>Q55/(Q4*85%)</f>
        <v>0.11902830038645236</v>
      </c>
      <c r="R56" s="166">
        <f>R55/(R4*85%)</f>
        <v>0.11902830038645236</v>
      </c>
      <c r="S56" s="290"/>
    </row>
    <row r="57" spans="1:19">
      <c r="A57" s="303"/>
      <c r="B57" s="303"/>
      <c r="C57" s="303"/>
      <c r="D57" s="303"/>
      <c r="E57" s="303"/>
      <c r="F57" s="303"/>
      <c r="G57" s="303"/>
      <c r="H57" s="303"/>
      <c r="I57" s="303"/>
      <c r="J57" s="303"/>
      <c r="K57" s="303"/>
      <c r="L57" s="303"/>
      <c r="M57" s="303"/>
      <c r="N57" s="303"/>
      <c r="O57" s="303"/>
      <c r="P57" s="303"/>
      <c r="Q57" s="303"/>
      <c r="R57" s="303"/>
      <c r="S57" s="290"/>
    </row>
  </sheetData>
  <mergeCells count="63">
    <mergeCell ref="B2:R2"/>
    <mergeCell ref="B3:H3"/>
    <mergeCell ref="B4:H4"/>
    <mergeCell ref="B5:R5"/>
    <mergeCell ref="B6:H6"/>
    <mergeCell ref="B7:B11"/>
    <mergeCell ref="C7:G7"/>
    <mergeCell ref="C8:G8"/>
    <mergeCell ref="C9:G9"/>
    <mergeCell ref="C10:G10"/>
    <mergeCell ref="C11:G11"/>
    <mergeCell ref="B12:R12"/>
    <mergeCell ref="B13:H13"/>
    <mergeCell ref="B14:R14"/>
    <mergeCell ref="B15:R15"/>
    <mergeCell ref="B16:R16"/>
    <mergeCell ref="B17:H17"/>
    <mergeCell ref="B18:B20"/>
    <mergeCell ref="C18:H18"/>
    <mergeCell ref="C19:H19"/>
    <mergeCell ref="C20:H20"/>
    <mergeCell ref="B21:H21"/>
    <mergeCell ref="B22:B25"/>
    <mergeCell ref="C22:H22"/>
    <mergeCell ref="C23:H23"/>
    <mergeCell ref="C24:H24"/>
    <mergeCell ref="C25:H25"/>
    <mergeCell ref="B30:H30"/>
    <mergeCell ref="C31:H31"/>
    <mergeCell ref="B32:H32"/>
    <mergeCell ref="B26:H26"/>
    <mergeCell ref="B27:B29"/>
    <mergeCell ref="C27:H27"/>
    <mergeCell ref="C28:H28"/>
    <mergeCell ref="C29:H29"/>
    <mergeCell ref="C33:H33"/>
    <mergeCell ref="B34:R34"/>
    <mergeCell ref="B35:H35"/>
    <mergeCell ref="C36:H36"/>
    <mergeCell ref="B37:R37"/>
    <mergeCell ref="B45:H45"/>
    <mergeCell ref="C46:H46"/>
    <mergeCell ref="B38:H38"/>
    <mergeCell ref="B39:B41"/>
    <mergeCell ref="C39:H39"/>
    <mergeCell ref="C41:H41"/>
    <mergeCell ref="C40:H40"/>
    <mergeCell ref="A1:S1"/>
    <mergeCell ref="A57:R57"/>
    <mergeCell ref="B54:R54"/>
    <mergeCell ref="B55:H55"/>
    <mergeCell ref="C56:H56"/>
    <mergeCell ref="B47:R47"/>
    <mergeCell ref="B48:H48"/>
    <mergeCell ref="B49:R49"/>
    <mergeCell ref="B50:H50"/>
    <mergeCell ref="B51:B53"/>
    <mergeCell ref="C51:G51"/>
    <mergeCell ref="C52:G52"/>
    <mergeCell ref="C53:G53"/>
    <mergeCell ref="B42:H42"/>
    <mergeCell ref="B43:H43"/>
    <mergeCell ref="B44:R44"/>
  </mergeCells>
  <pageMargins left="0.32" right="0.23622047244094491" top="0.35433070866141736" bottom="0.31496062992125984" header="0.35433070866141736" footer="0.31496062992125984"/>
  <pageSetup paperSize="9" scale="91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1:Q33"/>
  <sheetViews>
    <sheetView tabSelected="1" topLeftCell="A11" zoomScale="130" zoomScaleNormal="130" zoomScaleSheetLayoutView="100" workbookViewId="0">
      <selection activeCell="N5" sqref="N5"/>
    </sheetView>
  </sheetViews>
  <sheetFormatPr defaultRowHeight="15"/>
  <cols>
    <col min="1" max="1" width="2.140625" customWidth="1"/>
    <col min="2" max="2" width="15.85546875" customWidth="1"/>
    <col min="3" max="3" width="12" customWidth="1"/>
    <col min="4" max="4" width="11.7109375" bestFit="1" customWidth="1"/>
    <col min="5" max="5" width="11.140625" customWidth="1"/>
    <col min="6" max="6" width="11.28515625" bestFit="1" customWidth="1"/>
    <col min="7" max="10" width="11" bestFit="1" customWidth="1"/>
    <col min="11" max="13" width="11.28515625" bestFit="1" customWidth="1"/>
    <col min="14" max="14" width="18" customWidth="1"/>
    <col min="15" max="15" width="11.7109375" customWidth="1"/>
    <col min="16" max="16" width="8.7109375" customWidth="1"/>
    <col min="17" max="17" width="17.140625" customWidth="1"/>
    <col min="18" max="1026" width="8.7109375" customWidth="1"/>
  </cols>
  <sheetData>
    <row r="1" spans="2:14" ht="8.25" customHeight="1" thickBot="1"/>
    <row r="2" spans="2:14" ht="21.75" thickBot="1">
      <c r="B2" s="418" t="s">
        <v>318</v>
      </c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</row>
    <row r="3" spans="2:14" s="81" customFormat="1" ht="11.25">
      <c r="B3" s="167"/>
      <c r="C3" s="168" t="s">
        <v>319</v>
      </c>
      <c r="D3" s="168" t="s">
        <v>47</v>
      </c>
      <c r="E3" s="168" t="s">
        <v>48</v>
      </c>
      <c r="F3" s="168" t="s">
        <v>49</v>
      </c>
      <c r="G3" s="168" t="s">
        <v>50</v>
      </c>
      <c r="H3" s="168" t="s">
        <v>51</v>
      </c>
      <c r="I3" s="168" t="s">
        <v>52</v>
      </c>
      <c r="J3" s="168" t="s">
        <v>53</v>
      </c>
      <c r="K3" s="168" t="s">
        <v>54</v>
      </c>
      <c r="L3" s="168" t="s">
        <v>55</v>
      </c>
      <c r="M3" s="169" t="s">
        <v>56</v>
      </c>
    </row>
    <row r="4" spans="2:14" s="81" customFormat="1" ht="12" thickBot="1">
      <c r="B4" s="170" t="s">
        <v>320</v>
      </c>
      <c r="C4" s="171">
        <v>0</v>
      </c>
      <c r="D4" s="171">
        <f>('Resultado Projetado'!I55)+(('Investimentos Iniciais'!F12+'Investimentos Iniciais'!F21+'Investimentos Iniciais'!F29+'Investimentos Iniciais'!F35)*-1)</f>
        <v>-1172805.959571904</v>
      </c>
      <c r="E4" s="171">
        <f>'Resultado Projetado'!J55</f>
        <v>218670.73737226648</v>
      </c>
      <c r="F4" s="171">
        <f>'Resultado Projetado'!K55</f>
        <v>218670.73737226648</v>
      </c>
      <c r="G4" s="171">
        <f>'Resultado Projetado'!L55</f>
        <v>218670.73737226648</v>
      </c>
      <c r="H4" s="171">
        <f>'Resultado Projetado'!M55</f>
        <v>218670.73737226648</v>
      </c>
      <c r="I4" s="171">
        <f>'Resultado Projetado'!N55</f>
        <v>244809.22670559981</v>
      </c>
      <c r="J4" s="171">
        <f>'Resultado Projetado'!O55</f>
        <v>244809.22670559981</v>
      </c>
      <c r="K4" s="171">
        <f>'Resultado Projetado'!P55</f>
        <v>244809.22670559981</v>
      </c>
      <c r="L4" s="171">
        <f>'Resultado Projetado'!Q55</f>
        <v>244809.22670559981</v>
      </c>
      <c r="M4" s="172">
        <f>'Resultado Projetado'!R55</f>
        <v>244809.22670559981</v>
      </c>
    </row>
    <row r="5" spans="2:14" s="81" customFormat="1" ht="12" thickBot="1"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</row>
    <row r="6" spans="2:14" s="81" customFormat="1" ht="12" thickBot="1">
      <c r="B6" s="419" t="s">
        <v>321</v>
      </c>
      <c r="C6" s="174" t="s">
        <v>319</v>
      </c>
      <c r="D6" s="168" t="s">
        <v>47</v>
      </c>
      <c r="E6" s="168" t="s">
        <v>48</v>
      </c>
      <c r="F6" s="168" t="s">
        <v>49</v>
      </c>
      <c r="G6" s="168" t="s">
        <v>50</v>
      </c>
      <c r="H6" s="168" t="s">
        <v>51</v>
      </c>
      <c r="I6" s="168" t="s">
        <v>52</v>
      </c>
      <c r="J6" s="168" t="s">
        <v>53</v>
      </c>
      <c r="K6" s="168" t="s">
        <v>54</v>
      </c>
      <c r="L6" s="168" t="s">
        <v>55</v>
      </c>
      <c r="M6" s="169" t="s">
        <v>56</v>
      </c>
    </row>
    <row r="7" spans="2:14" s="81" customFormat="1" ht="12" thickBot="1">
      <c r="B7" s="419"/>
      <c r="C7" s="175"/>
      <c r="D7" s="176">
        <f>('Resultado Projetado'!I55)+(('Investimentos Iniciais'!F12+'Investimentos Iniciais'!F21+'Investimentos Iniciais'!F29+'Investimentos Iniciais'!F35)*-1)</f>
        <v>-1172805.959571904</v>
      </c>
      <c r="E7" s="176">
        <f t="shared" ref="E7:M7" si="0">E4</f>
        <v>218670.73737226648</v>
      </c>
      <c r="F7" s="176">
        <f t="shared" si="0"/>
        <v>218670.73737226648</v>
      </c>
      <c r="G7" s="176">
        <f t="shared" si="0"/>
        <v>218670.73737226648</v>
      </c>
      <c r="H7" s="176">
        <f t="shared" si="0"/>
        <v>218670.73737226648</v>
      </c>
      <c r="I7" s="176">
        <f t="shared" si="0"/>
        <v>244809.22670559981</v>
      </c>
      <c r="J7" s="176">
        <f t="shared" si="0"/>
        <v>244809.22670559981</v>
      </c>
      <c r="K7" s="176">
        <f t="shared" si="0"/>
        <v>244809.22670559981</v>
      </c>
      <c r="L7" s="176">
        <f t="shared" si="0"/>
        <v>244809.22670559981</v>
      </c>
      <c r="M7" s="177">
        <f t="shared" si="0"/>
        <v>244809.22670559981</v>
      </c>
    </row>
    <row r="8" spans="2:14" s="81" customFormat="1" ht="11.25">
      <c r="B8" s="419"/>
      <c r="C8" s="178" t="s">
        <v>322</v>
      </c>
      <c r="D8" s="176">
        <f>D7/1.1006^1</f>
        <v>-1065605.9963400909</v>
      </c>
      <c r="E8" s="176">
        <f>E7/1.1006^2</f>
        <v>180522.63017544465</v>
      </c>
      <c r="F8" s="176">
        <f>F7/1.1006^3</f>
        <v>164022.01542380941</v>
      </c>
      <c r="G8" s="176">
        <f>G7/1.1006^4</f>
        <v>149029.63422116067</v>
      </c>
      <c r="H8" s="176">
        <f>H7/1.1006^5</f>
        <v>135407.62694999151</v>
      </c>
      <c r="I8" s="176">
        <f>I7/1.1006^6</f>
        <v>137737.03541821739</v>
      </c>
      <c r="J8" s="176">
        <f>J7/1.1006^7</f>
        <v>125147.22462131327</v>
      </c>
      <c r="K8" s="176">
        <f>K7/1.1006^8</f>
        <v>113708.18155670841</v>
      </c>
      <c r="L8" s="176">
        <f>L7/1.1006^9</f>
        <v>103314.72065846666</v>
      </c>
      <c r="M8" s="177">
        <f>M7/1.1006^10</f>
        <v>93871.2708145254</v>
      </c>
      <c r="N8" s="136"/>
    </row>
    <row r="9" spans="2:14" s="81" customFormat="1" ht="12" thickBot="1">
      <c r="B9" s="179" t="s">
        <v>323</v>
      </c>
      <c r="C9" s="180">
        <f>D8+NPV(12.06%,E8:M9)</f>
        <v>-314491.21009747148</v>
      </c>
      <c r="D9" s="301"/>
      <c r="E9" s="301"/>
      <c r="F9" s="301"/>
      <c r="G9" s="301"/>
      <c r="H9" s="301"/>
      <c r="I9" s="301"/>
      <c r="J9" s="301"/>
      <c r="K9" s="301"/>
      <c r="L9" s="301"/>
      <c r="M9" s="302"/>
    </row>
    <row r="10" spans="2:14" s="81" customFormat="1" ht="11.25">
      <c r="B10" s="183"/>
      <c r="C10" s="184"/>
      <c r="D10" s="173"/>
      <c r="E10" s="173"/>
      <c r="F10" s="173"/>
      <c r="G10" s="173"/>
      <c r="H10" s="173"/>
      <c r="I10" s="173"/>
      <c r="J10" s="173"/>
      <c r="K10" s="173"/>
      <c r="L10" s="173"/>
      <c r="M10" s="173"/>
    </row>
    <row r="11" spans="2:14" s="81" customFormat="1" ht="11.25">
      <c r="B11" s="185" t="s">
        <v>486</v>
      </c>
      <c r="C11" s="186">
        <f>IRR(D4:M4)</f>
        <v>0.13127386914933017</v>
      </c>
      <c r="D11" s="187"/>
      <c r="E11" s="173"/>
      <c r="F11" s="173"/>
      <c r="G11" s="173"/>
      <c r="H11" s="277"/>
      <c r="I11" s="173"/>
      <c r="J11" s="274"/>
      <c r="K11" s="173"/>
      <c r="L11" s="274"/>
      <c r="M11" s="173"/>
    </row>
    <row r="12" spans="2:14" s="81" customFormat="1" ht="11.25">
      <c r="B12" s="188" t="s">
        <v>324</v>
      </c>
      <c r="C12" s="189">
        <f>MIRR(D7:M8,0.1006,0.1006)</f>
        <v>0.10244006542723372</v>
      </c>
      <c r="D12" s="173"/>
      <c r="E12" s="274"/>
      <c r="F12" s="274"/>
      <c r="G12" s="274"/>
      <c r="H12" s="274"/>
      <c r="J12" s="274"/>
      <c r="K12" s="173"/>
      <c r="L12" s="173"/>
      <c r="M12" s="173"/>
    </row>
    <row r="13" spans="2:14" s="81" customFormat="1" ht="11.25">
      <c r="B13" s="185" t="s">
        <v>325</v>
      </c>
      <c r="C13" s="190">
        <v>6.78</v>
      </c>
      <c r="D13" s="191">
        <f>D7</f>
        <v>-1172805.959571904</v>
      </c>
      <c r="E13" s="191">
        <f>D13+E7</f>
        <v>-954135.22219963756</v>
      </c>
      <c r="F13" s="191">
        <f>E13+F7</f>
        <v>-735464.48482737108</v>
      </c>
      <c r="G13" s="191">
        <f>F13+G7</f>
        <v>-516793.7474551046</v>
      </c>
      <c r="H13" s="191">
        <f>G13+H7</f>
        <v>-298123.01008283813</v>
      </c>
      <c r="I13" s="191">
        <f t="shared" ref="I13:J13" si="1">H13+I7</f>
        <v>-53313.783377238316</v>
      </c>
      <c r="J13" s="191">
        <f t="shared" si="1"/>
        <v>191495.44332836149</v>
      </c>
      <c r="K13" s="191"/>
      <c r="L13" s="191"/>
      <c r="M13" s="191"/>
    </row>
    <row r="14" spans="2:14" s="81" customFormat="1" ht="11.25">
      <c r="B14" s="287"/>
      <c r="C14" s="285"/>
      <c r="D14" s="286"/>
      <c r="E14" s="286"/>
      <c r="F14" s="286"/>
      <c r="G14" s="286"/>
      <c r="H14" s="286"/>
      <c r="I14" s="284"/>
      <c r="J14" s="274"/>
      <c r="K14" s="173"/>
      <c r="L14" s="173"/>
      <c r="M14" s="173"/>
    </row>
    <row r="15" spans="2:14" s="81" customFormat="1" ht="12" thickBot="1">
      <c r="B15" s="173"/>
      <c r="C15" s="192"/>
      <c r="D15" s="173"/>
      <c r="E15" s="173"/>
      <c r="F15" s="173"/>
      <c r="G15" s="173"/>
      <c r="H15" s="173"/>
      <c r="I15" s="173"/>
      <c r="J15" s="173"/>
      <c r="K15" s="173"/>
      <c r="L15" s="173"/>
      <c r="M15" s="173"/>
    </row>
    <row r="16" spans="2:14" s="81" customFormat="1" ht="12" thickBot="1">
      <c r="B16" s="420" t="s">
        <v>326</v>
      </c>
      <c r="C16" s="168" t="s">
        <v>319</v>
      </c>
      <c r="D16" s="168" t="s">
        <v>47</v>
      </c>
      <c r="E16" s="168" t="s">
        <v>48</v>
      </c>
      <c r="F16" s="168" t="s">
        <v>49</v>
      </c>
      <c r="G16" s="168" t="s">
        <v>50</v>
      </c>
      <c r="H16" s="168" t="s">
        <v>51</v>
      </c>
      <c r="I16" s="168" t="s">
        <v>52</v>
      </c>
      <c r="J16" s="168" t="s">
        <v>53</v>
      </c>
      <c r="K16" s="168" t="s">
        <v>54</v>
      </c>
      <c r="L16" s="168" t="s">
        <v>55</v>
      </c>
      <c r="M16" s="169" t="s">
        <v>56</v>
      </c>
    </row>
    <row r="17" spans="2:17" s="81" customFormat="1" ht="12" thickBot="1">
      <c r="B17" s="420"/>
      <c r="C17" s="176"/>
      <c r="D17" s="176">
        <f t="shared" ref="D17:M18" si="2">D7</f>
        <v>-1172805.959571904</v>
      </c>
      <c r="E17" s="176">
        <f t="shared" si="2"/>
        <v>218670.73737226648</v>
      </c>
      <c r="F17" s="176">
        <f t="shared" si="2"/>
        <v>218670.73737226648</v>
      </c>
      <c r="G17" s="176">
        <f t="shared" si="2"/>
        <v>218670.73737226648</v>
      </c>
      <c r="H17" s="176">
        <f t="shared" si="2"/>
        <v>218670.73737226648</v>
      </c>
      <c r="I17" s="176">
        <f t="shared" si="2"/>
        <v>244809.22670559981</v>
      </c>
      <c r="J17" s="176">
        <f t="shared" si="2"/>
        <v>244809.22670559981</v>
      </c>
      <c r="K17" s="176">
        <f t="shared" si="2"/>
        <v>244809.22670559981</v>
      </c>
      <c r="L17" s="176">
        <f t="shared" si="2"/>
        <v>244809.22670559981</v>
      </c>
      <c r="M17" s="177">
        <f t="shared" si="2"/>
        <v>244809.22670559981</v>
      </c>
    </row>
    <row r="18" spans="2:17" s="81" customFormat="1" ht="12" thickBot="1">
      <c r="B18" s="420"/>
      <c r="C18" s="193"/>
      <c r="D18" s="176">
        <f t="shared" si="2"/>
        <v>-1065605.9963400909</v>
      </c>
      <c r="E18" s="176">
        <f t="shared" si="2"/>
        <v>180522.63017544465</v>
      </c>
      <c r="F18" s="176">
        <f t="shared" si="2"/>
        <v>164022.01542380941</v>
      </c>
      <c r="G18" s="176">
        <f t="shared" si="2"/>
        <v>149029.63422116067</v>
      </c>
      <c r="H18" s="176">
        <f t="shared" si="2"/>
        <v>135407.62694999151</v>
      </c>
      <c r="I18" s="176">
        <f t="shared" si="2"/>
        <v>137737.03541821739</v>
      </c>
      <c r="J18" s="176">
        <f>J8</f>
        <v>125147.22462131327</v>
      </c>
      <c r="K18" s="176">
        <f>K8</f>
        <v>113708.18155670841</v>
      </c>
      <c r="L18" s="176">
        <f>L8</f>
        <v>103314.72065846666</v>
      </c>
      <c r="M18" s="177">
        <f>M8</f>
        <v>93871.2708145254</v>
      </c>
    </row>
    <row r="19" spans="2:17" s="81" customFormat="1" ht="12" thickBot="1">
      <c r="B19" s="420"/>
      <c r="C19" s="193"/>
      <c r="D19" s="176">
        <f>$D$18</f>
        <v>-1065605.9963400909</v>
      </c>
      <c r="E19" s="176">
        <f>D19+E18</f>
        <v>-885083.36616464623</v>
      </c>
      <c r="F19" s="176">
        <f t="shared" ref="F19:M19" si="3">E19+F18</f>
        <v>-721061.35074083682</v>
      </c>
      <c r="G19" s="176">
        <f t="shared" si="3"/>
        <v>-572031.71651967615</v>
      </c>
      <c r="H19" s="176">
        <f t="shared" si="3"/>
        <v>-436624.08956968464</v>
      </c>
      <c r="I19" s="176">
        <f t="shared" si="3"/>
        <v>-298887.05415146728</v>
      </c>
      <c r="J19" s="176">
        <f t="shared" si="3"/>
        <v>-173739.82953015401</v>
      </c>
      <c r="K19" s="176">
        <f t="shared" si="3"/>
        <v>-60031.647973445593</v>
      </c>
      <c r="L19" s="176">
        <f t="shared" si="3"/>
        <v>43283.072685021063</v>
      </c>
      <c r="M19" s="177">
        <f t="shared" si="3"/>
        <v>137154.34349954646</v>
      </c>
    </row>
    <row r="20" spans="2:17" s="81" customFormat="1" ht="12" thickBot="1">
      <c r="B20" s="420"/>
      <c r="C20" s="194" t="s">
        <v>490</v>
      </c>
      <c r="D20" s="181"/>
      <c r="E20" s="181"/>
      <c r="F20" s="181"/>
      <c r="G20" s="181"/>
      <c r="H20" s="181"/>
      <c r="I20" s="181"/>
      <c r="J20" s="276"/>
      <c r="K20" s="181"/>
      <c r="L20" s="181"/>
      <c r="M20" s="182"/>
    </row>
    <row r="21" spans="2:17" s="81" customFormat="1" ht="11.25"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274"/>
      <c r="M21" s="173"/>
    </row>
    <row r="22" spans="2:17" s="81" customFormat="1" ht="12" thickBot="1"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</row>
    <row r="23" spans="2:17" s="81" customFormat="1" ht="15.75" customHeight="1" thickBot="1">
      <c r="B23" s="421" t="s">
        <v>330</v>
      </c>
      <c r="C23" s="174" t="s">
        <v>319</v>
      </c>
      <c r="D23" s="168" t="s">
        <v>47</v>
      </c>
      <c r="E23" s="168" t="s">
        <v>48</v>
      </c>
      <c r="F23" s="168" t="s">
        <v>49</v>
      </c>
      <c r="G23" s="168" t="s">
        <v>50</v>
      </c>
      <c r="H23" s="168" t="s">
        <v>51</v>
      </c>
      <c r="I23" s="168" t="s">
        <v>52</v>
      </c>
      <c r="J23" s="168" t="s">
        <v>53</v>
      </c>
      <c r="K23" s="168" t="s">
        <v>54</v>
      </c>
      <c r="L23" s="168" t="s">
        <v>55</v>
      </c>
      <c r="M23" s="169" t="s">
        <v>56</v>
      </c>
    </row>
    <row r="24" spans="2:17" s="81" customFormat="1" ht="12" thickBot="1">
      <c r="B24" s="421"/>
      <c r="C24" s="175">
        <f>C4</f>
        <v>0</v>
      </c>
      <c r="D24" s="176">
        <f t="shared" ref="D24:M24" si="4">D4</f>
        <v>-1172805.959571904</v>
      </c>
      <c r="E24" s="176">
        <f t="shared" si="4"/>
        <v>218670.73737226648</v>
      </c>
      <c r="F24" s="176">
        <f t="shared" si="4"/>
        <v>218670.73737226648</v>
      </c>
      <c r="G24" s="176">
        <f t="shared" si="4"/>
        <v>218670.73737226648</v>
      </c>
      <c r="H24" s="176">
        <f t="shared" si="4"/>
        <v>218670.73737226648</v>
      </c>
      <c r="I24" s="176">
        <f t="shared" si="4"/>
        <v>244809.22670559981</v>
      </c>
      <c r="J24" s="176">
        <f t="shared" si="4"/>
        <v>244809.22670559981</v>
      </c>
      <c r="K24" s="176">
        <f t="shared" si="4"/>
        <v>244809.22670559981</v>
      </c>
      <c r="L24" s="176">
        <f t="shared" si="4"/>
        <v>244809.22670559981</v>
      </c>
      <c r="M24" s="177">
        <f t="shared" si="4"/>
        <v>244809.22670559981</v>
      </c>
    </row>
    <row r="25" spans="2:17" s="81" customFormat="1" ht="11.25">
      <c r="B25" s="421"/>
      <c r="C25" s="178" t="s">
        <v>322</v>
      </c>
      <c r="D25" s="176">
        <f>D24/(1+$C$11)</f>
        <v>-1036712.6754671742</v>
      </c>
      <c r="E25" s="176">
        <f>E24/(1+$C$11)^2</f>
        <v>170865.80544149861</v>
      </c>
      <c r="F25" s="176">
        <f>F24/(1+$C$11)^3</f>
        <v>151038.40909008391</v>
      </c>
      <c r="G25" s="176">
        <f>G24/(1+$C$11)^4</f>
        <v>133511.79869792127</v>
      </c>
      <c r="H25" s="176">
        <f>H24/(1+$C$11)^5</f>
        <v>118018.9893348429</v>
      </c>
      <c r="I25" s="176">
        <f>I24/(1+$C$11)^6</f>
        <v>116794.1924588734</v>
      </c>
      <c r="J25" s="176">
        <f>J24/(1+$C$11)^7</f>
        <v>103241.30667554236</v>
      </c>
      <c r="K25" s="176">
        <f>K24/(1+$C$11)^8</f>
        <v>91261.107934169326</v>
      </c>
      <c r="L25" s="176">
        <f>L24/(1+$C$11)^9</f>
        <v>80671.100449614183</v>
      </c>
      <c r="M25" s="177">
        <f>M24/(1+$C$11)^10</f>
        <v>71309.96538466448</v>
      </c>
      <c r="N25" s="136"/>
      <c r="O25" s="136"/>
      <c r="P25" s="136"/>
      <c r="Q25" s="136"/>
    </row>
    <row r="26" spans="2:17" s="81" customFormat="1" ht="12" thickBot="1">
      <c r="B26" s="179" t="s">
        <v>323</v>
      </c>
      <c r="C26" s="180">
        <f>D24+NPV($C$11,D24:M24)</f>
        <v>-1172805.9595718677</v>
      </c>
      <c r="D26" s="181"/>
      <c r="E26" s="181"/>
      <c r="F26" s="181"/>
      <c r="G26" s="181"/>
      <c r="H26" s="181"/>
      <c r="I26" s="181"/>
      <c r="J26" s="181"/>
      <c r="K26" s="181"/>
      <c r="L26" s="181"/>
      <c r="M26" s="182"/>
      <c r="O26" s="137"/>
    </row>
    <row r="27" spans="2:17" s="81" customFormat="1" ht="11.25"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</row>
    <row r="28" spans="2:17" s="81" customFormat="1" ht="11.25">
      <c r="B28" s="195" t="s">
        <v>327</v>
      </c>
      <c r="C28" s="173"/>
      <c r="D28" s="173"/>
      <c r="E28" s="187"/>
      <c r="F28" s="196"/>
      <c r="G28" s="173"/>
      <c r="H28" s="173"/>
      <c r="I28" s="173"/>
      <c r="J28" s="173"/>
      <c r="K28" s="173"/>
      <c r="L28" s="173"/>
      <c r="M28" s="173"/>
    </row>
    <row r="29" spans="2:17" s="81" customFormat="1" ht="11.25">
      <c r="B29" s="422" t="s">
        <v>328</v>
      </c>
      <c r="C29" s="422"/>
      <c r="D29" s="300">
        <v>0.10059999999999999</v>
      </c>
      <c r="E29" s="187"/>
      <c r="F29" s="196"/>
      <c r="G29" s="173"/>
      <c r="H29" s="173"/>
      <c r="I29" s="173"/>
      <c r="J29" s="173"/>
      <c r="K29" s="173"/>
      <c r="L29" s="173"/>
      <c r="M29" s="173"/>
    </row>
    <row r="30" spans="2:17" s="81" customFormat="1" ht="11.25">
      <c r="B30" s="414" t="s">
        <v>473</v>
      </c>
      <c r="C30" s="414"/>
      <c r="D30" s="414"/>
      <c r="E30" s="173"/>
      <c r="F30" s="196"/>
      <c r="G30" s="173"/>
      <c r="H30" s="173"/>
      <c r="I30" s="173"/>
      <c r="J30" s="173"/>
      <c r="K30" s="173"/>
      <c r="L30" s="173"/>
      <c r="M30" s="173"/>
    </row>
    <row r="31" spans="2:17" s="81" customFormat="1" ht="15" customHeight="1">
      <c r="B31" s="415" t="s">
        <v>488</v>
      </c>
      <c r="C31" s="416"/>
      <c r="D31" s="416"/>
      <c r="E31" s="416"/>
      <c r="F31" s="196"/>
      <c r="G31" s="275"/>
      <c r="H31" s="173"/>
      <c r="I31" s="173"/>
      <c r="J31" s="173"/>
      <c r="K31" s="173"/>
      <c r="L31" s="173"/>
      <c r="M31" s="173"/>
    </row>
    <row r="32" spans="2:17" s="81" customFormat="1" ht="11.25">
      <c r="B32" s="173"/>
      <c r="C32" s="173"/>
      <c r="D32" s="173"/>
      <c r="E32" s="173"/>
      <c r="F32" s="196"/>
      <c r="G32" s="173"/>
      <c r="H32" s="173"/>
      <c r="I32" s="173"/>
      <c r="J32" s="173"/>
      <c r="K32" s="173"/>
      <c r="L32" s="173"/>
      <c r="M32" s="173"/>
    </row>
    <row r="33" spans="2:13" s="81" customFormat="1" ht="11.25">
      <c r="B33" s="282" t="s">
        <v>329</v>
      </c>
      <c r="C33" s="283" t="s">
        <v>487</v>
      </c>
      <c r="D33" s="417">
        <f>C11/12.06%-1</f>
        <v>8.8506377689304916E-2</v>
      </c>
      <c r="E33" s="417"/>
      <c r="F33" s="417"/>
      <c r="G33" s="417"/>
      <c r="H33" s="417"/>
      <c r="I33" s="417"/>
      <c r="J33" s="417"/>
      <c r="K33" s="417"/>
      <c r="L33" s="417"/>
      <c r="M33" s="417"/>
    </row>
  </sheetData>
  <mergeCells count="8">
    <mergeCell ref="B30:D30"/>
    <mergeCell ref="B31:E31"/>
    <mergeCell ref="D33:M33"/>
    <mergeCell ref="B2:M2"/>
    <mergeCell ref="B6:B8"/>
    <mergeCell ref="B16:B20"/>
    <mergeCell ref="B23:B25"/>
    <mergeCell ref="B29:C29"/>
  </mergeCells>
  <hyperlinks>
    <hyperlink ref="B31" r:id="rId1"/>
  </hyperlinks>
  <pageMargins left="0.51180555555555496" right="0.51180555555555496" top="0.78749999999999998" bottom="0.78749999999999998" header="0.51180555555555496" footer="0.51180555555555496"/>
  <pageSetup paperSize="9" scale="49" firstPageNumber="0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7"/>
  <sheetViews>
    <sheetView topLeftCell="A40" zoomScale="80" zoomScaleNormal="80" workbookViewId="0">
      <selection activeCell="L59" sqref="L59"/>
    </sheetView>
  </sheetViews>
  <sheetFormatPr defaultRowHeight="15"/>
  <cols>
    <col min="1" max="1" width="3.85546875" customWidth="1"/>
    <col min="2" max="2" width="9.7109375" customWidth="1"/>
    <col min="3" max="3" width="58.28515625" customWidth="1"/>
    <col min="4" max="4" width="15.85546875" customWidth="1"/>
    <col min="5" max="5" width="16.7109375" customWidth="1"/>
    <col min="6" max="6" width="14.28515625" customWidth="1"/>
    <col min="7" max="7" width="26.28515625" customWidth="1"/>
    <col min="8" max="15" width="8.7109375" customWidth="1"/>
    <col min="16" max="16" width="10.7109375" customWidth="1"/>
    <col min="17" max="1026" width="8.7109375" customWidth="1"/>
  </cols>
  <sheetData>
    <row r="1" spans="1:8">
      <c r="A1" s="303"/>
      <c r="B1" s="303"/>
      <c r="C1" s="303"/>
      <c r="D1" s="303"/>
      <c r="E1" s="303"/>
      <c r="F1" s="303"/>
      <c r="G1" s="303"/>
      <c r="H1" s="303"/>
    </row>
    <row r="2" spans="1:8" ht="21.75" thickBot="1">
      <c r="A2" s="303"/>
      <c r="B2" s="326" t="s">
        <v>0</v>
      </c>
      <c r="C2" s="327"/>
      <c r="D2" s="327"/>
      <c r="E2" s="327"/>
      <c r="F2" s="327"/>
      <c r="G2" s="327"/>
      <c r="H2" s="303"/>
    </row>
    <row r="3" spans="1:8" ht="15.75" thickBot="1">
      <c r="A3" s="303"/>
      <c r="B3" s="328" t="s">
        <v>1</v>
      </c>
      <c r="C3" s="328"/>
      <c r="D3" s="328"/>
      <c r="E3" s="328"/>
      <c r="F3" s="328"/>
      <c r="G3" s="328"/>
      <c r="H3" s="303"/>
    </row>
    <row r="4" spans="1:8" ht="15.75" thickBot="1">
      <c r="A4" s="303"/>
      <c r="B4" s="324" t="s">
        <v>2</v>
      </c>
      <c r="C4" s="324"/>
      <c r="D4" s="324"/>
      <c r="E4" s="324"/>
      <c r="F4" s="324"/>
      <c r="H4" s="303"/>
    </row>
    <row r="5" spans="1:8" ht="15.75" thickBot="1">
      <c r="A5" s="303"/>
      <c r="B5" s="1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4" t="s">
        <v>8</v>
      </c>
      <c r="H5" s="303"/>
    </row>
    <row r="6" spans="1:8" ht="15.75" thickBot="1">
      <c r="A6" s="303"/>
      <c r="B6" s="5"/>
      <c r="C6" s="323" t="s">
        <v>9</v>
      </c>
      <c r="D6" s="323"/>
      <c r="E6" s="323"/>
      <c r="F6" s="323"/>
      <c r="G6" s="323"/>
      <c r="H6" s="303"/>
    </row>
    <row r="7" spans="1:8">
      <c r="A7" s="303"/>
      <c r="B7" s="6">
        <v>12</v>
      </c>
      <c r="C7" s="69" t="s">
        <v>435</v>
      </c>
      <c r="D7" s="8">
        <v>1450</v>
      </c>
      <c r="E7" s="7">
        <v>1.7414000000000001</v>
      </c>
      <c r="F7" s="9">
        <f>B7*D7*E7</f>
        <v>30300.36</v>
      </c>
      <c r="G7" s="11" t="s">
        <v>10</v>
      </c>
      <c r="H7" s="303"/>
    </row>
    <row r="8" spans="1:8" ht="15.75" thickBot="1">
      <c r="A8" s="303"/>
      <c r="B8" s="12"/>
      <c r="C8" s="12"/>
      <c r="D8" s="12"/>
      <c r="E8" s="12"/>
      <c r="F8" s="12"/>
      <c r="H8" s="303"/>
    </row>
    <row r="9" spans="1:8" ht="15.75" thickBot="1">
      <c r="A9" s="303"/>
      <c r="B9" s="5"/>
      <c r="C9" s="323" t="s">
        <v>11</v>
      </c>
      <c r="D9" s="323"/>
      <c r="E9" s="323"/>
      <c r="F9" s="323"/>
      <c r="G9" s="323"/>
      <c r="H9" s="303"/>
    </row>
    <row r="10" spans="1:8">
      <c r="A10" s="303"/>
      <c r="B10" s="6">
        <v>1</v>
      </c>
      <c r="C10" s="69" t="s">
        <v>332</v>
      </c>
      <c r="D10" s="8">
        <v>2500</v>
      </c>
      <c r="E10" s="13">
        <v>1.7414000000000001</v>
      </c>
      <c r="F10" s="9">
        <f t="shared" ref="F10:F11" si="0">B10*D10*E10</f>
        <v>4353.5</v>
      </c>
      <c r="G10" s="10" t="s">
        <v>10</v>
      </c>
      <c r="H10" s="303"/>
    </row>
    <row r="11" spans="1:8">
      <c r="A11" s="303"/>
      <c r="B11" s="14">
        <v>2</v>
      </c>
      <c r="C11" s="27" t="s">
        <v>333</v>
      </c>
      <c r="D11" s="16">
        <v>1600</v>
      </c>
      <c r="E11" s="13">
        <v>1.7414000000000001</v>
      </c>
      <c r="F11" s="9">
        <f t="shared" si="0"/>
        <v>5572.4800000000005</v>
      </c>
      <c r="G11" s="11" t="s">
        <v>10</v>
      </c>
      <c r="H11" s="303"/>
    </row>
    <row r="12" spans="1:8" ht="15.75" thickBot="1">
      <c r="A12" s="303"/>
      <c r="B12" s="12"/>
      <c r="C12" s="12"/>
      <c r="D12" s="12"/>
      <c r="E12" s="12"/>
      <c r="F12" s="12"/>
      <c r="H12" s="303"/>
    </row>
    <row r="13" spans="1:8" ht="15.75" thickBot="1">
      <c r="A13" s="303"/>
      <c r="B13" s="5"/>
      <c r="C13" s="322" t="s">
        <v>334</v>
      </c>
      <c r="D13" s="323"/>
      <c r="E13" s="323"/>
      <c r="F13" s="323"/>
      <c r="G13" s="323"/>
      <c r="H13" s="303"/>
    </row>
    <row r="14" spans="1:8">
      <c r="A14" s="303"/>
      <c r="B14" s="10">
        <v>1</v>
      </c>
      <c r="C14" s="69" t="s">
        <v>335</v>
      </c>
      <c r="D14" s="8">
        <v>2000</v>
      </c>
      <c r="E14" s="13">
        <v>1.7414000000000001</v>
      </c>
      <c r="F14" s="9">
        <f>B14*D14*E14</f>
        <v>3482.8</v>
      </c>
      <c r="G14" s="10" t="s">
        <v>10</v>
      </c>
      <c r="H14" s="303"/>
    </row>
    <row r="15" spans="1:8" ht="15.75" thickBot="1">
      <c r="A15" s="303"/>
      <c r="H15" s="303"/>
    </row>
    <row r="16" spans="1:8" ht="15.75" thickBot="1">
      <c r="A16" s="303"/>
      <c r="B16" s="324" t="s">
        <v>12</v>
      </c>
      <c r="C16" s="324"/>
      <c r="D16" s="324"/>
      <c r="E16" s="324"/>
      <c r="F16" s="324"/>
      <c r="G16" s="324"/>
      <c r="H16" s="303"/>
    </row>
    <row r="17" spans="1:8" ht="15.75" thickBot="1">
      <c r="A17" s="303"/>
      <c r="B17" s="1" t="s">
        <v>3</v>
      </c>
      <c r="C17" s="2" t="s">
        <v>4</v>
      </c>
      <c r="D17" s="2" t="s">
        <v>13</v>
      </c>
      <c r="E17" s="2" t="s">
        <v>14</v>
      </c>
      <c r="F17" s="3" t="s">
        <v>7</v>
      </c>
      <c r="G17" s="4" t="s">
        <v>8</v>
      </c>
      <c r="H17" s="303"/>
    </row>
    <row r="18" spans="1:8" ht="15.75" thickBot="1">
      <c r="A18" s="303"/>
      <c r="B18" s="5"/>
      <c r="C18" s="323" t="s">
        <v>15</v>
      </c>
      <c r="D18" s="323"/>
      <c r="E18" s="323"/>
      <c r="F18" s="323"/>
      <c r="G18" s="323"/>
      <c r="H18" s="303"/>
    </row>
    <row r="19" spans="1:8">
      <c r="A19" s="303"/>
      <c r="B19" s="7">
        <v>12</v>
      </c>
      <c r="C19" s="7" t="s">
        <v>16</v>
      </c>
      <c r="D19" s="8">
        <f>15*26</f>
        <v>390</v>
      </c>
      <c r="E19" s="7"/>
      <c r="F19" s="9">
        <f>B19*D19</f>
        <v>4680</v>
      </c>
      <c r="G19" s="10" t="s">
        <v>10</v>
      </c>
      <c r="H19" s="303"/>
    </row>
    <row r="20" spans="1:8">
      <c r="A20" s="303"/>
      <c r="B20" s="15">
        <v>3</v>
      </c>
      <c r="C20" s="15" t="s">
        <v>17</v>
      </c>
      <c r="D20" s="8">
        <f t="shared" ref="D20:D21" si="1">15*26</f>
        <v>390</v>
      </c>
      <c r="E20" s="15"/>
      <c r="F20" s="17">
        <f>B20*D20</f>
        <v>1170</v>
      </c>
      <c r="G20" s="10" t="s">
        <v>10</v>
      </c>
      <c r="H20" s="303"/>
    </row>
    <row r="21" spans="1:8">
      <c r="A21" s="303"/>
      <c r="B21" s="15">
        <v>1</v>
      </c>
      <c r="C21" s="27" t="s">
        <v>337</v>
      </c>
      <c r="D21" s="8">
        <f t="shared" si="1"/>
        <v>390</v>
      </c>
      <c r="E21" s="15"/>
      <c r="F21" s="17">
        <f>B21*D21</f>
        <v>390</v>
      </c>
      <c r="G21" s="11" t="s">
        <v>10</v>
      </c>
      <c r="H21" s="303"/>
    </row>
    <row r="22" spans="1:8" ht="15.75" thickBot="1">
      <c r="A22" s="303"/>
      <c r="C22" s="12"/>
      <c r="H22" s="303"/>
    </row>
    <row r="23" spans="1:8" ht="15.75" thickBot="1">
      <c r="A23" s="303"/>
      <c r="B23" s="5"/>
      <c r="C23" s="323" t="s">
        <v>18</v>
      </c>
      <c r="D23" s="323"/>
      <c r="E23" s="323"/>
      <c r="F23" s="323"/>
      <c r="G23" s="323"/>
      <c r="H23" s="303"/>
    </row>
    <row r="24" spans="1:8">
      <c r="A24" s="303"/>
      <c r="B24" s="7">
        <v>12</v>
      </c>
      <c r="C24" s="7" t="s">
        <v>19</v>
      </c>
      <c r="D24" s="8">
        <f>4.4*2*26</f>
        <v>228.8</v>
      </c>
      <c r="E24" s="7"/>
      <c r="F24" s="9">
        <f>B24*D24</f>
        <v>2745.6000000000004</v>
      </c>
      <c r="G24" s="10" t="s">
        <v>20</v>
      </c>
      <c r="H24" s="303"/>
    </row>
    <row r="25" spans="1:8">
      <c r="A25" s="303"/>
      <c r="B25" s="15">
        <v>3</v>
      </c>
      <c r="C25" s="15" t="s">
        <v>21</v>
      </c>
      <c r="D25" s="8">
        <f t="shared" ref="D25:D26" si="2">4.4*2*26</f>
        <v>228.8</v>
      </c>
      <c r="E25" s="15"/>
      <c r="F25" s="17">
        <f>B25*D25</f>
        <v>686.40000000000009</v>
      </c>
      <c r="G25" s="11" t="s">
        <v>20</v>
      </c>
      <c r="H25" s="303"/>
    </row>
    <row r="26" spans="1:8">
      <c r="A26" s="303"/>
      <c r="B26" s="15">
        <v>1</v>
      </c>
      <c r="C26" s="27" t="s">
        <v>338</v>
      </c>
      <c r="D26" s="8">
        <f t="shared" si="2"/>
        <v>228.8</v>
      </c>
      <c r="E26" s="15"/>
      <c r="F26" s="17">
        <f>B26*D26</f>
        <v>228.8</v>
      </c>
      <c r="G26" s="11" t="s">
        <v>20</v>
      </c>
      <c r="H26" s="303"/>
    </row>
    <row r="27" spans="1:8" ht="15.75" thickBot="1">
      <c r="A27" s="303"/>
      <c r="H27" s="303"/>
    </row>
    <row r="28" spans="1:8" ht="15.75" thickBot="1">
      <c r="A28" s="303"/>
      <c r="B28" s="5"/>
      <c r="C28" s="322" t="s">
        <v>339</v>
      </c>
      <c r="D28" s="323"/>
      <c r="E28" s="323"/>
      <c r="F28" s="323"/>
      <c r="G28" s="323"/>
      <c r="H28" s="303"/>
    </row>
    <row r="29" spans="1:8">
      <c r="A29" s="303"/>
      <c r="B29" s="7">
        <v>12</v>
      </c>
      <c r="C29" s="69" t="s">
        <v>22</v>
      </c>
      <c r="D29" s="8">
        <v>90</v>
      </c>
      <c r="E29" s="7"/>
      <c r="F29" s="9">
        <f>B29*D29</f>
        <v>1080</v>
      </c>
      <c r="G29" s="10" t="s">
        <v>10</v>
      </c>
      <c r="H29" s="303"/>
    </row>
    <row r="30" spans="1:8">
      <c r="A30" s="303"/>
      <c r="B30" s="15">
        <v>3</v>
      </c>
      <c r="C30" s="27" t="s">
        <v>23</v>
      </c>
      <c r="D30" s="16">
        <v>90</v>
      </c>
      <c r="E30" s="15"/>
      <c r="F30" s="17">
        <f>B30*D30</f>
        <v>270</v>
      </c>
      <c r="G30" s="11" t="s">
        <v>10</v>
      </c>
      <c r="H30" s="303"/>
    </row>
    <row r="31" spans="1:8">
      <c r="A31" s="303"/>
      <c r="B31" s="15">
        <v>1</v>
      </c>
      <c r="C31" s="27" t="s">
        <v>340</v>
      </c>
      <c r="D31" s="16">
        <v>90</v>
      </c>
      <c r="E31" s="15"/>
      <c r="F31" s="17">
        <f>B31*D31</f>
        <v>90</v>
      </c>
      <c r="G31" s="11" t="s">
        <v>10</v>
      </c>
      <c r="H31" s="303"/>
    </row>
    <row r="32" spans="1:8" ht="15.75" thickBot="1">
      <c r="A32" s="303"/>
      <c r="H32" s="303"/>
    </row>
    <row r="33" spans="1:8" ht="15.75" thickBot="1">
      <c r="A33" s="303"/>
      <c r="B33" s="1" t="s">
        <v>3</v>
      </c>
      <c r="C33" s="2" t="s">
        <v>4</v>
      </c>
      <c r="D33" s="2" t="s">
        <v>13</v>
      </c>
      <c r="E33" s="2" t="s">
        <v>24</v>
      </c>
      <c r="F33" s="3" t="s">
        <v>25</v>
      </c>
      <c r="G33" s="4" t="s">
        <v>8</v>
      </c>
      <c r="H33" s="303"/>
    </row>
    <row r="34" spans="1:8" ht="15.75" thickBot="1">
      <c r="A34" s="303"/>
      <c r="B34" s="5"/>
      <c r="C34" s="322" t="s">
        <v>341</v>
      </c>
      <c r="D34" s="323"/>
      <c r="E34" s="323"/>
      <c r="F34" s="323"/>
      <c r="G34" s="323"/>
      <c r="H34" s="303"/>
    </row>
    <row r="35" spans="1:8">
      <c r="A35" s="303"/>
      <c r="B35" s="7">
        <v>16</v>
      </c>
      <c r="C35" s="69" t="s">
        <v>342</v>
      </c>
      <c r="D35" s="8">
        <v>80.599999999999994</v>
      </c>
      <c r="E35" s="10">
        <v>4</v>
      </c>
      <c r="F35" s="9">
        <f t="shared" ref="F35:F39" si="3">B35*D35*E35/12</f>
        <v>429.86666666666662</v>
      </c>
      <c r="G35" s="10" t="s">
        <v>10</v>
      </c>
      <c r="H35" s="303"/>
    </row>
    <row r="36" spans="1:8">
      <c r="A36" s="303"/>
      <c r="B36" s="15">
        <v>16</v>
      </c>
      <c r="C36" s="27" t="s">
        <v>343</v>
      </c>
      <c r="D36" s="16">
        <v>83.32</v>
      </c>
      <c r="E36" s="11">
        <v>4</v>
      </c>
      <c r="F36" s="17">
        <f t="shared" si="3"/>
        <v>444.37333333333328</v>
      </c>
      <c r="G36" s="10" t="s">
        <v>10</v>
      </c>
      <c r="H36" s="303"/>
    </row>
    <row r="37" spans="1:8">
      <c r="A37" s="303"/>
      <c r="B37" s="15">
        <v>16</v>
      </c>
      <c r="C37" s="27" t="s">
        <v>344</v>
      </c>
      <c r="D37" s="16">
        <v>129.94</v>
      </c>
      <c r="E37" s="11">
        <v>2</v>
      </c>
      <c r="F37" s="17">
        <f t="shared" si="3"/>
        <v>346.50666666666666</v>
      </c>
      <c r="G37" s="10" t="s">
        <v>10</v>
      </c>
      <c r="H37" s="303"/>
    </row>
    <row r="38" spans="1:8">
      <c r="A38" s="303"/>
      <c r="B38" s="15">
        <v>13</v>
      </c>
      <c r="C38" s="27" t="s">
        <v>346</v>
      </c>
      <c r="D38" s="16">
        <v>39.5</v>
      </c>
      <c r="E38" s="11">
        <v>2</v>
      </c>
      <c r="F38" s="17">
        <f t="shared" si="3"/>
        <v>85.583333333333329</v>
      </c>
      <c r="G38" s="10" t="s">
        <v>10</v>
      </c>
      <c r="H38" s="303"/>
    </row>
    <row r="39" spans="1:8">
      <c r="A39" s="303"/>
      <c r="B39" s="15">
        <v>14</v>
      </c>
      <c r="C39" s="27" t="s">
        <v>345</v>
      </c>
      <c r="D39" s="16">
        <f>45.43*2</f>
        <v>90.86</v>
      </c>
      <c r="E39" s="11">
        <v>12</v>
      </c>
      <c r="F39" s="17">
        <f t="shared" si="3"/>
        <v>1272.04</v>
      </c>
      <c r="G39" s="10" t="s">
        <v>10</v>
      </c>
      <c r="H39" s="303"/>
    </row>
    <row r="40" spans="1:8" ht="15.75" thickBot="1">
      <c r="A40" s="303"/>
      <c r="H40" s="303"/>
    </row>
    <row r="41" spans="1:8" ht="15.75" thickBot="1">
      <c r="A41" s="303"/>
      <c r="B41" s="324" t="s">
        <v>28</v>
      </c>
      <c r="C41" s="324"/>
      <c r="D41" s="324"/>
      <c r="E41" s="324"/>
      <c r="F41" s="324"/>
      <c r="G41" s="324"/>
      <c r="H41" s="303"/>
    </row>
    <row r="42" spans="1:8" ht="15.75" thickBot="1">
      <c r="A42" s="303"/>
      <c r="B42" s="325" t="s">
        <v>4</v>
      </c>
      <c r="C42" s="325"/>
      <c r="D42" s="18" t="s">
        <v>3</v>
      </c>
      <c r="E42" s="19" t="s">
        <v>13</v>
      </c>
      <c r="F42" s="3" t="s">
        <v>7</v>
      </c>
      <c r="G42" s="4" t="s">
        <v>8</v>
      </c>
      <c r="H42" s="303"/>
    </row>
    <row r="43" spans="1:8" ht="15.75" thickBot="1">
      <c r="A43" s="303"/>
      <c r="B43" s="20" t="s">
        <v>29</v>
      </c>
      <c r="C43" s="21"/>
      <c r="D43" s="21"/>
      <c r="E43" s="21"/>
      <c r="F43" s="21"/>
      <c r="G43" s="22"/>
      <c r="H43" s="303"/>
    </row>
    <row r="44" spans="1:8">
      <c r="A44" s="303"/>
      <c r="B44" s="318" t="s">
        <v>397</v>
      </c>
      <c r="C44" s="319"/>
      <c r="D44" s="10">
        <v>1</v>
      </c>
      <c r="E44" s="8">
        <v>2000</v>
      </c>
      <c r="F44" s="9">
        <f t="shared" ref="F44:F53" si="4">E44*D44</f>
        <v>2000</v>
      </c>
      <c r="G44" s="10" t="s">
        <v>10</v>
      </c>
      <c r="H44" s="303"/>
    </row>
    <row r="45" spans="1:8">
      <c r="A45" s="303"/>
      <c r="B45" s="320" t="s">
        <v>347</v>
      </c>
      <c r="C45" s="315"/>
      <c r="D45" s="11">
        <v>4</v>
      </c>
      <c r="E45" s="16">
        <v>80</v>
      </c>
      <c r="F45" s="17">
        <f t="shared" si="4"/>
        <v>320</v>
      </c>
      <c r="G45" s="10" t="s">
        <v>10</v>
      </c>
      <c r="H45" s="303"/>
    </row>
    <row r="46" spans="1:8">
      <c r="A46" s="303"/>
      <c r="B46" s="320" t="s">
        <v>348</v>
      </c>
      <c r="C46" s="315"/>
      <c r="D46" s="11">
        <v>84</v>
      </c>
      <c r="E46" s="16">
        <v>42</v>
      </c>
      <c r="F46" s="17">
        <f t="shared" si="4"/>
        <v>3528</v>
      </c>
      <c r="G46" s="10" t="s">
        <v>10</v>
      </c>
      <c r="H46" s="303"/>
    </row>
    <row r="47" spans="1:8">
      <c r="A47" s="303"/>
      <c r="B47" s="315" t="s">
        <v>30</v>
      </c>
      <c r="C47" s="315"/>
      <c r="D47" s="11">
        <v>1</v>
      </c>
      <c r="E47" s="16">
        <v>350</v>
      </c>
      <c r="F47" s="17">
        <f t="shared" si="4"/>
        <v>350</v>
      </c>
      <c r="G47" s="10" t="s">
        <v>10</v>
      </c>
      <c r="H47" s="303"/>
    </row>
    <row r="48" spans="1:8">
      <c r="A48" s="303"/>
      <c r="B48" s="315" t="s">
        <v>31</v>
      </c>
      <c r="C48" s="315"/>
      <c r="D48" s="11">
        <v>1</v>
      </c>
      <c r="E48" s="16">
        <v>60</v>
      </c>
      <c r="F48" s="17">
        <f t="shared" si="4"/>
        <v>60</v>
      </c>
      <c r="G48" s="10" t="s">
        <v>10</v>
      </c>
      <c r="H48" s="303"/>
    </row>
    <row r="49" spans="1:8">
      <c r="A49" s="303"/>
      <c r="B49" s="320" t="s">
        <v>349</v>
      </c>
      <c r="C49" s="315"/>
      <c r="D49" s="11">
        <v>1</v>
      </c>
      <c r="E49" s="16">
        <v>800</v>
      </c>
      <c r="F49" s="17">
        <f t="shared" si="4"/>
        <v>800</v>
      </c>
      <c r="G49" s="10" t="s">
        <v>10</v>
      </c>
      <c r="H49" s="303"/>
    </row>
    <row r="50" spans="1:8">
      <c r="A50" s="303"/>
      <c r="B50" s="315" t="s">
        <v>33</v>
      </c>
      <c r="C50" s="315"/>
      <c r="D50" s="11">
        <v>1</v>
      </c>
      <c r="E50" s="16">
        <v>150</v>
      </c>
      <c r="F50" s="17">
        <f t="shared" si="4"/>
        <v>150</v>
      </c>
      <c r="G50" s="10" t="s">
        <v>10</v>
      </c>
      <c r="H50" s="303"/>
    </row>
    <row r="51" spans="1:8">
      <c r="A51" s="303"/>
      <c r="B51" s="315" t="s">
        <v>34</v>
      </c>
      <c r="C51" s="315"/>
      <c r="D51" s="11">
        <v>1</v>
      </c>
      <c r="E51" s="16">
        <v>180</v>
      </c>
      <c r="F51" s="17">
        <f t="shared" si="4"/>
        <v>180</v>
      </c>
      <c r="G51" s="10" t="s">
        <v>10</v>
      </c>
      <c r="H51" s="303"/>
    </row>
    <row r="52" spans="1:8">
      <c r="A52" s="303"/>
      <c r="B52" s="315" t="s">
        <v>35</v>
      </c>
      <c r="C52" s="315"/>
      <c r="D52" s="11">
        <v>1</v>
      </c>
      <c r="E52" s="16">
        <v>200</v>
      </c>
      <c r="F52" s="17">
        <f t="shared" si="4"/>
        <v>200</v>
      </c>
      <c r="G52" s="10" t="s">
        <v>10</v>
      </c>
      <c r="H52" s="303"/>
    </row>
    <row r="53" spans="1:8">
      <c r="A53" s="303"/>
      <c r="B53" s="315" t="s">
        <v>36</v>
      </c>
      <c r="C53" s="315"/>
      <c r="D53" s="11">
        <v>1</v>
      </c>
      <c r="E53" s="16">
        <v>3000</v>
      </c>
      <c r="F53" s="17">
        <f t="shared" si="4"/>
        <v>3000</v>
      </c>
      <c r="G53" s="10" t="s">
        <v>10</v>
      </c>
      <c r="H53" s="303"/>
    </row>
    <row r="54" spans="1:8" ht="15.75" thickBot="1">
      <c r="A54" s="303"/>
      <c r="B54" s="321"/>
      <c r="C54" s="321"/>
      <c r="F54" s="61"/>
      <c r="H54" s="303"/>
    </row>
    <row r="55" spans="1:8" ht="15.75" thickBot="1">
      <c r="A55" s="303"/>
      <c r="B55" s="317" t="s">
        <v>37</v>
      </c>
      <c r="C55" s="317"/>
      <c r="D55" s="317"/>
      <c r="E55" s="317"/>
      <c r="F55" s="317"/>
      <c r="G55" s="317"/>
      <c r="H55" s="303"/>
    </row>
    <row r="56" spans="1:8">
      <c r="A56" s="303"/>
      <c r="B56" s="318" t="s">
        <v>437</v>
      </c>
      <c r="C56" s="319"/>
      <c r="D56" s="10">
        <v>1</v>
      </c>
      <c r="E56" s="8">
        <v>2000</v>
      </c>
      <c r="F56" s="9">
        <f t="shared" ref="F56:F59" si="5">D56*E56</f>
        <v>2000</v>
      </c>
      <c r="G56" s="10" t="s">
        <v>10</v>
      </c>
      <c r="H56" s="303"/>
    </row>
    <row r="57" spans="1:8">
      <c r="A57" s="303"/>
      <c r="B57" s="315" t="s">
        <v>38</v>
      </c>
      <c r="C57" s="315"/>
      <c r="D57" s="11">
        <v>1</v>
      </c>
      <c r="E57" s="16">
        <v>1670</v>
      </c>
      <c r="F57" s="17">
        <f t="shared" si="5"/>
        <v>1670</v>
      </c>
      <c r="G57" s="10" t="s">
        <v>10</v>
      </c>
      <c r="H57" s="303"/>
    </row>
    <row r="58" spans="1:8">
      <c r="A58" s="303"/>
      <c r="B58" s="320" t="s">
        <v>472</v>
      </c>
      <c r="C58" s="315"/>
      <c r="D58" s="11">
        <v>16</v>
      </c>
      <c r="E58" s="16">
        <v>23</v>
      </c>
      <c r="F58" s="17">
        <f t="shared" si="5"/>
        <v>368</v>
      </c>
      <c r="G58" s="10" t="s">
        <v>10</v>
      </c>
      <c r="H58" s="303"/>
    </row>
    <row r="59" spans="1:8">
      <c r="A59" s="303"/>
      <c r="B59" s="315" t="s">
        <v>39</v>
      </c>
      <c r="C59" s="315"/>
      <c r="D59" s="11">
        <v>1</v>
      </c>
      <c r="E59" s="16">
        <v>700</v>
      </c>
      <c r="F59" s="17">
        <f t="shared" si="5"/>
        <v>700</v>
      </c>
      <c r="G59" s="10" t="s">
        <v>10</v>
      </c>
      <c r="H59" s="303"/>
    </row>
    <row r="60" spans="1:8" ht="15.75" thickBot="1">
      <c r="A60" s="303"/>
      <c r="B60" s="321"/>
      <c r="C60" s="321"/>
      <c r="G60" s="25"/>
      <c r="H60" s="303"/>
    </row>
    <row r="61" spans="1:8" ht="15.75" thickBot="1">
      <c r="A61" s="303"/>
      <c r="B61" s="317" t="s">
        <v>40</v>
      </c>
      <c r="C61" s="317"/>
      <c r="D61" s="317"/>
      <c r="E61" s="317"/>
      <c r="F61" s="317"/>
      <c r="G61" s="317"/>
      <c r="H61" s="303"/>
    </row>
    <row r="62" spans="1:8">
      <c r="A62" s="303"/>
      <c r="B62" s="320" t="s">
        <v>489</v>
      </c>
      <c r="C62" s="315"/>
      <c r="D62" s="223">
        <v>0.04</v>
      </c>
      <c r="E62" s="16">
        <f>1667*1.5</f>
        <v>2500.5</v>
      </c>
      <c r="F62" s="17">
        <f>(E62*D62)*51.18</f>
        <v>5119.0235999999995</v>
      </c>
      <c r="G62" s="10" t="s">
        <v>10</v>
      </c>
      <c r="H62" s="303"/>
    </row>
    <row r="63" spans="1:8">
      <c r="A63" s="303"/>
      <c r="B63" s="320" t="s">
        <v>399</v>
      </c>
      <c r="C63" s="315"/>
      <c r="D63" s="14">
        <v>2</v>
      </c>
      <c r="E63" s="224">
        <f>(1.2*0.5)*575.8</f>
        <v>345.47999999999996</v>
      </c>
      <c r="F63" s="17">
        <f t="shared" ref="F63:F65" si="6">D63*E63</f>
        <v>690.95999999999992</v>
      </c>
      <c r="G63" s="10" t="s">
        <v>10</v>
      </c>
      <c r="H63" s="303"/>
    </row>
    <row r="64" spans="1:8">
      <c r="A64" s="303"/>
      <c r="B64" s="320" t="s">
        <v>400</v>
      </c>
      <c r="C64" s="315"/>
      <c r="D64" s="14">
        <v>0.5</v>
      </c>
      <c r="E64" s="224">
        <v>1920</v>
      </c>
      <c r="F64" s="17">
        <f t="shared" si="6"/>
        <v>960</v>
      </c>
      <c r="G64" s="10" t="s">
        <v>10</v>
      </c>
      <c r="H64" s="303"/>
    </row>
    <row r="65" spans="1:8">
      <c r="A65" s="303"/>
      <c r="B65" s="320" t="s">
        <v>401</v>
      </c>
      <c r="C65" s="315"/>
      <c r="D65" s="14">
        <v>18</v>
      </c>
      <c r="E65" s="16">
        <v>110</v>
      </c>
      <c r="F65" s="17">
        <f t="shared" si="6"/>
        <v>1980</v>
      </c>
      <c r="G65" s="10" t="s">
        <v>10</v>
      </c>
      <c r="H65" s="303"/>
    </row>
    <row r="66" spans="1:8" ht="15.75" thickBot="1">
      <c r="A66" s="303"/>
      <c r="B66" s="316"/>
      <c r="C66" s="316"/>
      <c r="D66" s="28"/>
      <c r="E66" s="29"/>
      <c r="F66" s="30"/>
      <c r="G66" s="28"/>
      <c r="H66" s="303"/>
    </row>
    <row r="67" spans="1:8" ht="15.75" thickBot="1">
      <c r="A67" s="303"/>
      <c r="B67" s="317" t="s">
        <v>41</v>
      </c>
      <c r="C67" s="317"/>
      <c r="D67" s="317"/>
      <c r="E67" s="317"/>
      <c r="F67" s="317"/>
      <c r="G67" s="317"/>
      <c r="H67" s="303"/>
    </row>
    <row r="68" spans="1:8">
      <c r="A68" s="303"/>
      <c r="B68" s="69" t="s">
        <v>398</v>
      </c>
      <c r="C68" s="7"/>
      <c r="D68" s="299">
        <v>0.05</v>
      </c>
      <c r="E68" s="8">
        <f>'Cálculo da Receita Bruta'!I5</f>
        <v>201640.32000000001</v>
      </c>
      <c r="F68" s="9">
        <f>E68*D68</f>
        <v>10082.016000000001</v>
      </c>
      <c r="G68" s="10" t="s">
        <v>42</v>
      </c>
      <c r="H68" s="303"/>
    </row>
    <row r="69" spans="1:8" ht="15.75" thickBot="1">
      <c r="A69" s="303"/>
      <c r="H69" s="303"/>
    </row>
    <row r="70" spans="1:8" ht="15.75" thickBot="1">
      <c r="A70" s="303"/>
      <c r="B70" s="317" t="s">
        <v>43</v>
      </c>
      <c r="C70" s="317"/>
      <c r="D70" s="317"/>
      <c r="E70" s="317"/>
      <c r="F70" s="317"/>
      <c r="G70" s="317"/>
      <c r="H70" s="303"/>
    </row>
    <row r="71" spans="1:8">
      <c r="A71" s="303"/>
      <c r="B71" s="200" t="s">
        <v>402</v>
      </c>
      <c r="C71" s="197"/>
      <c r="D71" s="10">
        <v>0.1</v>
      </c>
      <c r="E71" s="8">
        <v>862.61</v>
      </c>
      <c r="F71" s="9">
        <f>D71*E71</f>
        <v>86.26100000000001</v>
      </c>
      <c r="G71" s="198" t="s">
        <v>10</v>
      </c>
      <c r="H71" s="303"/>
    </row>
    <row r="72" spans="1:8">
      <c r="A72" s="303"/>
      <c r="B72" s="200" t="s">
        <v>403</v>
      </c>
      <c r="C72" s="23"/>
      <c r="D72" s="10">
        <v>0.1</v>
      </c>
      <c r="E72" s="8">
        <v>1358.57</v>
      </c>
      <c r="F72" s="9">
        <f>D72*E72</f>
        <v>135.857</v>
      </c>
      <c r="G72" s="198" t="s">
        <v>10</v>
      </c>
      <c r="H72" s="303"/>
    </row>
    <row r="73" spans="1:8" ht="15.75" thickBot="1">
      <c r="A73" s="303"/>
      <c r="B73" s="316"/>
      <c r="C73" s="316"/>
      <c r="D73" s="28"/>
      <c r="E73" s="29"/>
      <c r="F73" s="30"/>
      <c r="G73" s="31"/>
      <c r="H73" s="303"/>
    </row>
    <row r="74" spans="1:8" ht="15.75" thickBot="1">
      <c r="A74" s="303"/>
      <c r="B74" s="317" t="s">
        <v>44</v>
      </c>
      <c r="C74" s="317"/>
      <c r="D74" s="317"/>
      <c r="E74" s="317"/>
      <c r="F74" s="317"/>
      <c r="G74" s="317"/>
      <c r="H74" s="303"/>
    </row>
    <row r="75" spans="1:8">
      <c r="A75" s="303"/>
      <c r="B75" s="318" t="s">
        <v>439</v>
      </c>
      <c r="C75" s="319"/>
      <c r="D75" s="32" t="s">
        <v>438</v>
      </c>
      <c r="E75" s="8">
        <f>'Cálculo da Receita Bruta'!I5</f>
        <v>201640.32000000001</v>
      </c>
      <c r="F75" s="8">
        <f>(E75*60%)*2%</f>
        <v>2419.6838400000001</v>
      </c>
      <c r="G75" s="10" t="s">
        <v>42</v>
      </c>
      <c r="H75" s="303"/>
    </row>
    <row r="76" spans="1:8">
      <c r="A76" s="303"/>
      <c r="B76" s="315" t="s">
        <v>45</v>
      </c>
      <c r="C76" s="315"/>
      <c r="D76" s="27" t="s">
        <v>377</v>
      </c>
      <c r="E76" s="16">
        <f>E75</f>
        <v>201640.32000000001</v>
      </c>
      <c r="F76" s="16">
        <f>(E76*80%)*10%</f>
        <v>16131.225600000003</v>
      </c>
      <c r="G76" s="10" t="s">
        <v>42</v>
      </c>
      <c r="H76" s="303"/>
    </row>
    <row r="77" spans="1:8">
      <c r="A77" s="303"/>
      <c r="B77" s="303"/>
      <c r="C77" s="303"/>
      <c r="D77" s="303"/>
      <c r="E77" s="303"/>
      <c r="F77" s="303"/>
      <c r="G77" s="303"/>
      <c r="H77" s="303"/>
    </row>
  </sheetData>
  <mergeCells count="46">
    <mergeCell ref="B2:G2"/>
    <mergeCell ref="B3:G3"/>
    <mergeCell ref="B4:F4"/>
    <mergeCell ref="C6:G6"/>
    <mergeCell ref="C9:G9"/>
    <mergeCell ref="C13:G13"/>
    <mergeCell ref="B16:G16"/>
    <mergeCell ref="C18:G18"/>
    <mergeCell ref="C23:G23"/>
    <mergeCell ref="C28:G28"/>
    <mergeCell ref="C34:G34"/>
    <mergeCell ref="B41:G41"/>
    <mergeCell ref="B42:C42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G55"/>
    <mergeCell ref="B56:C56"/>
    <mergeCell ref="B57:C57"/>
    <mergeCell ref="B58:C58"/>
    <mergeCell ref="B59:C59"/>
    <mergeCell ref="B60:C60"/>
    <mergeCell ref="A1:H1"/>
    <mergeCell ref="A2:A76"/>
    <mergeCell ref="H2:H76"/>
    <mergeCell ref="A77:H77"/>
    <mergeCell ref="B76:C76"/>
    <mergeCell ref="B73:C73"/>
    <mergeCell ref="B74:G74"/>
    <mergeCell ref="B75:C75"/>
    <mergeCell ref="B66:C66"/>
    <mergeCell ref="B67:G67"/>
    <mergeCell ref="B70:G70"/>
    <mergeCell ref="B62:C62"/>
    <mergeCell ref="B63:C63"/>
    <mergeCell ref="B65:C65"/>
    <mergeCell ref="B64:C64"/>
    <mergeCell ref="B61:G61"/>
  </mergeCells>
  <pageMargins left="0.51180555555555496" right="0.51180555555555496" top="0.39374999999999999" bottom="0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"/>
  <sheetViews>
    <sheetView workbookViewId="0">
      <selection activeCell="I6" sqref="I6"/>
    </sheetView>
  </sheetViews>
  <sheetFormatPr defaultRowHeight="15"/>
  <cols>
    <col min="1" max="1" width="3.85546875" customWidth="1"/>
    <col min="2" max="2" width="12" customWidth="1"/>
    <col min="3" max="3" width="8.7109375" customWidth="1"/>
    <col min="4" max="4" width="18.7109375" customWidth="1"/>
    <col min="5" max="5" width="11.5703125" customWidth="1"/>
    <col min="6" max="6" width="12.140625" customWidth="1"/>
    <col min="7" max="7" width="10.85546875" customWidth="1"/>
    <col min="8" max="8" width="10" customWidth="1"/>
    <col min="9" max="9" width="14.5703125" customWidth="1"/>
    <col min="10" max="10" width="14.28515625" customWidth="1"/>
    <col min="11" max="11" width="11.140625" customWidth="1"/>
    <col min="12" max="1022" width="8.7109375" customWidth="1"/>
  </cols>
  <sheetData>
    <row r="1" spans="1:12">
      <c r="A1" s="303"/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</row>
    <row r="2" spans="1:12" ht="23.25">
      <c r="A2" s="303"/>
      <c r="B2" s="278" t="s">
        <v>378</v>
      </c>
      <c r="L2" s="303"/>
    </row>
    <row r="3" spans="1:12">
      <c r="A3" s="303"/>
      <c r="L3" s="303"/>
    </row>
    <row r="4" spans="1:12" ht="93" customHeight="1">
      <c r="A4" s="303"/>
      <c r="B4" s="215" t="s">
        <v>379</v>
      </c>
      <c r="C4" s="215" t="s">
        <v>380</v>
      </c>
      <c r="D4" s="215" t="s">
        <v>381</v>
      </c>
      <c r="E4" s="215" t="s">
        <v>430</v>
      </c>
      <c r="F4" s="215" t="s">
        <v>382</v>
      </c>
      <c r="G4" s="215" t="s">
        <v>383</v>
      </c>
      <c r="H4" s="215" t="s">
        <v>476</v>
      </c>
      <c r="I4" s="215" t="s">
        <v>384</v>
      </c>
      <c r="J4" s="215" t="s">
        <v>484</v>
      </c>
      <c r="K4" s="215" t="s">
        <v>385</v>
      </c>
      <c r="L4" s="303"/>
    </row>
    <row r="5" spans="1:12">
      <c r="A5" s="303"/>
      <c r="B5" s="216" t="s">
        <v>386</v>
      </c>
      <c r="C5" s="217">
        <v>1667</v>
      </c>
      <c r="D5" s="218" t="s">
        <v>387</v>
      </c>
      <c r="E5" s="219">
        <v>0.56000000000000005</v>
      </c>
      <c r="F5" s="218">
        <v>216</v>
      </c>
      <c r="G5" s="220">
        <f>C5*F5*E5</f>
        <v>201640.32000000001</v>
      </c>
      <c r="H5" s="220">
        <f>G5*50%</f>
        <v>100820.16</v>
      </c>
      <c r="I5" s="221">
        <f>H5*2</f>
        <v>201640.32000000001</v>
      </c>
      <c r="J5" s="221">
        <f>I5*85%</f>
        <v>171394.272</v>
      </c>
      <c r="K5" s="221">
        <f>J5/C5</f>
        <v>102.816</v>
      </c>
      <c r="L5" s="303"/>
    </row>
    <row r="6" spans="1:12" ht="15.75">
      <c r="A6" s="303"/>
      <c r="B6" s="329" t="s">
        <v>429</v>
      </c>
      <c r="C6" s="329"/>
      <c r="D6" s="329"/>
      <c r="E6" s="329"/>
      <c r="F6" s="329"/>
      <c r="G6" s="329"/>
      <c r="H6" s="330"/>
      <c r="I6" s="239">
        <f>I5</f>
        <v>201640.32000000001</v>
      </c>
      <c r="J6" s="237"/>
      <c r="K6" s="238"/>
      <c r="L6" s="303"/>
    </row>
    <row r="7" spans="1:12" ht="15.75">
      <c r="A7" s="303"/>
      <c r="C7" s="329" t="s">
        <v>428</v>
      </c>
      <c r="D7" s="329"/>
      <c r="E7" s="329"/>
      <c r="F7" s="329"/>
      <c r="G7" s="329"/>
      <c r="H7" s="329"/>
      <c r="I7" s="330"/>
      <c r="J7" s="222">
        <f>SUM(J5:J5)</f>
        <v>171394.272</v>
      </c>
      <c r="L7" s="303"/>
    </row>
    <row r="8" spans="1:12">
      <c r="A8" s="303"/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</row>
  </sheetData>
  <mergeCells count="6">
    <mergeCell ref="A8:L8"/>
    <mergeCell ref="C7:I7"/>
    <mergeCell ref="B6:H6"/>
    <mergeCell ref="A1:L1"/>
    <mergeCell ref="A2:A7"/>
    <mergeCell ref="L2:L7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9"/>
  <sheetViews>
    <sheetView topLeftCell="C1" workbookViewId="0">
      <selection sqref="A1:M9"/>
    </sheetView>
  </sheetViews>
  <sheetFormatPr defaultRowHeight="15"/>
  <cols>
    <col min="1" max="1" width="3.42578125" customWidth="1"/>
    <col min="2" max="2" width="25.85546875" customWidth="1"/>
    <col min="3" max="12" width="15.85546875" customWidth="1"/>
    <col min="13" max="13" width="3.140625" customWidth="1"/>
    <col min="14" max="1026" width="8.7109375" customWidth="1"/>
  </cols>
  <sheetData>
    <row r="1" spans="1:13">
      <c r="A1" s="303"/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</row>
    <row r="2" spans="1:13" ht="18.75">
      <c r="A2" s="303"/>
      <c r="B2" s="331" t="s">
        <v>46</v>
      </c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03"/>
    </row>
    <row r="3" spans="1:13">
      <c r="A3" s="303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03"/>
    </row>
    <row r="4" spans="1:13">
      <c r="A4" s="303"/>
      <c r="B4" s="37"/>
      <c r="C4" s="38" t="s">
        <v>47</v>
      </c>
      <c r="D4" s="38" t="s">
        <v>48</v>
      </c>
      <c r="E4" s="38" t="s">
        <v>49</v>
      </c>
      <c r="F4" s="38" t="s">
        <v>50</v>
      </c>
      <c r="G4" s="38" t="s">
        <v>51</v>
      </c>
      <c r="H4" s="38" t="s">
        <v>52</v>
      </c>
      <c r="I4" s="38" t="s">
        <v>53</v>
      </c>
      <c r="J4" s="38" t="s">
        <v>54</v>
      </c>
      <c r="K4" s="38" t="s">
        <v>55</v>
      </c>
      <c r="L4" s="39" t="s">
        <v>56</v>
      </c>
      <c r="M4" s="303"/>
    </row>
    <row r="5" spans="1:13">
      <c r="A5" s="303"/>
      <c r="B5" s="40" t="s">
        <v>57</v>
      </c>
      <c r="C5" s="9">
        <f>'Resultado Projetado'!I$4/12</f>
        <v>161312.25600000002</v>
      </c>
      <c r="D5" s="9">
        <f>'Resultado Projetado'!J$4/12</f>
        <v>201640.31999999998</v>
      </c>
      <c r="E5" s="9">
        <f>'Resultado Projetado'!K$4/12</f>
        <v>201640.31999999998</v>
      </c>
      <c r="F5" s="9">
        <f>'Resultado Projetado'!L$4/12</f>
        <v>201640.31999999998</v>
      </c>
      <c r="G5" s="9">
        <f>'Resultado Projetado'!M$4/12</f>
        <v>201640.31999999998</v>
      </c>
      <c r="H5" s="9">
        <f>'Resultado Projetado'!N$4/12</f>
        <v>201640.31999999998</v>
      </c>
      <c r="I5" s="9">
        <f>'Resultado Projetado'!O$4/12</f>
        <v>201640.31999999998</v>
      </c>
      <c r="J5" s="9">
        <f>'Resultado Projetado'!P$4/12</f>
        <v>201640.31999999998</v>
      </c>
      <c r="K5" s="9">
        <f>'Resultado Projetado'!Q$4/12</f>
        <v>201640.31999999998</v>
      </c>
      <c r="L5" s="41">
        <f>'Resultado Projetado'!R$4/12</f>
        <v>201640.31999999998</v>
      </c>
      <c r="M5" s="303"/>
    </row>
    <row r="6" spans="1:13">
      <c r="A6" s="303"/>
      <c r="B6" s="42" t="s">
        <v>58</v>
      </c>
      <c r="C6" s="43">
        <f>(('Resultado Projetado'!I$4-'Resultado Projetado'!I$55)/12)</f>
        <v>171133.95124210312</v>
      </c>
      <c r="D6" s="43">
        <f>('Resultado Projetado'!J$4-'Resultado Projetado'!J$55)/12</f>
        <v>183417.7585523111</v>
      </c>
      <c r="E6" s="43">
        <f>('Resultado Projetado'!K$4-'Resultado Projetado'!K$55)/12</f>
        <v>183417.7585523111</v>
      </c>
      <c r="F6" s="43">
        <f>('Resultado Projetado'!L$4-'Resultado Projetado'!L$55)/12</f>
        <v>183417.7585523111</v>
      </c>
      <c r="G6" s="43">
        <f>('Resultado Projetado'!M$4-'Resultado Projetado'!M$55)/12</f>
        <v>183417.7585523111</v>
      </c>
      <c r="H6" s="43">
        <f>('Resultado Projetado'!N$4-'Resultado Projetado'!N$55)/12</f>
        <v>181239.55110786669</v>
      </c>
      <c r="I6" s="43">
        <f>('Resultado Projetado'!O$4-'Resultado Projetado'!O$55)/12</f>
        <v>181239.55110786669</v>
      </c>
      <c r="J6" s="43">
        <f>('Resultado Projetado'!P$4-'Resultado Projetado'!P$55)/12</f>
        <v>181239.55110786669</v>
      </c>
      <c r="K6" s="43">
        <f>('Resultado Projetado'!Q$4-'Resultado Projetado'!Q$55)/12</f>
        <v>181239.55110786669</v>
      </c>
      <c r="L6" s="44">
        <f>('Resultado Projetado'!R$4-'Resultado Projetado'!R$55)/12</f>
        <v>181239.55110786669</v>
      </c>
      <c r="M6" s="303"/>
    </row>
    <row r="7" spans="1:13">
      <c r="A7" s="303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03"/>
    </row>
    <row r="8" spans="1:13">
      <c r="A8" s="303"/>
      <c r="B8" s="5" t="s">
        <v>59</v>
      </c>
      <c r="C8" s="45">
        <f t="shared" ref="C8:L8" si="0">C6/1667/234</f>
        <v>0.43871725973293324</v>
      </c>
      <c r="D8" s="45">
        <f t="shared" si="0"/>
        <v>0.47020790342524083</v>
      </c>
      <c r="E8" s="45">
        <f t="shared" si="0"/>
        <v>0.47020790342524083</v>
      </c>
      <c r="F8" s="45">
        <f t="shared" si="0"/>
        <v>0.47020790342524083</v>
      </c>
      <c r="G8" s="45">
        <f t="shared" si="0"/>
        <v>0.47020790342524083</v>
      </c>
      <c r="H8" s="45">
        <f t="shared" si="0"/>
        <v>0.46462387293789109</v>
      </c>
      <c r="I8" s="45">
        <f t="shared" si="0"/>
        <v>0.46462387293789109</v>
      </c>
      <c r="J8" s="45">
        <f t="shared" si="0"/>
        <v>0.46462387293789109</v>
      </c>
      <c r="K8" s="45">
        <f t="shared" si="0"/>
        <v>0.46462387293789109</v>
      </c>
      <c r="L8" s="46">
        <f t="shared" si="0"/>
        <v>0.46462387293789109</v>
      </c>
      <c r="M8" s="303"/>
    </row>
    <row r="9" spans="1:13">
      <c r="A9" s="303"/>
      <c r="B9" s="303"/>
      <c r="C9" s="303"/>
      <c r="D9" s="303"/>
      <c r="E9" s="303"/>
      <c r="F9" s="303"/>
      <c r="G9" s="303"/>
      <c r="H9" s="303"/>
      <c r="I9" s="303"/>
      <c r="J9" s="303"/>
      <c r="K9" s="303"/>
      <c r="L9" s="303"/>
      <c r="M9" s="303"/>
    </row>
  </sheetData>
  <mergeCells count="5">
    <mergeCell ref="B2:L2"/>
    <mergeCell ref="A1:M1"/>
    <mergeCell ref="A2:A8"/>
    <mergeCell ref="A9:M9"/>
    <mergeCell ref="M2:M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S37"/>
  <sheetViews>
    <sheetView topLeftCell="A13" workbookViewId="0">
      <selection activeCell="E27" sqref="E27"/>
    </sheetView>
  </sheetViews>
  <sheetFormatPr defaultRowHeight="15"/>
  <cols>
    <col min="1" max="1" width="4.140625" customWidth="1"/>
    <col min="2" max="2" width="6.85546875" customWidth="1"/>
    <col min="3" max="3" width="50" customWidth="1"/>
    <col min="4" max="4" width="8.140625" customWidth="1"/>
    <col min="5" max="5" width="15" customWidth="1"/>
    <col min="6" max="6" width="16.7109375" customWidth="1"/>
    <col min="7" max="7" width="21.85546875" customWidth="1"/>
    <col min="8" max="1024" width="8.7109375" customWidth="1"/>
  </cols>
  <sheetData>
    <row r="1" spans="1:45" ht="15.75" thickBot="1">
      <c r="A1" s="303"/>
      <c r="B1" s="303"/>
      <c r="C1" s="303"/>
      <c r="D1" s="303"/>
      <c r="E1" s="303"/>
      <c r="F1" s="303"/>
      <c r="G1" s="303"/>
      <c r="H1" s="303"/>
    </row>
    <row r="2" spans="1:45" ht="21">
      <c r="A2" s="303"/>
      <c r="B2" s="335" t="s">
        <v>60</v>
      </c>
      <c r="C2" s="335"/>
      <c r="D2" s="335"/>
      <c r="E2" s="335"/>
      <c r="F2" s="335"/>
      <c r="G2" s="335"/>
      <c r="H2" s="334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</row>
    <row r="3" spans="1:45" ht="15.75" thickBot="1">
      <c r="A3" s="303"/>
      <c r="B3" s="48" t="s">
        <v>61</v>
      </c>
      <c r="C3" s="49" t="s">
        <v>4</v>
      </c>
      <c r="D3" s="50" t="s">
        <v>3</v>
      </c>
      <c r="E3" s="49" t="s">
        <v>62</v>
      </c>
      <c r="F3" s="49" t="s">
        <v>63</v>
      </c>
      <c r="G3" s="51" t="s">
        <v>8</v>
      </c>
      <c r="H3" s="334"/>
      <c r="I3" s="52"/>
      <c r="J3" s="52"/>
      <c r="K3" s="52"/>
      <c r="L3" s="52"/>
      <c r="M3" s="52"/>
      <c r="N3" s="52"/>
      <c r="O3" s="53"/>
      <c r="P3" s="54"/>
      <c r="Q3" s="54"/>
      <c r="R3" s="55"/>
      <c r="S3" s="55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3"/>
      <c r="AM3" s="53"/>
      <c r="AN3" s="52"/>
      <c r="AO3" s="52"/>
      <c r="AP3" s="53"/>
      <c r="AQ3" s="52"/>
      <c r="AR3" s="52"/>
      <c r="AS3" s="52"/>
    </row>
    <row r="4" spans="1:45" ht="22.5" customHeight="1" thickBot="1">
      <c r="A4" s="303"/>
      <c r="B4" s="324" t="s">
        <v>64</v>
      </c>
      <c r="C4" s="324"/>
      <c r="D4" s="324"/>
      <c r="E4" s="324"/>
      <c r="F4" s="324"/>
      <c r="G4" s="324"/>
      <c r="H4" s="334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</row>
    <row r="5" spans="1:45" ht="15" customHeight="1">
      <c r="A5" s="303"/>
      <c r="B5" s="11">
        <v>1</v>
      </c>
      <c r="C5" s="201" t="s">
        <v>360</v>
      </c>
      <c r="D5" s="60">
        <v>7</v>
      </c>
      <c r="E5" s="16">
        <f>'Orçamentos Insumos'!G7</f>
        <v>309.78333333333336</v>
      </c>
      <c r="F5" s="16">
        <f t="shared" ref="F5:F11" si="0">D5*E5</f>
        <v>2168.4833333333336</v>
      </c>
      <c r="G5" s="16" t="s">
        <v>10</v>
      </c>
      <c r="H5" s="334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</row>
    <row r="6" spans="1:45" ht="15" customHeight="1">
      <c r="A6" s="303"/>
      <c r="B6" s="11">
        <v>2</v>
      </c>
      <c r="C6" s="201" t="s">
        <v>361</v>
      </c>
      <c r="D6" s="60">
        <v>1</v>
      </c>
      <c r="E6" s="16">
        <f>'Orçamentos Insumos'!G8</f>
        <v>676.38666666666666</v>
      </c>
      <c r="F6" s="16">
        <f t="shared" si="0"/>
        <v>676.38666666666666</v>
      </c>
      <c r="G6" s="16" t="s">
        <v>10</v>
      </c>
      <c r="H6" s="33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</row>
    <row r="7" spans="1:45">
      <c r="A7" s="303"/>
      <c r="B7" s="141">
        <v>3</v>
      </c>
      <c r="C7" s="201" t="s">
        <v>441</v>
      </c>
      <c r="D7" s="60">
        <v>7</v>
      </c>
      <c r="E7" s="16">
        <f>'Orçamentos Insumos'!G9</f>
        <v>336.52</v>
      </c>
      <c r="F7" s="16">
        <f t="shared" si="0"/>
        <v>2355.64</v>
      </c>
      <c r="G7" s="16" t="s">
        <v>10</v>
      </c>
      <c r="H7" s="334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</row>
    <row r="8" spans="1:45">
      <c r="A8" s="303"/>
      <c r="B8" s="141">
        <v>4</v>
      </c>
      <c r="C8" s="201" t="s">
        <v>362</v>
      </c>
      <c r="D8" s="60">
        <v>12</v>
      </c>
      <c r="E8" s="16">
        <f>'Orçamentos Insumos'!G10</f>
        <v>140.06</v>
      </c>
      <c r="F8" s="16">
        <f t="shared" si="0"/>
        <v>1680.72</v>
      </c>
      <c r="G8" s="16" t="s">
        <v>10</v>
      </c>
      <c r="H8" s="334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</row>
    <row r="9" spans="1:45">
      <c r="A9" s="303"/>
      <c r="B9" s="141">
        <v>5</v>
      </c>
      <c r="C9" s="201" t="s">
        <v>363</v>
      </c>
      <c r="D9" s="60">
        <v>2</v>
      </c>
      <c r="E9" s="16">
        <f>'Orçamentos Insumos'!G11</f>
        <v>598.88</v>
      </c>
      <c r="F9" s="16">
        <f t="shared" si="0"/>
        <v>1197.76</v>
      </c>
      <c r="G9" s="16" t="s">
        <v>10</v>
      </c>
      <c r="H9" s="334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</row>
    <row r="10" spans="1:45">
      <c r="A10" s="303"/>
      <c r="B10" s="141">
        <v>6</v>
      </c>
      <c r="C10" s="201" t="s">
        <v>364</v>
      </c>
      <c r="D10" s="60">
        <v>1</v>
      </c>
      <c r="E10" s="16">
        <f>'Orçamentos Insumos'!G12</f>
        <v>859.13</v>
      </c>
      <c r="F10" s="16">
        <f t="shared" si="0"/>
        <v>859.13</v>
      </c>
      <c r="G10" s="16" t="s">
        <v>10</v>
      </c>
      <c r="H10" s="334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</row>
    <row r="11" spans="1:45">
      <c r="A11" s="303"/>
      <c r="B11" s="141">
        <v>7</v>
      </c>
      <c r="C11" s="201" t="s">
        <v>65</v>
      </c>
      <c r="D11" s="60">
        <v>1</v>
      </c>
      <c r="E11" s="16">
        <f>'Orçamentos Insumos'!G13</f>
        <v>350.1699999999999</v>
      </c>
      <c r="F11" s="16">
        <f t="shared" si="0"/>
        <v>350.1699999999999</v>
      </c>
      <c r="G11" s="16" t="s">
        <v>10</v>
      </c>
      <c r="H11" s="334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</row>
    <row r="12" spans="1:45">
      <c r="A12" s="303"/>
      <c r="B12" s="332" t="s">
        <v>66</v>
      </c>
      <c r="C12" s="332"/>
      <c r="D12" s="332"/>
      <c r="E12" s="332"/>
      <c r="F12" s="62">
        <f>SUM(F5:F11)</f>
        <v>9288.2900000000009</v>
      </c>
      <c r="G12" s="16"/>
      <c r="H12" s="334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S12" s="61"/>
    </row>
    <row r="13" spans="1:45" ht="6.75" customHeight="1" thickBot="1">
      <c r="A13" s="303"/>
      <c r="B13" s="321"/>
      <c r="C13" s="321"/>
      <c r="D13" s="321"/>
      <c r="E13" s="321"/>
      <c r="F13" s="321"/>
      <c r="G13" s="321"/>
      <c r="H13" s="334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S13" s="61"/>
    </row>
    <row r="14" spans="1:45" ht="15.75" thickBot="1">
      <c r="A14" s="303"/>
      <c r="B14" s="336" t="s">
        <v>365</v>
      </c>
      <c r="C14" s="336"/>
      <c r="D14" s="324"/>
      <c r="E14" s="324"/>
      <c r="F14" s="324"/>
      <c r="G14" s="324"/>
      <c r="H14" s="334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S14" s="61"/>
    </row>
    <row r="15" spans="1:45">
      <c r="A15" s="303"/>
      <c r="B15" s="139">
        <v>1</v>
      </c>
      <c r="C15" s="201" t="s">
        <v>358</v>
      </c>
      <c r="D15" s="59">
        <v>6</v>
      </c>
      <c r="E15" s="202">
        <f>'Orçamentos Insumos'!G5</f>
        <v>1834.2566666666664</v>
      </c>
      <c r="F15" s="58">
        <f t="shared" ref="F15:F20" si="1">D15*E15</f>
        <v>11005.539999999999</v>
      </c>
      <c r="G15" s="58" t="s">
        <v>10</v>
      </c>
      <c r="H15" s="334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S15" s="61"/>
    </row>
    <row r="16" spans="1:45">
      <c r="A16" s="303"/>
      <c r="B16" s="140">
        <v>2</v>
      </c>
      <c r="C16" s="201" t="s">
        <v>359</v>
      </c>
      <c r="D16" s="60">
        <v>2</v>
      </c>
      <c r="E16" s="203">
        <f>'Orçamentos Insumos'!G6</f>
        <v>1454.33</v>
      </c>
      <c r="F16" s="16">
        <f t="shared" si="1"/>
        <v>2908.66</v>
      </c>
      <c r="G16" s="16" t="s">
        <v>10</v>
      </c>
      <c r="H16" s="334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S16" s="61"/>
    </row>
    <row r="17" spans="1:44">
      <c r="A17" s="303"/>
      <c r="B17" s="140">
        <v>3</v>
      </c>
      <c r="C17" s="240" t="s">
        <v>366</v>
      </c>
      <c r="D17" s="60">
        <v>1</v>
      </c>
      <c r="E17" s="16">
        <f>'Orçamentos Insumos'!G18</f>
        <v>1975.32</v>
      </c>
      <c r="F17" s="16">
        <f t="shared" si="1"/>
        <v>1975.32</v>
      </c>
      <c r="G17" s="16" t="s">
        <v>10</v>
      </c>
      <c r="H17" s="334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</row>
    <row r="18" spans="1:44">
      <c r="A18" s="303"/>
      <c r="B18" s="140">
        <v>4</v>
      </c>
      <c r="C18" s="240" t="s">
        <v>367</v>
      </c>
      <c r="D18" s="60">
        <v>72</v>
      </c>
      <c r="E18" s="16">
        <v>1358.57</v>
      </c>
      <c r="F18" s="16">
        <f t="shared" si="1"/>
        <v>97817.04</v>
      </c>
      <c r="G18" s="16" t="s">
        <v>10</v>
      </c>
      <c r="H18" s="334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</row>
    <row r="19" spans="1:44">
      <c r="A19" s="303"/>
      <c r="B19" s="140">
        <v>5</v>
      </c>
      <c r="C19" s="201" t="s">
        <v>442</v>
      </c>
      <c r="D19" s="60">
        <v>18</v>
      </c>
      <c r="E19" s="16">
        <f>'Orçamentos Insumos'!F15</f>
        <v>862.61333333333334</v>
      </c>
      <c r="F19" s="16">
        <f t="shared" si="1"/>
        <v>15527.04</v>
      </c>
      <c r="G19" s="16" t="s">
        <v>10</v>
      </c>
      <c r="H19" s="334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</row>
    <row r="20" spans="1:44">
      <c r="A20" s="303"/>
      <c r="B20" s="140">
        <v>6</v>
      </c>
      <c r="C20" s="201" t="s">
        <v>368</v>
      </c>
      <c r="D20" s="60">
        <v>14</v>
      </c>
      <c r="E20" s="16">
        <f>'Orçamentos Insumos'!G17</f>
        <v>104.20333333333333</v>
      </c>
      <c r="F20" s="16">
        <f t="shared" si="1"/>
        <v>1458.8466666666666</v>
      </c>
      <c r="G20" s="16" t="s">
        <v>10</v>
      </c>
      <c r="H20" s="334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</row>
    <row r="21" spans="1:44">
      <c r="A21" s="303"/>
      <c r="B21" s="332" t="s">
        <v>66</v>
      </c>
      <c r="C21" s="332"/>
      <c r="D21" s="332"/>
      <c r="E21" s="332"/>
      <c r="F21" s="62">
        <f>SUM(F15:F20)</f>
        <v>130692.44666666667</v>
      </c>
      <c r="G21" s="16"/>
      <c r="H21" s="334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</row>
    <row r="22" spans="1:44" ht="6.75" customHeight="1" thickBot="1">
      <c r="A22" s="303"/>
      <c r="B22" s="333"/>
      <c r="C22" s="333"/>
      <c r="D22" s="333"/>
      <c r="E22" s="333"/>
      <c r="F22" s="333"/>
      <c r="G22" s="333"/>
      <c r="H22" s="334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</row>
    <row r="23" spans="1:44" s="12" customFormat="1" ht="15.75" thickBot="1">
      <c r="A23" s="303"/>
      <c r="B23" s="324" t="s">
        <v>372</v>
      </c>
      <c r="C23" s="324"/>
      <c r="D23" s="324"/>
      <c r="E23" s="324"/>
      <c r="F23" s="324"/>
      <c r="G23" s="324"/>
      <c r="H23" s="334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63"/>
    </row>
    <row r="24" spans="1:44" s="12" customFormat="1">
      <c r="A24" s="303"/>
      <c r="B24" s="57">
        <v>1</v>
      </c>
      <c r="C24" s="201" t="s">
        <v>369</v>
      </c>
      <c r="D24" s="59">
        <v>406</v>
      </c>
      <c r="E24" s="58">
        <v>259.11</v>
      </c>
      <c r="F24" s="58">
        <f t="shared" ref="F24:F28" si="2">D24*E24</f>
        <v>105198.66</v>
      </c>
      <c r="G24" s="58" t="s">
        <v>10</v>
      </c>
      <c r="H24" s="334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</row>
    <row r="25" spans="1:44" s="12" customFormat="1">
      <c r="A25" s="303"/>
      <c r="B25" s="11">
        <v>2</v>
      </c>
      <c r="C25" s="201" t="s">
        <v>370</v>
      </c>
      <c r="D25" s="60">
        <v>406</v>
      </c>
      <c r="E25" s="16">
        <v>86.37</v>
      </c>
      <c r="F25" s="16">
        <f t="shared" si="2"/>
        <v>35066.22</v>
      </c>
      <c r="G25" s="16" t="s">
        <v>10</v>
      </c>
      <c r="H25" s="334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</row>
    <row r="26" spans="1:44" s="12" customFormat="1">
      <c r="A26" s="303"/>
      <c r="B26" s="11">
        <v>3</v>
      </c>
      <c r="C26" s="201" t="s">
        <v>434</v>
      </c>
      <c r="D26" s="60">
        <f>D25*0.8</f>
        <v>324.8</v>
      </c>
      <c r="E26" s="16">
        <v>1920</v>
      </c>
      <c r="F26" s="16">
        <f t="shared" si="2"/>
        <v>623616</v>
      </c>
      <c r="G26" s="16" t="s">
        <v>10</v>
      </c>
      <c r="H26" s="334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</row>
    <row r="27" spans="1:44" s="12" customFormat="1">
      <c r="A27" s="303"/>
      <c r="B27" s="11">
        <v>4</v>
      </c>
      <c r="C27" s="201" t="s">
        <v>436</v>
      </c>
      <c r="D27" s="60">
        <v>2500</v>
      </c>
      <c r="E27" s="16">
        <v>51.18</v>
      </c>
      <c r="F27" s="16">
        <f t="shared" si="2"/>
        <v>127950</v>
      </c>
      <c r="G27" s="16" t="s">
        <v>10</v>
      </c>
      <c r="H27" s="334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</row>
    <row r="28" spans="1:44" s="12" customFormat="1">
      <c r="A28" s="303"/>
      <c r="B28" s="11">
        <v>5</v>
      </c>
      <c r="C28" s="201" t="s">
        <v>371</v>
      </c>
      <c r="D28" s="60">
        <v>666.8</v>
      </c>
      <c r="E28" s="16">
        <v>5</v>
      </c>
      <c r="F28" s="16">
        <f t="shared" si="2"/>
        <v>3334</v>
      </c>
      <c r="G28" s="16" t="s">
        <v>10</v>
      </c>
      <c r="H28" s="334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</row>
    <row r="29" spans="1:44" s="12" customFormat="1">
      <c r="A29" s="303"/>
      <c r="B29" s="332" t="s">
        <v>66</v>
      </c>
      <c r="C29" s="332"/>
      <c r="D29" s="332"/>
      <c r="E29" s="332"/>
      <c r="F29" s="62">
        <f>SUM(F24:F28)</f>
        <v>895164.88</v>
      </c>
      <c r="G29" s="16"/>
      <c r="H29" s="334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</row>
    <row r="30" spans="1:44" s="12" customFormat="1" ht="6" customHeight="1" thickBot="1">
      <c r="A30" s="303"/>
      <c r="B30" s="333"/>
      <c r="C30" s="333"/>
      <c r="D30" s="333"/>
      <c r="E30" s="333"/>
      <c r="F30" s="333"/>
      <c r="G30" s="333"/>
      <c r="H30" s="334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</row>
    <row r="31" spans="1:44" s="12" customFormat="1" ht="15.75" thickBot="1">
      <c r="A31" s="303"/>
      <c r="B31" s="324" t="s">
        <v>373</v>
      </c>
      <c r="C31" s="324"/>
      <c r="D31" s="324"/>
      <c r="E31" s="324"/>
      <c r="F31" s="324"/>
      <c r="G31" s="324"/>
      <c r="H31" s="334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63"/>
    </row>
    <row r="32" spans="1:44" s="12" customFormat="1">
      <c r="A32" s="303"/>
      <c r="B32" s="205">
        <v>1</v>
      </c>
      <c r="C32" s="204" t="s">
        <v>374</v>
      </c>
      <c r="D32" s="209">
        <v>1</v>
      </c>
      <c r="E32" s="211">
        <v>5300</v>
      </c>
      <c r="F32" s="211">
        <f>D32*E32</f>
        <v>5300</v>
      </c>
      <c r="G32" s="207" t="s">
        <v>42</v>
      </c>
      <c r="H32" s="334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63"/>
    </row>
    <row r="33" spans="1:44" s="12" customFormat="1">
      <c r="A33" s="303"/>
      <c r="B33" s="206">
        <v>2</v>
      </c>
      <c r="C33" s="204" t="s">
        <v>375</v>
      </c>
      <c r="D33" s="210">
        <v>1</v>
      </c>
      <c r="E33" s="212">
        <v>8500</v>
      </c>
      <c r="F33" s="212">
        <f t="shared" ref="F33:F34" si="3">D33*E33</f>
        <v>8500</v>
      </c>
      <c r="G33" s="208" t="s">
        <v>42</v>
      </c>
      <c r="H33" s="334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63"/>
    </row>
    <row r="34" spans="1:44" s="12" customFormat="1">
      <c r="A34" s="303"/>
      <c r="B34" s="206">
        <v>3</v>
      </c>
      <c r="C34" s="204" t="s">
        <v>376</v>
      </c>
      <c r="D34" s="210">
        <v>1</v>
      </c>
      <c r="E34" s="212">
        <v>6000</v>
      </c>
      <c r="F34" s="213">
        <f t="shared" si="3"/>
        <v>6000</v>
      </c>
      <c r="G34" s="214" t="s">
        <v>42</v>
      </c>
      <c r="H34" s="334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63"/>
    </row>
    <row r="35" spans="1:44" s="12" customFormat="1">
      <c r="A35" s="303"/>
      <c r="B35" s="332" t="s">
        <v>66</v>
      </c>
      <c r="C35" s="332"/>
      <c r="D35" s="332"/>
      <c r="E35" s="332"/>
      <c r="F35" s="62">
        <f>SUM(F32:F34)</f>
        <v>19800</v>
      </c>
      <c r="G35" s="16"/>
      <c r="H35" s="334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</row>
    <row r="36" spans="1:44" s="12" customFormat="1" ht="13.5" customHeight="1" thickBot="1">
      <c r="A36" s="303"/>
      <c r="B36" s="333"/>
      <c r="C36" s="333"/>
      <c r="D36" s="333"/>
      <c r="E36" s="333"/>
      <c r="F36" s="333"/>
      <c r="G36" s="333"/>
      <c r="H36" s="334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</row>
    <row r="37" spans="1:44">
      <c r="A37" s="303"/>
      <c r="B37" s="303"/>
      <c r="C37" s="303"/>
      <c r="D37" s="303"/>
      <c r="E37" s="303"/>
      <c r="F37" s="303"/>
      <c r="G37" s="303"/>
      <c r="H37" s="303"/>
    </row>
  </sheetData>
  <mergeCells count="17">
    <mergeCell ref="A37:H37"/>
    <mergeCell ref="B31:G31"/>
    <mergeCell ref="B35:E35"/>
    <mergeCell ref="B36:G36"/>
    <mergeCell ref="B2:G2"/>
    <mergeCell ref="B4:G4"/>
    <mergeCell ref="B12:E12"/>
    <mergeCell ref="B13:G13"/>
    <mergeCell ref="B14:G14"/>
    <mergeCell ref="B23:G23"/>
    <mergeCell ref="B21:E21"/>
    <mergeCell ref="B22:G22"/>
    <mergeCell ref="B29:E29"/>
    <mergeCell ref="B30:G30"/>
    <mergeCell ref="A1:H1"/>
    <mergeCell ref="A2:A36"/>
    <mergeCell ref="H2:H36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I18" sqref="I18"/>
    </sheetView>
  </sheetViews>
  <sheetFormatPr defaultRowHeight="15"/>
  <cols>
    <col min="1" max="1" width="4.42578125" customWidth="1"/>
    <col min="2" max="2" width="7" customWidth="1"/>
    <col min="3" max="3" width="43.7109375" customWidth="1"/>
    <col min="4" max="4" width="7" customWidth="1"/>
    <col min="5" max="5" width="16.42578125" customWidth="1"/>
    <col min="6" max="6" width="14.140625" customWidth="1"/>
    <col min="7" max="1026" width="8.7109375" customWidth="1"/>
  </cols>
  <sheetData>
    <row r="1" spans="1:7">
      <c r="A1" s="303"/>
      <c r="B1" s="303"/>
      <c r="C1" s="303"/>
      <c r="D1" s="303"/>
      <c r="E1" s="303"/>
      <c r="F1" s="303"/>
      <c r="G1" s="303"/>
    </row>
    <row r="2" spans="1:7" ht="15.75">
      <c r="A2" s="303"/>
      <c r="B2" s="337" t="s">
        <v>67</v>
      </c>
      <c r="C2" s="337"/>
      <c r="D2" s="337"/>
      <c r="E2" s="337"/>
      <c r="F2" s="337"/>
      <c r="G2" s="303"/>
    </row>
    <row r="3" spans="1:7">
      <c r="A3" s="303"/>
      <c r="B3" s="64" t="s">
        <v>68</v>
      </c>
      <c r="C3" s="64" t="s">
        <v>4</v>
      </c>
      <c r="D3" s="64" t="s">
        <v>3</v>
      </c>
      <c r="E3" s="64" t="s">
        <v>392</v>
      </c>
      <c r="F3" s="64" t="s">
        <v>69</v>
      </c>
      <c r="G3" s="303"/>
    </row>
    <row r="4" spans="1:7">
      <c r="A4" s="303"/>
      <c r="B4" s="328" t="s">
        <v>70</v>
      </c>
      <c r="C4" s="328"/>
      <c r="D4" s="328"/>
      <c r="E4" s="328"/>
      <c r="F4" s="328"/>
      <c r="G4" s="303"/>
    </row>
    <row r="5" spans="1:7">
      <c r="A5" s="303"/>
      <c r="B5" s="10">
        <v>1</v>
      </c>
      <c r="C5" s="7" t="s">
        <v>71</v>
      </c>
      <c r="D5" s="138">
        <v>0.05</v>
      </c>
      <c r="E5" s="8">
        <f>E14*81%</f>
        <v>163328.65920000002</v>
      </c>
      <c r="F5" s="9">
        <f t="shared" ref="F5:F10" si="0">E5*D5</f>
        <v>8166.4329600000019</v>
      </c>
      <c r="G5" s="303"/>
    </row>
    <row r="6" spans="1:7">
      <c r="A6" s="303"/>
      <c r="B6" s="11">
        <v>2</v>
      </c>
      <c r="C6" s="27" t="s">
        <v>390</v>
      </c>
      <c r="D6" s="65">
        <v>0.03</v>
      </c>
      <c r="E6" s="16">
        <f>E5</f>
        <v>163328.65920000002</v>
      </c>
      <c r="F6" s="17">
        <f t="shared" si="0"/>
        <v>4899.8597760000002</v>
      </c>
      <c r="G6" s="303"/>
    </row>
    <row r="7" spans="1:7">
      <c r="A7" s="303"/>
      <c r="B7" s="11">
        <v>3</v>
      </c>
      <c r="C7" s="27" t="s">
        <v>389</v>
      </c>
      <c r="D7" s="65">
        <v>2.8799999999999999E-2</v>
      </c>
      <c r="E7" s="16">
        <f>E6</f>
        <v>163328.65920000002</v>
      </c>
      <c r="F7" s="17">
        <f t="shared" si="0"/>
        <v>4703.8653849600005</v>
      </c>
      <c r="G7" s="303"/>
    </row>
    <row r="8" spans="1:7">
      <c r="A8" s="303"/>
      <c r="B8" s="11">
        <v>4</v>
      </c>
      <c r="C8" s="15" t="s">
        <v>72</v>
      </c>
      <c r="D8" s="65">
        <v>6.4999999999999997E-3</v>
      </c>
      <c r="E8" s="16">
        <f>E7</f>
        <v>163328.65920000002</v>
      </c>
      <c r="F8" s="17">
        <f t="shared" si="0"/>
        <v>1061.6362848000001</v>
      </c>
      <c r="G8" s="303"/>
    </row>
    <row r="9" spans="1:7">
      <c r="A9" s="303"/>
      <c r="B9" s="199">
        <v>5</v>
      </c>
      <c r="C9" s="27" t="s">
        <v>388</v>
      </c>
      <c r="D9" s="65">
        <v>4.8000000000000001E-2</v>
      </c>
      <c r="E9" s="16">
        <f>E8</f>
        <v>163328.65920000002</v>
      </c>
      <c r="F9" s="17">
        <f t="shared" si="0"/>
        <v>7839.7756416000011</v>
      </c>
      <c r="G9" s="303"/>
    </row>
    <row r="10" spans="1:7">
      <c r="A10" s="303"/>
      <c r="B10" s="199">
        <v>6</v>
      </c>
      <c r="C10" s="27" t="s">
        <v>391</v>
      </c>
      <c r="D10" s="65">
        <v>2.9499999999999998E-2</v>
      </c>
      <c r="E10" s="16">
        <f>E9</f>
        <v>163328.65920000002</v>
      </c>
      <c r="F10" s="17">
        <f t="shared" si="0"/>
        <v>4818.1954464</v>
      </c>
      <c r="G10" s="303"/>
    </row>
    <row r="11" spans="1:7">
      <c r="A11" s="303"/>
      <c r="B11" s="332" t="s">
        <v>73</v>
      </c>
      <c r="C11" s="332"/>
      <c r="D11" s="65">
        <f>SUM(D5:D10)</f>
        <v>0.1928</v>
      </c>
      <c r="E11" s="15"/>
      <c r="F11" s="15"/>
      <c r="G11" s="303"/>
    </row>
    <row r="12" spans="1:7">
      <c r="A12" s="303"/>
      <c r="B12" s="66"/>
      <c r="G12" s="303"/>
    </row>
    <row r="13" spans="1:7">
      <c r="A13" s="303"/>
      <c r="B13" s="328" t="s">
        <v>74</v>
      </c>
      <c r="C13" s="328"/>
      <c r="D13" s="328"/>
      <c r="E13" s="328"/>
      <c r="F13" s="328"/>
      <c r="G13" s="303"/>
    </row>
    <row r="14" spans="1:7">
      <c r="A14" s="303"/>
      <c r="B14" s="10">
        <v>1</v>
      </c>
      <c r="C14" s="7" t="s">
        <v>75</v>
      </c>
      <c r="D14" s="294">
        <v>0.15</v>
      </c>
      <c r="E14" s="8">
        <f>'Cálculo da Receita Bruta'!I5</f>
        <v>201640.32000000001</v>
      </c>
      <c r="F14" s="9">
        <f>E14*D14</f>
        <v>30246.047999999999</v>
      </c>
      <c r="G14" s="303"/>
    </row>
    <row r="15" spans="1:7">
      <c r="A15" s="303"/>
      <c r="B15" s="332" t="s">
        <v>73</v>
      </c>
      <c r="C15" s="332"/>
      <c r="D15" s="295">
        <v>0.15</v>
      </c>
      <c r="E15" s="15"/>
      <c r="F15" s="15"/>
      <c r="G15" s="303"/>
    </row>
    <row r="16" spans="1:7">
      <c r="A16" s="303"/>
      <c r="B16" s="332" t="s">
        <v>66</v>
      </c>
      <c r="C16" s="332"/>
      <c r="D16" s="26"/>
      <c r="E16" s="16"/>
      <c r="F16" s="17">
        <f>F5+F6+F7+F8+F9+F10+F14</f>
        <v>61735.813493760004</v>
      </c>
      <c r="G16" s="303"/>
    </row>
    <row r="17" spans="1:6">
      <c r="A17" s="303"/>
      <c r="B17" s="303"/>
      <c r="C17" s="303"/>
      <c r="D17" s="303"/>
      <c r="E17" s="303"/>
      <c r="F17" s="303"/>
    </row>
  </sheetData>
  <mergeCells count="10">
    <mergeCell ref="A1:G1"/>
    <mergeCell ref="A17:F17"/>
    <mergeCell ref="A2:A16"/>
    <mergeCell ref="G2:G16"/>
    <mergeCell ref="B16:C16"/>
    <mergeCell ref="B2:F2"/>
    <mergeCell ref="B4:F4"/>
    <mergeCell ref="B11:C11"/>
    <mergeCell ref="B13:F13"/>
    <mergeCell ref="B15:C15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3"/>
  <sheetViews>
    <sheetView workbookViewId="0">
      <selection activeCell="F6" sqref="F6"/>
    </sheetView>
  </sheetViews>
  <sheetFormatPr defaultRowHeight="15"/>
  <cols>
    <col min="1" max="1" width="3.85546875" customWidth="1"/>
    <col min="2" max="2" width="8.7109375" customWidth="1"/>
    <col min="3" max="3" width="45.28515625" customWidth="1"/>
    <col min="4" max="4" width="12.5703125" customWidth="1"/>
    <col min="5" max="5" width="13.85546875" customWidth="1"/>
    <col min="6" max="6" width="15.85546875" customWidth="1"/>
    <col min="7" max="1024" width="8.7109375" customWidth="1"/>
  </cols>
  <sheetData>
    <row r="1" spans="1:7" ht="15.75" thickBot="1">
      <c r="A1" s="303"/>
      <c r="B1" s="303"/>
      <c r="C1" s="303"/>
      <c r="D1" s="303"/>
      <c r="E1" s="303"/>
      <c r="F1" s="303"/>
      <c r="G1" s="303"/>
    </row>
    <row r="2" spans="1:7" ht="15.75" thickBot="1">
      <c r="A2" s="303"/>
      <c r="B2" s="328" t="s">
        <v>1</v>
      </c>
      <c r="C2" s="328"/>
      <c r="D2" s="328"/>
      <c r="E2" s="328"/>
      <c r="F2" s="328"/>
      <c r="G2" s="303"/>
    </row>
    <row r="3" spans="1:7" ht="15.75" thickBot="1">
      <c r="A3" s="303"/>
      <c r="B3" s="340" t="s">
        <v>2</v>
      </c>
      <c r="C3" s="340"/>
      <c r="D3" s="340"/>
      <c r="E3" s="340"/>
      <c r="F3" s="340"/>
      <c r="G3" s="303"/>
    </row>
    <row r="4" spans="1:7" ht="15.75" thickBot="1">
      <c r="A4" s="303"/>
      <c r="B4" s="1" t="s">
        <v>3</v>
      </c>
      <c r="C4" s="2" t="s">
        <v>4</v>
      </c>
      <c r="D4" s="2" t="s">
        <v>5</v>
      </c>
      <c r="E4" s="2" t="s">
        <v>6</v>
      </c>
      <c r="F4" s="3" t="s">
        <v>73</v>
      </c>
      <c r="G4" s="303"/>
    </row>
    <row r="5" spans="1:7">
      <c r="A5" s="303"/>
      <c r="B5" s="38"/>
      <c r="C5" s="341" t="s">
        <v>9</v>
      </c>
      <c r="D5" s="341"/>
      <c r="E5" s="341"/>
      <c r="F5" s="341"/>
      <c r="G5" s="303"/>
    </row>
    <row r="6" spans="1:7">
      <c r="A6" s="303"/>
      <c r="B6" s="6">
        <v>12</v>
      </c>
      <c r="C6" s="69" t="s">
        <v>336</v>
      </c>
      <c r="D6" s="8">
        <f>'Insumos Básicos'!D7</f>
        <v>1450</v>
      </c>
      <c r="E6" s="7">
        <v>1.7414000000000001</v>
      </c>
      <c r="F6" s="9">
        <f>B6*D6*E6</f>
        <v>30300.36</v>
      </c>
      <c r="G6" s="303"/>
    </row>
    <row r="7" spans="1:7">
      <c r="A7" s="303"/>
      <c r="B7" s="14"/>
      <c r="C7" s="338" t="s">
        <v>76</v>
      </c>
      <c r="D7" s="338"/>
      <c r="E7" s="15"/>
      <c r="F7" s="17">
        <f>SUM(F6:F6)</f>
        <v>30300.36</v>
      </c>
      <c r="G7" s="303"/>
    </row>
    <row r="8" spans="1:7">
      <c r="A8" s="303"/>
      <c r="B8" s="15"/>
      <c r="C8" s="339" t="s">
        <v>77</v>
      </c>
      <c r="D8" s="339"/>
      <c r="E8" s="15">
        <v>12</v>
      </c>
      <c r="F8" s="15"/>
      <c r="G8" s="303"/>
    </row>
    <row r="9" spans="1:7">
      <c r="A9" s="303"/>
      <c r="B9" s="15"/>
      <c r="C9" s="338" t="s">
        <v>78</v>
      </c>
      <c r="D9" s="338"/>
      <c r="E9" s="15"/>
      <c r="F9" s="17">
        <f>F7*E8</f>
        <v>363604.32</v>
      </c>
      <c r="G9" s="303"/>
    </row>
    <row r="10" spans="1:7">
      <c r="A10" s="303"/>
      <c r="B10" s="12"/>
      <c r="C10" s="67"/>
      <c r="D10" s="67"/>
      <c r="E10" s="12"/>
      <c r="F10" s="12"/>
      <c r="G10" s="303"/>
    </row>
    <row r="11" spans="1:7">
      <c r="A11" s="303"/>
      <c r="B11" s="7"/>
      <c r="C11" s="319" t="s">
        <v>11</v>
      </c>
      <c r="D11" s="319"/>
      <c r="E11" s="319"/>
      <c r="F11" s="319"/>
      <c r="G11" s="303"/>
    </row>
    <row r="12" spans="1:7">
      <c r="A12" s="303"/>
      <c r="B12" s="6">
        <v>1</v>
      </c>
      <c r="C12" s="69" t="s">
        <v>332</v>
      </c>
      <c r="D12" s="8">
        <f>'Insumos Básicos'!D10</f>
        <v>2500</v>
      </c>
      <c r="E12" s="13">
        <v>1.7414000000000001</v>
      </c>
      <c r="F12" s="9">
        <f t="shared" ref="F12:F13" si="0">B12*D12*E12</f>
        <v>4353.5</v>
      </c>
      <c r="G12" s="303"/>
    </row>
    <row r="13" spans="1:7">
      <c r="A13" s="303"/>
      <c r="B13" s="14">
        <v>2</v>
      </c>
      <c r="C13" s="27" t="s">
        <v>333</v>
      </c>
      <c r="D13" s="16">
        <f>'Insumos Básicos'!D11</f>
        <v>1600</v>
      </c>
      <c r="E13" s="13">
        <v>1.7414000000000001</v>
      </c>
      <c r="F13" s="9">
        <f t="shared" si="0"/>
        <v>5572.4800000000005</v>
      </c>
      <c r="G13" s="303"/>
    </row>
    <row r="14" spans="1:7">
      <c r="A14" s="303"/>
      <c r="B14" s="14"/>
      <c r="C14" s="338" t="s">
        <v>76</v>
      </c>
      <c r="D14" s="338"/>
      <c r="E14" s="15"/>
      <c r="F14" s="17">
        <f>SUM(F12:F13)</f>
        <v>9925.98</v>
      </c>
      <c r="G14" s="303"/>
    </row>
    <row r="15" spans="1:7">
      <c r="A15" s="303"/>
      <c r="B15" s="14"/>
      <c r="C15" s="339" t="s">
        <v>77</v>
      </c>
      <c r="D15" s="339"/>
      <c r="E15" s="15">
        <v>12</v>
      </c>
      <c r="F15" s="17"/>
      <c r="G15" s="303"/>
    </row>
    <row r="16" spans="1:7">
      <c r="A16" s="303"/>
      <c r="B16" s="14"/>
      <c r="C16" s="338" t="s">
        <v>78</v>
      </c>
      <c r="D16" s="338"/>
      <c r="E16" s="15"/>
      <c r="F16" s="17">
        <f>F14*E15</f>
        <v>119111.76</v>
      </c>
      <c r="G16" s="303"/>
    </row>
    <row r="17" spans="1:7">
      <c r="A17" s="303"/>
      <c r="B17" s="12"/>
      <c r="C17" s="12"/>
      <c r="D17" s="12"/>
      <c r="E17" s="12"/>
      <c r="F17" s="12"/>
      <c r="G17" s="303"/>
    </row>
    <row r="18" spans="1:7">
      <c r="A18" s="303"/>
      <c r="B18" s="7"/>
      <c r="C18" s="318" t="s">
        <v>334</v>
      </c>
      <c r="D18" s="319"/>
      <c r="E18" s="319"/>
      <c r="F18" s="319"/>
      <c r="G18" s="303"/>
    </row>
    <row r="19" spans="1:7">
      <c r="A19" s="303"/>
      <c r="B19" s="10">
        <v>1</v>
      </c>
      <c r="C19" s="69" t="s">
        <v>335</v>
      </c>
      <c r="D19" s="8">
        <f>'Insumos Básicos'!D14</f>
        <v>2000</v>
      </c>
      <c r="E19" s="13">
        <v>1.7414000000000001</v>
      </c>
      <c r="F19" s="9">
        <f>B19*D19*E19</f>
        <v>3482.8</v>
      </c>
      <c r="G19" s="303"/>
    </row>
    <row r="20" spans="1:7">
      <c r="A20" s="303"/>
      <c r="B20" s="15"/>
      <c r="C20" s="338" t="s">
        <v>76</v>
      </c>
      <c r="D20" s="338"/>
      <c r="E20" s="15"/>
      <c r="F20" s="17">
        <f>SUM(F19:F19)</f>
        <v>3482.8</v>
      </c>
      <c r="G20" s="303"/>
    </row>
    <row r="21" spans="1:7">
      <c r="A21" s="303"/>
      <c r="B21" s="68"/>
      <c r="C21" s="339" t="s">
        <v>77</v>
      </c>
      <c r="D21" s="339"/>
      <c r="E21" s="15">
        <v>12</v>
      </c>
      <c r="F21" s="68"/>
      <c r="G21" s="303"/>
    </row>
    <row r="22" spans="1:7">
      <c r="A22" s="303"/>
      <c r="B22" s="15"/>
      <c r="C22" s="338" t="s">
        <v>78</v>
      </c>
      <c r="D22" s="338"/>
      <c r="E22" s="15"/>
      <c r="F22" s="17">
        <f>F20*E21</f>
        <v>41793.600000000006</v>
      </c>
      <c r="G22" s="303"/>
    </row>
    <row r="23" spans="1:7">
      <c r="A23" s="303"/>
      <c r="B23" s="303"/>
      <c r="C23" s="303"/>
      <c r="D23" s="303"/>
      <c r="E23" s="303"/>
      <c r="F23" s="303"/>
      <c r="G23" s="303"/>
    </row>
  </sheetData>
  <mergeCells count="18">
    <mergeCell ref="C7:D7"/>
    <mergeCell ref="C8:D8"/>
    <mergeCell ref="A1:G1"/>
    <mergeCell ref="A2:A22"/>
    <mergeCell ref="G2:G22"/>
    <mergeCell ref="C9:D9"/>
    <mergeCell ref="C11:F11"/>
    <mergeCell ref="C14:D14"/>
    <mergeCell ref="C15:D15"/>
    <mergeCell ref="C16:D16"/>
    <mergeCell ref="B2:F2"/>
    <mergeCell ref="B3:F3"/>
    <mergeCell ref="C5:F5"/>
    <mergeCell ref="A23:G23"/>
    <mergeCell ref="C18:F18"/>
    <mergeCell ref="C20:D20"/>
    <mergeCell ref="C21:D21"/>
    <mergeCell ref="C22:D2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38"/>
  <sheetViews>
    <sheetView topLeftCell="A25" workbookViewId="0">
      <selection activeCell="L27" sqref="L27"/>
    </sheetView>
  </sheetViews>
  <sheetFormatPr defaultRowHeight="15"/>
  <cols>
    <col min="1" max="1" width="4.140625" customWidth="1"/>
    <col min="2" max="2" width="8.7109375" customWidth="1"/>
    <col min="3" max="3" width="34.28515625" customWidth="1"/>
    <col min="4" max="4" width="10.5703125" customWidth="1"/>
    <col min="5" max="5" width="12.85546875" customWidth="1"/>
    <col min="6" max="6" width="14.28515625" customWidth="1"/>
    <col min="7" max="1024" width="8.7109375" customWidth="1"/>
  </cols>
  <sheetData>
    <row r="1" spans="1:7" ht="15.75" thickBot="1">
      <c r="A1" s="303"/>
      <c r="B1" s="303"/>
      <c r="C1" s="303"/>
      <c r="D1" s="303"/>
      <c r="E1" s="303"/>
      <c r="F1" s="303"/>
      <c r="G1" s="303"/>
    </row>
    <row r="2" spans="1:7" ht="16.5" thickBot="1">
      <c r="A2" s="303"/>
      <c r="B2" s="347" t="s">
        <v>79</v>
      </c>
      <c r="C2" s="347"/>
      <c r="D2" s="347"/>
      <c r="E2" s="347"/>
      <c r="F2" s="347"/>
      <c r="G2" s="303"/>
    </row>
    <row r="3" spans="1:7" ht="15.75" thickBot="1">
      <c r="A3" s="303"/>
      <c r="B3" s="1" t="s">
        <v>3</v>
      </c>
      <c r="C3" s="2" t="s">
        <v>4</v>
      </c>
      <c r="D3" s="2" t="s">
        <v>13</v>
      </c>
      <c r="E3" s="2"/>
      <c r="F3" s="3" t="s">
        <v>73</v>
      </c>
      <c r="G3" s="303"/>
    </row>
    <row r="4" spans="1:7">
      <c r="A4" s="303"/>
      <c r="B4" s="38"/>
      <c r="C4" s="341" t="s">
        <v>15</v>
      </c>
      <c r="D4" s="341"/>
      <c r="E4" s="341"/>
      <c r="F4" s="341"/>
      <c r="G4" s="303"/>
    </row>
    <row r="5" spans="1:7" ht="15" customHeight="1">
      <c r="A5" s="303"/>
      <c r="B5" s="7">
        <v>12</v>
      </c>
      <c r="C5" s="7" t="s">
        <v>16</v>
      </c>
      <c r="D5" s="8">
        <f>'Insumos Básicos'!D19</f>
        <v>390</v>
      </c>
      <c r="E5" s="7"/>
      <c r="F5" s="9">
        <f>B5*D5</f>
        <v>4680</v>
      </c>
      <c r="G5" s="303"/>
    </row>
    <row r="6" spans="1:7" ht="15" customHeight="1">
      <c r="A6" s="303"/>
      <c r="B6" s="15">
        <v>3</v>
      </c>
      <c r="C6" s="15" t="s">
        <v>17</v>
      </c>
      <c r="D6" s="16">
        <f>'Insumos Básicos'!D20</f>
        <v>390</v>
      </c>
      <c r="E6" s="15"/>
      <c r="F6" s="17">
        <f>B6*D6</f>
        <v>1170</v>
      </c>
      <c r="G6" s="303"/>
    </row>
    <row r="7" spans="1:7" ht="15" customHeight="1">
      <c r="A7" s="303"/>
      <c r="B7" s="15">
        <v>2</v>
      </c>
      <c r="C7" s="27" t="s">
        <v>337</v>
      </c>
      <c r="D7" s="16">
        <f>'Insumos Básicos'!D21</f>
        <v>390</v>
      </c>
      <c r="E7" s="15"/>
      <c r="F7" s="17">
        <f>B7*D7</f>
        <v>780</v>
      </c>
      <c r="G7" s="303"/>
    </row>
    <row r="8" spans="1:7" ht="15" customHeight="1">
      <c r="A8" s="303"/>
      <c r="B8" s="15"/>
      <c r="C8" s="338" t="s">
        <v>76</v>
      </c>
      <c r="D8" s="338"/>
      <c r="E8" s="15"/>
      <c r="F8" s="17">
        <f>SUM(F5:F7)</f>
        <v>6630</v>
      </c>
      <c r="G8" s="303"/>
    </row>
    <row r="9" spans="1:7">
      <c r="A9" s="303"/>
      <c r="B9" s="15"/>
      <c r="C9" s="339" t="s">
        <v>77</v>
      </c>
      <c r="D9" s="339"/>
      <c r="E9" s="15">
        <v>12</v>
      </c>
      <c r="F9" s="17"/>
      <c r="G9" s="303"/>
    </row>
    <row r="10" spans="1:7">
      <c r="A10" s="303"/>
      <c r="B10" s="15"/>
      <c r="C10" s="338" t="s">
        <v>78</v>
      </c>
      <c r="D10" s="338"/>
      <c r="E10" s="15"/>
      <c r="F10" s="17">
        <f>F8*E9</f>
        <v>79560</v>
      </c>
      <c r="G10" s="303"/>
    </row>
    <row r="11" spans="1:7">
      <c r="A11" s="303"/>
      <c r="B11" s="345"/>
      <c r="C11" s="345"/>
      <c r="D11" s="345"/>
      <c r="E11" s="345"/>
      <c r="F11" s="345"/>
      <c r="G11" s="303"/>
    </row>
    <row r="12" spans="1:7">
      <c r="A12" s="303"/>
      <c r="B12" s="7"/>
      <c r="C12" s="319" t="s">
        <v>18</v>
      </c>
      <c r="D12" s="319"/>
      <c r="E12" s="319"/>
      <c r="F12" s="319"/>
      <c r="G12" s="303"/>
    </row>
    <row r="13" spans="1:7" ht="15" customHeight="1">
      <c r="A13" s="303"/>
      <c r="B13" s="7">
        <v>12</v>
      </c>
      <c r="C13" s="7" t="s">
        <v>19</v>
      </c>
      <c r="D13" s="8">
        <f>'Insumos Básicos'!D24</f>
        <v>228.8</v>
      </c>
      <c r="E13" s="7"/>
      <c r="F13" s="9">
        <f>B13*D13</f>
        <v>2745.6000000000004</v>
      </c>
      <c r="G13" s="303"/>
    </row>
    <row r="14" spans="1:7">
      <c r="A14" s="303"/>
      <c r="B14" s="15">
        <v>3</v>
      </c>
      <c r="C14" s="15" t="s">
        <v>21</v>
      </c>
      <c r="D14" s="16">
        <f>'Insumos Básicos'!D25</f>
        <v>228.8</v>
      </c>
      <c r="E14" s="15"/>
      <c r="F14" s="17">
        <f>B14*D14</f>
        <v>686.40000000000009</v>
      </c>
      <c r="G14" s="303"/>
    </row>
    <row r="15" spans="1:7">
      <c r="A15" s="303"/>
      <c r="B15" s="15">
        <v>2</v>
      </c>
      <c r="C15" s="27" t="s">
        <v>338</v>
      </c>
      <c r="D15" s="16">
        <f>'Insumos Básicos'!D26</f>
        <v>228.8</v>
      </c>
      <c r="E15" s="15"/>
      <c r="F15" s="17">
        <f>B15*D15</f>
        <v>457.6</v>
      </c>
      <c r="G15" s="303"/>
    </row>
    <row r="16" spans="1:7">
      <c r="A16" s="303"/>
      <c r="B16" s="15"/>
      <c r="C16" s="338" t="s">
        <v>76</v>
      </c>
      <c r="D16" s="338"/>
      <c r="E16" s="15"/>
      <c r="F16" s="17">
        <f>SUM(F13:F15)</f>
        <v>3889.6000000000004</v>
      </c>
      <c r="G16" s="303"/>
    </row>
    <row r="17" spans="1:7">
      <c r="A17" s="303"/>
      <c r="B17" s="15"/>
      <c r="C17" s="339" t="s">
        <v>77</v>
      </c>
      <c r="D17" s="339"/>
      <c r="E17" s="15">
        <v>12</v>
      </c>
      <c r="F17" s="17"/>
      <c r="G17" s="303"/>
    </row>
    <row r="18" spans="1:7" ht="15" customHeight="1">
      <c r="A18" s="303"/>
      <c r="B18" s="15"/>
      <c r="C18" s="338" t="s">
        <v>78</v>
      </c>
      <c r="D18" s="338"/>
      <c r="E18" s="15"/>
      <c r="F18" s="17">
        <f>F16*E17</f>
        <v>46675.200000000004</v>
      </c>
      <c r="G18" s="303"/>
    </row>
    <row r="19" spans="1:7">
      <c r="A19" s="303"/>
      <c r="B19" s="345"/>
      <c r="C19" s="345"/>
      <c r="D19" s="345"/>
      <c r="E19" s="345"/>
      <c r="F19" s="345"/>
      <c r="G19" s="303"/>
    </row>
    <row r="20" spans="1:7" ht="15" customHeight="1">
      <c r="A20" s="303"/>
      <c r="B20" s="7"/>
      <c r="C20" s="318" t="s">
        <v>339</v>
      </c>
      <c r="D20" s="319"/>
      <c r="E20" s="319"/>
      <c r="F20" s="319"/>
      <c r="G20" s="303"/>
    </row>
    <row r="21" spans="1:7" ht="15" customHeight="1">
      <c r="A21" s="303"/>
      <c r="B21" s="7">
        <v>12</v>
      </c>
      <c r="C21" s="69" t="s">
        <v>22</v>
      </c>
      <c r="D21" s="8">
        <f>'Insumos Básicos'!D29</f>
        <v>90</v>
      </c>
      <c r="E21" s="7"/>
      <c r="F21" s="9">
        <f>B21*D21</f>
        <v>1080</v>
      </c>
      <c r="G21" s="303"/>
    </row>
    <row r="22" spans="1:7">
      <c r="A22" s="303"/>
      <c r="B22" s="15">
        <v>3</v>
      </c>
      <c r="C22" s="27" t="s">
        <v>23</v>
      </c>
      <c r="D22" s="16">
        <f>'Insumos Básicos'!D30</f>
        <v>90</v>
      </c>
      <c r="E22" s="15"/>
      <c r="F22" s="17">
        <f>B22*D22</f>
        <v>270</v>
      </c>
      <c r="G22" s="303"/>
    </row>
    <row r="23" spans="1:7">
      <c r="A23" s="303"/>
      <c r="B23" s="15">
        <v>2</v>
      </c>
      <c r="C23" s="27" t="s">
        <v>340</v>
      </c>
      <c r="D23" s="16">
        <f>'Insumos Básicos'!D31</f>
        <v>90</v>
      </c>
      <c r="E23" s="15"/>
      <c r="F23" s="17">
        <f>B23*D23</f>
        <v>180</v>
      </c>
      <c r="G23" s="303"/>
    </row>
    <row r="24" spans="1:7">
      <c r="A24" s="303"/>
      <c r="B24" s="15"/>
      <c r="C24" s="338" t="s">
        <v>76</v>
      </c>
      <c r="D24" s="338"/>
      <c r="E24" s="15"/>
      <c r="F24" s="17">
        <f>SUM(F21:F23)</f>
        <v>1530</v>
      </c>
      <c r="G24" s="303"/>
    </row>
    <row r="25" spans="1:7">
      <c r="A25" s="303"/>
      <c r="B25" s="12"/>
      <c r="C25" s="342" t="s">
        <v>77</v>
      </c>
      <c r="D25" s="342"/>
      <c r="E25" s="12">
        <v>12</v>
      </c>
      <c r="F25" s="63"/>
      <c r="G25" s="303"/>
    </row>
    <row r="26" spans="1:7">
      <c r="A26" s="303"/>
      <c r="B26" s="12"/>
      <c r="C26" s="343" t="s">
        <v>78</v>
      </c>
      <c r="D26" s="343"/>
      <c r="F26" s="63">
        <f>F24*E25</f>
        <v>18360</v>
      </c>
      <c r="G26" s="303"/>
    </row>
    <row r="27" spans="1:7" ht="15.75" thickBot="1">
      <c r="A27" s="303"/>
      <c r="B27" s="344"/>
      <c r="C27" s="344"/>
      <c r="D27" s="344"/>
      <c r="E27" s="344"/>
      <c r="F27" s="344"/>
      <c r="G27" s="303"/>
    </row>
    <row r="28" spans="1:7" ht="15.75" thickBot="1">
      <c r="A28" s="303"/>
      <c r="B28" s="1" t="s">
        <v>3</v>
      </c>
      <c r="C28" s="2" t="s">
        <v>4</v>
      </c>
      <c r="D28" s="2" t="s">
        <v>13</v>
      </c>
      <c r="E28" s="2" t="s">
        <v>24</v>
      </c>
      <c r="F28" s="3" t="s">
        <v>73</v>
      </c>
      <c r="G28" s="303"/>
    </row>
    <row r="29" spans="1:7" ht="15" customHeight="1">
      <c r="A29" s="303"/>
      <c r="B29" s="38"/>
      <c r="C29" s="346" t="s">
        <v>341</v>
      </c>
      <c r="D29" s="341"/>
      <c r="E29" s="341"/>
      <c r="F29" s="341"/>
      <c r="G29" s="303"/>
    </row>
    <row r="30" spans="1:7" ht="15" customHeight="1">
      <c r="A30" s="303"/>
      <c r="B30" s="7">
        <v>16</v>
      </c>
      <c r="C30" s="7" t="s">
        <v>26</v>
      </c>
      <c r="D30" s="8">
        <f>'Insumos Básicos'!D35</f>
        <v>80.599999999999994</v>
      </c>
      <c r="E30" s="10">
        <v>4</v>
      </c>
      <c r="F30" s="9">
        <f t="shared" ref="F30:F34" si="0">B30*D30*E30/12</f>
        <v>429.86666666666662</v>
      </c>
      <c r="G30" s="303"/>
    </row>
    <row r="31" spans="1:7" ht="15" customHeight="1">
      <c r="A31" s="303"/>
      <c r="B31" s="15">
        <v>16</v>
      </c>
      <c r="C31" s="15" t="s">
        <v>27</v>
      </c>
      <c r="D31" s="16">
        <f>'Insumos Básicos'!D36</f>
        <v>83.32</v>
      </c>
      <c r="E31" s="11">
        <v>4</v>
      </c>
      <c r="F31" s="17">
        <f t="shared" si="0"/>
        <v>444.37333333333328</v>
      </c>
      <c r="G31" s="303"/>
    </row>
    <row r="32" spans="1:7" ht="15" customHeight="1">
      <c r="A32" s="303"/>
      <c r="B32" s="15">
        <v>16</v>
      </c>
      <c r="C32" s="27" t="s">
        <v>477</v>
      </c>
      <c r="D32" s="16">
        <f>'Insumos Básicos'!D37</f>
        <v>129.94</v>
      </c>
      <c r="E32" s="11">
        <v>2</v>
      </c>
      <c r="F32" s="17">
        <f t="shared" si="0"/>
        <v>346.50666666666666</v>
      </c>
      <c r="G32" s="303"/>
    </row>
    <row r="33" spans="1:7" ht="15" customHeight="1">
      <c r="A33" s="303"/>
      <c r="B33" s="15">
        <v>13</v>
      </c>
      <c r="C33" s="27" t="s">
        <v>478</v>
      </c>
      <c r="D33" s="16">
        <f>'Insumos Básicos'!D38</f>
        <v>39.5</v>
      </c>
      <c r="E33" s="11">
        <v>2</v>
      </c>
      <c r="F33" s="17">
        <f t="shared" si="0"/>
        <v>85.583333333333329</v>
      </c>
      <c r="G33" s="303"/>
    </row>
    <row r="34" spans="1:7" ht="15" customHeight="1">
      <c r="A34" s="303"/>
      <c r="B34" s="15">
        <v>14</v>
      </c>
      <c r="C34" s="27" t="s">
        <v>479</v>
      </c>
      <c r="D34" s="16">
        <f>'Insumos Básicos'!D39</f>
        <v>90.86</v>
      </c>
      <c r="E34" s="11">
        <v>12</v>
      </c>
      <c r="F34" s="17">
        <f t="shared" si="0"/>
        <v>1272.04</v>
      </c>
      <c r="G34" s="303"/>
    </row>
    <row r="35" spans="1:7">
      <c r="A35" s="303"/>
      <c r="B35" s="15"/>
      <c r="C35" s="338" t="s">
        <v>76</v>
      </c>
      <c r="D35" s="338"/>
      <c r="E35" s="15"/>
      <c r="F35" s="17">
        <f>SUM(F30:F34)</f>
        <v>2578.37</v>
      </c>
      <c r="G35" s="303"/>
    </row>
    <row r="36" spans="1:7">
      <c r="A36" s="303"/>
      <c r="B36" s="15"/>
      <c r="C36" s="339" t="s">
        <v>77</v>
      </c>
      <c r="D36" s="339"/>
      <c r="E36" s="15">
        <v>12</v>
      </c>
      <c r="F36" s="15"/>
      <c r="G36" s="303"/>
    </row>
    <row r="37" spans="1:7">
      <c r="A37" s="303"/>
      <c r="B37" s="15"/>
      <c r="C37" s="338" t="s">
        <v>78</v>
      </c>
      <c r="D37" s="338"/>
      <c r="E37" s="15"/>
      <c r="F37" s="17">
        <f>F35*E36</f>
        <v>30940.44</v>
      </c>
      <c r="G37" s="303"/>
    </row>
    <row r="38" spans="1:7">
      <c r="A38" s="303"/>
      <c r="B38" s="303"/>
      <c r="C38" s="303"/>
      <c r="D38" s="303"/>
      <c r="E38" s="303"/>
      <c r="F38" s="303"/>
      <c r="G38" s="303"/>
    </row>
  </sheetData>
  <mergeCells count="24">
    <mergeCell ref="C16:D16"/>
    <mergeCell ref="C17:D17"/>
    <mergeCell ref="C18:D18"/>
    <mergeCell ref="B2:F2"/>
    <mergeCell ref="C4:F4"/>
    <mergeCell ref="C8:D8"/>
    <mergeCell ref="C9:D9"/>
    <mergeCell ref="C10:D10"/>
    <mergeCell ref="A1:G1"/>
    <mergeCell ref="A2:A37"/>
    <mergeCell ref="G2:G37"/>
    <mergeCell ref="A38:G38"/>
    <mergeCell ref="C37:D37"/>
    <mergeCell ref="C24:D24"/>
    <mergeCell ref="C25:D25"/>
    <mergeCell ref="C26:D26"/>
    <mergeCell ref="B27:F27"/>
    <mergeCell ref="B19:F19"/>
    <mergeCell ref="C20:F20"/>
    <mergeCell ref="C29:F29"/>
    <mergeCell ref="C35:D35"/>
    <mergeCell ref="C36:D36"/>
    <mergeCell ref="B11:F11"/>
    <mergeCell ref="C12:F1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49"/>
  <sheetViews>
    <sheetView topLeftCell="A22" workbookViewId="0">
      <selection activeCell="H31" sqref="H31:I31"/>
    </sheetView>
  </sheetViews>
  <sheetFormatPr defaultRowHeight="15"/>
  <cols>
    <col min="1" max="1" width="4.140625" customWidth="1"/>
    <col min="2" max="2" width="38.85546875" customWidth="1"/>
    <col min="3" max="3" width="21.5703125" customWidth="1"/>
    <col min="4" max="4" width="8.5703125" customWidth="1"/>
    <col min="5" max="5" width="15.5703125" customWidth="1"/>
    <col min="6" max="6" width="15.7109375" customWidth="1"/>
    <col min="7" max="1024" width="8.7109375" customWidth="1"/>
  </cols>
  <sheetData>
    <row r="1" spans="1:7">
      <c r="A1" s="303"/>
      <c r="B1" s="303"/>
      <c r="C1" s="303"/>
      <c r="D1" s="303"/>
      <c r="E1" s="303"/>
      <c r="F1" s="303"/>
      <c r="G1" s="303"/>
    </row>
    <row r="2" spans="1:7" ht="15.75" thickBot="1">
      <c r="A2" s="303"/>
      <c r="B2" s="351" t="s">
        <v>331</v>
      </c>
      <c r="C2" s="344"/>
      <c r="D2" s="344"/>
      <c r="E2" s="344"/>
      <c r="F2" s="344"/>
      <c r="G2" s="303"/>
    </row>
    <row r="3" spans="1:7" ht="15.75" thickBot="1">
      <c r="A3" s="303"/>
      <c r="B3" s="325" t="s">
        <v>4</v>
      </c>
      <c r="C3" s="325"/>
      <c r="D3" s="18" t="s">
        <v>3</v>
      </c>
      <c r="E3" s="19" t="s">
        <v>13</v>
      </c>
      <c r="F3" s="3" t="s">
        <v>73</v>
      </c>
      <c r="G3" s="303"/>
    </row>
    <row r="4" spans="1:7">
      <c r="A4" s="303"/>
      <c r="B4" s="341" t="s">
        <v>29</v>
      </c>
      <c r="C4" s="341"/>
      <c r="D4" s="341"/>
      <c r="E4" s="341"/>
      <c r="F4" s="341"/>
      <c r="G4" s="303"/>
    </row>
    <row r="5" spans="1:7">
      <c r="A5" s="303"/>
      <c r="B5" s="318" t="s">
        <v>397</v>
      </c>
      <c r="C5" s="319"/>
      <c r="D5" s="10">
        <v>1</v>
      </c>
      <c r="E5" s="8">
        <v>2000</v>
      </c>
      <c r="F5" s="9">
        <f t="shared" ref="F5:F14" si="0">E5*D5</f>
        <v>2000</v>
      </c>
      <c r="G5" s="303"/>
    </row>
    <row r="6" spans="1:7" ht="15" customHeight="1">
      <c r="A6" s="303"/>
      <c r="B6" s="320" t="s">
        <v>394</v>
      </c>
      <c r="C6" s="315"/>
      <c r="D6" s="11">
        <v>5</v>
      </c>
      <c r="E6" s="16">
        <v>150</v>
      </c>
      <c r="F6" s="17">
        <f t="shared" si="0"/>
        <v>750</v>
      </c>
      <c r="G6" s="303"/>
    </row>
    <row r="7" spans="1:7" ht="15" customHeight="1">
      <c r="A7" s="303"/>
      <c r="B7" s="320" t="s">
        <v>393</v>
      </c>
      <c r="C7" s="315"/>
      <c r="D7" s="11">
        <f>'Insumos Básicos'!D46</f>
        <v>84</v>
      </c>
      <c r="E7" s="16">
        <v>30</v>
      </c>
      <c r="F7" s="17">
        <f t="shared" si="0"/>
        <v>2520</v>
      </c>
      <c r="G7" s="303"/>
    </row>
    <row r="8" spans="1:7">
      <c r="A8" s="303"/>
      <c r="B8" s="315" t="s">
        <v>30</v>
      </c>
      <c r="C8" s="315"/>
      <c r="D8" s="11">
        <v>1</v>
      </c>
      <c r="E8" s="16">
        <v>350</v>
      </c>
      <c r="F8" s="17">
        <f t="shared" si="0"/>
        <v>350</v>
      </c>
      <c r="G8" s="303"/>
    </row>
    <row r="9" spans="1:7">
      <c r="A9" s="303"/>
      <c r="B9" s="315" t="s">
        <v>31</v>
      </c>
      <c r="C9" s="315"/>
      <c r="D9" s="11">
        <v>1</v>
      </c>
      <c r="E9" s="16">
        <v>60</v>
      </c>
      <c r="F9" s="17">
        <f t="shared" si="0"/>
        <v>60</v>
      </c>
      <c r="G9" s="303"/>
    </row>
    <row r="10" spans="1:7">
      <c r="A10" s="303"/>
      <c r="B10" s="320" t="s">
        <v>32</v>
      </c>
      <c r="C10" s="315"/>
      <c r="D10" s="11">
        <v>1</v>
      </c>
      <c r="E10" s="16">
        <v>800</v>
      </c>
      <c r="F10" s="17">
        <f t="shared" si="0"/>
        <v>800</v>
      </c>
      <c r="G10" s="303"/>
    </row>
    <row r="11" spans="1:7">
      <c r="A11" s="303"/>
      <c r="B11" s="315" t="s">
        <v>33</v>
      </c>
      <c r="C11" s="315"/>
      <c r="D11" s="11">
        <v>1</v>
      </c>
      <c r="E11" s="16">
        <v>150</v>
      </c>
      <c r="F11" s="17">
        <f t="shared" si="0"/>
        <v>150</v>
      </c>
      <c r="G11" s="303"/>
    </row>
    <row r="12" spans="1:7">
      <c r="A12" s="303"/>
      <c r="B12" s="315" t="s">
        <v>34</v>
      </c>
      <c r="C12" s="315"/>
      <c r="D12" s="11">
        <v>1</v>
      </c>
      <c r="E12" s="16">
        <v>100</v>
      </c>
      <c r="F12" s="17">
        <f t="shared" si="0"/>
        <v>100</v>
      </c>
      <c r="G12" s="303"/>
    </row>
    <row r="13" spans="1:7">
      <c r="A13" s="303"/>
      <c r="B13" s="315" t="s">
        <v>35</v>
      </c>
      <c r="C13" s="315"/>
      <c r="D13" s="11">
        <v>1</v>
      </c>
      <c r="E13" s="16">
        <v>200</v>
      </c>
      <c r="F13" s="17">
        <f t="shared" si="0"/>
        <v>200</v>
      </c>
      <c r="G13" s="303"/>
    </row>
    <row r="14" spans="1:7">
      <c r="A14" s="303"/>
      <c r="B14" s="315" t="s">
        <v>36</v>
      </c>
      <c r="C14" s="315"/>
      <c r="D14" s="11">
        <v>1</v>
      </c>
      <c r="E14" s="16">
        <v>3000</v>
      </c>
      <c r="F14" s="17">
        <f t="shared" si="0"/>
        <v>3000</v>
      </c>
      <c r="G14" s="303"/>
    </row>
    <row r="15" spans="1:7">
      <c r="A15" s="303"/>
      <c r="B15" s="24"/>
      <c r="C15" s="338" t="s">
        <v>80</v>
      </c>
      <c r="D15" s="338"/>
      <c r="E15" s="16"/>
      <c r="F15" s="17">
        <f>SUM(F5:F14)</f>
        <v>9930</v>
      </c>
      <c r="G15" s="303"/>
    </row>
    <row r="16" spans="1:7">
      <c r="A16" s="303"/>
      <c r="B16" s="24"/>
      <c r="C16" s="350" t="s">
        <v>77</v>
      </c>
      <c r="D16" s="350"/>
      <c r="E16" s="60">
        <v>12</v>
      </c>
      <c r="F16" s="17"/>
      <c r="G16" s="303"/>
    </row>
    <row r="17" spans="1:9">
      <c r="A17" s="303"/>
      <c r="B17" s="24"/>
      <c r="C17" s="332" t="s">
        <v>81</v>
      </c>
      <c r="D17" s="332"/>
      <c r="E17" s="16"/>
      <c r="F17" s="17">
        <f>F15*E16</f>
        <v>119160</v>
      </c>
      <c r="G17" s="303"/>
    </row>
    <row r="18" spans="1:9">
      <c r="A18" s="303"/>
      <c r="B18" s="345"/>
      <c r="C18" s="345"/>
      <c r="D18" s="345"/>
      <c r="E18" s="345"/>
      <c r="F18" s="345"/>
      <c r="G18" s="303"/>
    </row>
    <row r="19" spans="1:9">
      <c r="A19" s="303"/>
      <c r="B19" s="319" t="s">
        <v>37</v>
      </c>
      <c r="C19" s="319"/>
      <c r="D19" s="319"/>
      <c r="E19" s="319"/>
      <c r="F19" s="319"/>
      <c r="G19" s="303"/>
    </row>
    <row r="20" spans="1:9">
      <c r="A20" s="303"/>
      <c r="B20" s="318" t="s">
        <v>437</v>
      </c>
      <c r="C20" s="319"/>
      <c r="D20" s="10">
        <v>1</v>
      </c>
      <c r="E20" s="8">
        <f>'Insumos Básicos'!E56</f>
        <v>2000</v>
      </c>
      <c r="F20" s="9">
        <f t="shared" ref="F20:F23" si="1">D20*E20</f>
        <v>2000</v>
      </c>
      <c r="G20" s="303"/>
    </row>
    <row r="21" spans="1:9">
      <c r="A21" s="303"/>
      <c r="B21" s="315" t="s">
        <v>38</v>
      </c>
      <c r="C21" s="315"/>
      <c r="D21" s="11">
        <v>1</v>
      </c>
      <c r="E21" s="16">
        <f>'Insumos Básicos'!E57</f>
        <v>1670</v>
      </c>
      <c r="F21" s="17">
        <f t="shared" si="1"/>
        <v>1670</v>
      </c>
      <c r="G21" s="303"/>
    </row>
    <row r="22" spans="1:9">
      <c r="A22" s="303"/>
      <c r="B22" s="320" t="s">
        <v>395</v>
      </c>
      <c r="C22" s="315"/>
      <c r="D22" s="11">
        <v>17</v>
      </c>
      <c r="E22" s="16">
        <v>23</v>
      </c>
      <c r="F22" s="17">
        <f t="shared" si="1"/>
        <v>391</v>
      </c>
      <c r="G22" s="303"/>
    </row>
    <row r="23" spans="1:9">
      <c r="A23" s="303"/>
      <c r="B23" s="320" t="s">
        <v>396</v>
      </c>
      <c r="C23" s="315"/>
      <c r="D23" s="11">
        <v>1</v>
      </c>
      <c r="E23" s="16">
        <f>'Insumos Básicos'!E59</f>
        <v>700</v>
      </c>
      <c r="F23" s="17">
        <f t="shared" si="1"/>
        <v>700</v>
      </c>
      <c r="G23" s="303"/>
    </row>
    <row r="24" spans="1:9">
      <c r="A24" s="303"/>
      <c r="B24" s="24"/>
      <c r="C24" s="338" t="s">
        <v>80</v>
      </c>
      <c r="D24" s="338"/>
      <c r="E24" s="16"/>
      <c r="F24" s="17">
        <f>SUM(F20:F23)</f>
        <v>4761</v>
      </c>
      <c r="G24" s="303"/>
    </row>
    <row r="25" spans="1:9">
      <c r="A25" s="303"/>
      <c r="B25" s="24"/>
      <c r="C25" s="350" t="s">
        <v>77</v>
      </c>
      <c r="D25" s="350"/>
      <c r="E25" s="60">
        <v>12</v>
      </c>
      <c r="F25" s="17"/>
      <c r="G25" s="303"/>
    </row>
    <row r="26" spans="1:9">
      <c r="A26" s="303"/>
      <c r="B26" s="24"/>
      <c r="C26" s="332" t="s">
        <v>81</v>
      </c>
      <c r="D26" s="332"/>
      <c r="E26" s="16"/>
      <c r="F26" s="17">
        <f>F24*E25</f>
        <v>57132</v>
      </c>
      <c r="G26" s="303"/>
    </row>
    <row r="27" spans="1:9">
      <c r="A27" s="303"/>
      <c r="B27" s="345"/>
      <c r="C27" s="345"/>
      <c r="D27" s="345"/>
      <c r="E27" s="345"/>
      <c r="F27" s="345"/>
      <c r="G27" s="303"/>
    </row>
    <row r="28" spans="1:9">
      <c r="A28" s="303"/>
      <c r="B28" s="319" t="s">
        <v>40</v>
      </c>
      <c r="C28" s="319"/>
      <c r="D28" s="319"/>
      <c r="E28" s="319"/>
      <c r="F28" s="319"/>
      <c r="G28" s="303"/>
    </row>
    <row r="29" spans="1:9">
      <c r="A29" s="303"/>
      <c r="B29" s="320" t="s">
        <v>440</v>
      </c>
      <c r="C29" s="315"/>
      <c r="D29" s="225">
        <v>0.04</v>
      </c>
      <c r="E29" s="16">
        <f>'Insumos Básicos'!E62</f>
        <v>2500.5</v>
      </c>
      <c r="F29" s="17">
        <f>'Insumos Básicos'!F62</f>
        <v>5119.0235999999995</v>
      </c>
      <c r="G29" s="303"/>
    </row>
    <row r="30" spans="1:9">
      <c r="A30" s="303"/>
      <c r="B30" s="320" t="s">
        <v>399</v>
      </c>
      <c r="C30" s="315"/>
      <c r="D30" s="226">
        <v>2</v>
      </c>
      <c r="E30" s="70">
        <f>'Insumos Básicos'!E63</f>
        <v>345.47999999999996</v>
      </c>
      <c r="F30" s="70">
        <f>E30*D30</f>
        <v>690.95999999999992</v>
      </c>
      <c r="G30" s="303"/>
    </row>
    <row r="31" spans="1:9">
      <c r="A31" s="303"/>
      <c r="B31" s="320" t="s">
        <v>400</v>
      </c>
      <c r="C31" s="315"/>
      <c r="D31" s="226">
        <v>0.5</v>
      </c>
      <c r="E31" s="70">
        <f>'Insumos Básicos'!E64</f>
        <v>1920</v>
      </c>
      <c r="F31" s="71">
        <f>D31*E31</f>
        <v>960</v>
      </c>
      <c r="G31" s="303"/>
      <c r="H31" s="348"/>
      <c r="I31" s="348"/>
    </row>
    <row r="32" spans="1:9">
      <c r="A32" s="303"/>
      <c r="B32" s="320" t="s">
        <v>431</v>
      </c>
      <c r="C32" s="315"/>
      <c r="D32" s="27">
        <f>'Insumos Básicos'!D65</f>
        <v>18</v>
      </c>
      <c r="E32" s="16">
        <v>110</v>
      </c>
      <c r="F32" s="17">
        <f t="shared" ref="F32" si="2">D32*E32</f>
        <v>1980</v>
      </c>
      <c r="G32" s="303"/>
      <c r="H32" s="349"/>
      <c r="I32" s="303"/>
    </row>
    <row r="33" spans="1:7">
      <c r="A33" s="303"/>
      <c r="B33" s="24"/>
      <c r="C33" s="338" t="s">
        <v>80</v>
      </c>
      <c r="D33" s="338"/>
      <c r="E33" s="16"/>
      <c r="F33" s="17">
        <f>SUM(F29:F32)</f>
        <v>8749.9835999999996</v>
      </c>
      <c r="G33" s="303"/>
    </row>
    <row r="34" spans="1:7">
      <c r="A34" s="303"/>
      <c r="B34" s="24"/>
      <c r="C34" s="350" t="s">
        <v>77</v>
      </c>
      <c r="D34" s="350"/>
      <c r="E34" s="60">
        <v>12</v>
      </c>
      <c r="F34" s="17"/>
      <c r="G34" s="303"/>
    </row>
    <row r="35" spans="1:7">
      <c r="A35" s="303"/>
      <c r="B35" s="24"/>
      <c r="C35" s="332" t="s">
        <v>81</v>
      </c>
      <c r="D35" s="332"/>
      <c r="E35" s="16"/>
      <c r="F35" s="17">
        <f>F33*E34</f>
        <v>104999.80319999999</v>
      </c>
      <c r="G35" s="303"/>
    </row>
    <row r="36" spans="1:7">
      <c r="A36" s="303"/>
      <c r="B36" s="345"/>
      <c r="C36" s="345"/>
      <c r="D36" s="345"/>
      <c r="E36" s="345"/>
      <c r="F36" s="345"/>
      <c r="G36" s="303"/>
    </row>
    <row r="37" spans="1:7">
      <c r="A37" s="303"/>
      <c r="B37" s="319" t="s">
        <v>41</v>
      </c>
      <c r="C37" s="319"/>
      <c r="D37" s="319"/>
      <c r="E37" s="319"/>
      <c r="F37" s="319"/>
      <c r="G37" s="303"/>
    </row>
    <row r="38" spans="1:7">
      <c r="A38" s="303"/>
      <c r="B38" s="69" t="s">
        <v>432</v>
      </c>
      <c r="C38" s="7"/>
      <c r="D38" s="138">
        <v>0.05</v>
      </c>
      <c r="E38" s="8">
        <f>'Insumos Básicos'!E68</f>
        <v>201640.32000000001</v>
      </c>
      <c r="F38" s="9">
        <f>E38*D38</f>
        <v>10082.016000000001</v>
      </c>
      <c r="G38" s="303"/>
    </row>
    <row r="39" spans="1:7">
      <c r="A39" s="303"/>
      <c r="B39" s="15"/>
      <c r="C39" s="338" t="s">
        <v>80</v>
      </c>
      <c r="D39" s="338"/>
      <c r="E39" s="16"/>
      <c r="F39" s="17">
        <f>SUM(F38)</f>
        <v>10082.016000000001</v>
      </c>
      <c r="G39" s="303"/>
    </row>
    <row r="40" spans="1:7">
      <c r="A40" s="303"/>
      <c r="B40" s="15"/>
      <c r="C40" s="350" t="s">
        <v>77</v>
      </c>
      <c r="D40" s="350"/>
      <c r="E40" s="60">
        <v>12</v>
      </c>
      <c r="F40" s="15"/>
      <c r="G40" s="303"/>
    </row>
    <row r="41" spans="1:7">
      <c r="A41" s="303"/>
      <c r="B41" s="15"/>
      <c r="C41" s="332" t="s">
        <v>81</v>
      </c>
      <c r="D41" s="332"/>
      <c r="E41" s="16"/>
      <c r="F41" s="17">
        <f>F39*E40</f>
        <v>120984.19200000001</v>
      </c>
      <c r="G41" s="303"/>
    </row>
    <row r="42" spans="1:7">
      <c r="A42" s="303"/>
      <c r="B42" s="345"/>
      <c r="C42" s="345"/>
      <c r="D42" s="345"/>
      <c r="E42" s="345"/>
      <c r="F42" s="345"/>
      <c r="G42" s="303"/>
    </row>
    <row r="43" spans="1:7">
      <c r="A43" s="303"/>
      <c r="B43" s="319" t="s">
        <v>43</v>
      </c>
      <c r="C43" s="319"/>
      <c r="D43" s="319"/>
      <c r="E43" s="319"/>
      <c r="F43" s="319"/>
      <c r="G43" s="303"/>
    </row>
    <row r="44" spans="1:7">
      <c r="A44" s="303"/>
      <c r="B44" s="318" t="s">
        <v>402</v>
      </c>
      <c r="C44" s="319"/>
      <c r="D44" s="7">
        <f>'Insumos Básicos'!D71</f>
        <v>0.1</v>
      </c>
      <c r="E44" s="8">
        <f>'Insumos Básicos'!E71</f>
        <v>862.61</v>
      </c>
      <c r="F44" s="9">
        <f>D44*E44</f>
        <v>86.26100000000001</v>
      </c>
      <c r="G44" s="303"/>
    </row>
    <row r="45" spans="1:7">
      <c r="A45" s="303"/>
      <c r="B45" s="318" t="s">
        <v>403</v>
      </c>
      <c r="C45" s="319"/>
      <c r="D45" s="15">
        <f>'Insumos Básicos'!D72</f>
        <v>0.1</v>
      </c>
      <c r="E45" s="16">
        <f>'Insumos Básicos'!E72</f>
        <v>1358.57</v>
      </c>
      <c r="F45" s="17">
        <f>D45*E45</f>
        <v>135.857</v>
      </c>
      <c r="G45" s="303"/>
    </row>
    <row r="46" spans="1:7">
      <c r="A46" s="303"/>
      <c r="B46" s="15"/>
      <c r="C46" s="338" t="s">
        <v>80</v>
      </c>
      <c r="D46" s="338"/>
      <c r="E46" s="16"/>
      <c r="F46" s="17">
        <f>SUM(F44:F45)</f>
        <v>222.11799999999999</v>
      </c>
      <c r="G46" s="303"/>
    </row>
    <row r="47" spans="1:7">
      <c r="A47" s="303"/>
      <c r="B47" s="15"/>
      <c r="C47" s="350" t="s">
        <v>77</v>
      </c>
      <c r="D47" s="350"/>
      <c r="E47" s="60">
        <v>12</v>
      </c>
      <c r="F47" s="15"/>
      <c r="G47" s="303"/>
    </row>
    <row r="48" spans="1:7">
      <c r="A48" s="303"/>
      <c r="B48" s="15"/>
      <c r="C48" s="332" t="s">
        <v>81</v>
      </c>
      <c r="D48" s="332"/>
      <c r="E48" s="16"/>
      <c r="F48" s="17">
        <f>F46*E47</f>
        <v>2665.4160000000002</v>
      </c>
      <c r="G48" s="303"/>
    </row>
    <row r="49" spans="1:7">
      <c r="A49" s="303"/>
      <c r="B49" s="303"/>
      <c r="C49" s="303"/>
      <c r="D49" s="303"/>
      <c r="E49" s="303"/>
      <c r="F49" s="303"/>
      <c r="G49" s="303"/>
    </row>
  </sheetData>
  <mergeCells count="52">
    <mergeCell ref="B3:C3"/>
    <mergeCell ref="B4:F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C15:D15"/>
    <mergeCell ref="C16:D16"/>
    <mergeCell ref="C17:D17"/>
    <mergeCell ref="C24:D24"/>
    <mergeCell ref="B18:F18"/>
    <mergeCell ref="B19:F19"/>
    <mergeCell ref="B20:C20"/>
    <mergeCell ref="B21:C21"/>
    <mergeCell ref="A49:G49"/>
    <mergeCell ref="B2:F2"/>
    <mergeCell ref="C47:D47"/>
    <mergeCell ref="C48:D48"/>
    <mergeCell ref="B42:F42"/>
    <mergeCell ref="B43:F43"/>
    <mergeCell ref="B44:C44"/>
    <mergeCell ref="B45:C45"/>
    <mergeCell ref="C46:D46"/>
    <mergeCell ref="B36:F36"/>
    <mergeCell ref="B37:F37"/>
    <mergeCell ref="C39:D39"/>
    <mergeCell ref="C40:D40"/>
    <mergeCell ref="C41:D41"/>
    <mergeCell ref="C33:D33"/>
    <mergeCell ref="C34:D34"/>
    <mergeCell ref="H31:I31"/>
    <mergeCell ref="H32:I32"/>
    <mergeCell ref="A1:G1"/>
    <mergeCell ref="A2:A48"/>
    <mergeCell ref="G2:G48"/>
    <mergeCell ref="C35:D35"/>
    <mergeCell ref="B30:C30"/>
    <mergeCell ref="B31:C31"/>
    <mergeCell ref="B32:C32"/>
    <mergeCell ref="B29:C29"/>
    <mergeCell ref="C25:D25"/>
    <mergeCell ref="C26:D26"/>
    <mergeCell ref="B27:F27"/>
    <mergeCell ref="B28:F28"/>
    <mergeCell ref="B22:C22"/>
    <mergeCell ref="B23:C23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</vt:i4>
      </vt:variant>
    </vt:vector>
  </HeadingPairs>
  <TitlesOfParts>
    <vt:vector size="15" baseType="lpstr">
      <vt:lpstr>Orçamentos Insumos</vt:lpstr>
      <vt:lpstr>Insumos Básicos</vt:lpstr>
      <vt:lpstr>Cálculo da Receita Bruta</vt:lpstr>
      <vt:lpstr>Custo por Vaga</vt:lpstr>
      <vt:lpstr>Investimentos Iniciais</vt:lpstr>
      <vt:lpstr>Encargos</vt:lpstr>
      <vt:lpstr>Composição Despesas Pessoal</vt:lpstr>
      <vt:lpstr>Comp Desp Benef Social</vt:lpstr>
      <vt:lpstr>Comp Desp Geral</vt:lpstr>
      <vt:lpstr>Comp Deprec Maq e Equip</vt:lpstr>
      <vt:lpstr>Encargos Sociais</vt:lpstr>
      <vt:lpstr>Orçamento do Custo do Serviço</vt:lpstr>
      <vt:lpstr>Resultado Projetado</vt:lpstr>
      <vt:lpstr>Fluxo de Caixa</vt:lpstr>
      <vt:lpstr>'Fluxo de Caixa'!Area_de_impressao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</dc:creator>
  <cp:lastModifiedBy>fabiola furtado</cp:lastModifiedBy>
  <cp:lastPrinted>2023-03-01T19:03:09Z</cp:lastPrinted>
  <dcterms:created xsi:type="dcterms:W3CDTF">2018-03-08T13:58:29Z</dcterms:created>
  <dcterms:modified xsi:type="dcterms:W3CDTF">2023-03-15T14:40:03Z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