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redo.cunha\Documents\SMPU 2024\Laboratorio Municipal - CREMEB\"/>
    </mc:Choice>
  </mc:AlternateContent>
  <xr:revisionPtr revIDLastSave="0" documentId="13_ncr:1_{55DF21E3-437C-4062-B13E-A860F487AD9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EMÓRIA ONERADA" sheetId="3" r:id="rId1"/>
    <sheet name="PLANILHA ORÇAMENTÁRIA" sheetId="4" r:id="rId2"/>
    <sheet name="CRONOGRAMA" sheetId="2" r:id="rId3"/>
  </sheets>
  <definedNames>
    <definedName name="_xlnm.Print_Area" localSheetId="2">CRONOGRAMA!$A$1:$K$17</definedName>
    <definedName name="_xlnm.Print_Area" localSheetId="0">'MEMÓRIA ONERADA'!$A$1:$I$236</definedName>
    <definedName name="_xlnm.Print_Area" localSheetId="1">'PLANILHA ORÇAMENTÁRIA'!$A$1:$I$45</definedName>
    <definedName name="_xlnm.Database">#REF!</definedName>
    <definedName name="orcamento">#REF!</definedName>
    <definedName name="_xlnm.Print_Titles" localSheetId="0">'MEMÓRIA ONERADA'!$10:$11</definedName>
    <definedName name="_xlnm.Print_Titles" localSheetId="1">'PLANILHA ORÇAMENTÁRIA'!$10:$11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I14" i="2"/>
  <c r="G15" i="2"/>
  <c r="I15" i="2"/>
  <c r="G16" i="2"/>
  <c r="G17" i="2" s="1"/>
  <c r="I17" i="2" s="1"/>
  <c r="I16" i="2"/>
  <c r="L12" i="2"/>
  <c r="I12" i="2"/>
  <c r="G12" i="2"/>
  <c r="K12" i="2"/>
  <c r="H45" i="4"/>
  <c r="I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H32" i="4" s="1"/>
  <c r="F31" i="4"/>
  <c r="F30" i="4"/>
  <c r="F29" i="4"/>
  <c r="F28" i="4"/>
  <c r="F27" i="4"/>
  <c r="F26" i="4"/>
  <c r="F25" i="4"/>
  <c r="F24" i="4"/>
  <c r="F23" i="4"/>
  <c r="F22" i="4"/>
  <c r="F21" i="4"/>
  <c r="H21" i="4" s="1"/>
  <c r="F20" i="4"/>
  <c r="F19" i="4"/>
  <c r="F18" i="4"/>
  <c r="F17" i="4"/>
  <c r="F16" i="4"/>
  <c r="F15" i="4"/>
  <c r="F14" i="4"/>
  <c r="F13" i="4"/>
  <c r="G32" i="4"/>
  <c r="I32" i="4" s="1"/>
  <c r="G28" i="4"/>
  <c r="I28" i="4" s="1"/>
  <c r="F210" i="3"/>
  <c r="G210" i="3" s="1"/>
  <c r="G209" i="3"/>
  <c r="F209" i="3"/>
  <c r="F208" i="3"/>
  <c r="G208" i="3" s="1"/>
  <c r="F207" i="3"/>
  <c r="G207" i="3" s="1"/>
  <c r="F206" i="3"/>
  <c r="G206" i="3" s="1"/>
  <c r="G205" i="3"/>
  <c r="F205" i="3"/>
  <c r="F122" i="3"/>
  <c r="G122" i="3" s="1"/>
  <c r="G121" i="3"/>
  <c r="F121" i="3"/>
  <c r="F120" i="3"/>
  <c r="G12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69" i="3"/>
  <c r="G69" i="3" s="1"/>
  <c r="F68" i="3"/>
  <c r="G68" i="3" s="1"/>
  <c r="F67" i="3"/>
  <c r="G67" i="3" s="1"/>
  <c r="F64" i="3"/>
  <c r="G64" i="3" s="1"/>
  <c r="F63" i="3"/>
  <c r="G63" i="3" s="1"/>
  <c r="G65" i="3" s="1"/>
  <c r="F62" i="3"/>
  <c r="F61" i="3" s="1"/>
  <c r="G61" i="3" s="1"/>
  <c r="I61" i="3" s="1"/>
  <c r="F234" i="3"/>
  <c r="G234" i="3" s="1"/>
  <c r="F233" i="3"/>
  <c r="G233" i="3" s="1"/>
  <c r="F232" i="3"/>
  <c r="G232" i="3" s="1"/>
  <c r="F231" i="3"/>
  <c r="G231" i="3" s="1"/>
  <c r="G230" i="3"/>
  <c r="F229" i="3"/>
  <c r="G229" i="3" s="1"/>
  <c r="F228" i="3"/>
  <c r="G228" i="3" s="1"/>
  <c r="F227" i="3"/>
  <c r="G227" i="3" s="1"/>
  <c r="F226" i="3"/>
  <c r="G226" i="3" s="1"/>
  <c r="F225" i="3"/>
  <c r="G225" i="3" s="1"/>
  <c r="F224" i="3"/>
  <c r="G224" i="3" s="1"/>
  <c r="F223" i="3"/>
  <c r="G223" i="3" s="1"/>
  <c r="F222" i="3"/>
  <c r="G222" i="3" s="1"/>
  <c r="F221" i="3"/>
  <c r="G221" i="3" s="1"/>
  <c r="F220" i="3"/>
  <c r="G220" i="3" s="1"/>
  <c r="F219" i="3"/>
  <c r="G219" i="3" s="1"/>
  <c r="F218" i="3"/>
  <c r="G218" i="3" s="1"/>
  <c r="F217" i="3"/>
  <c r="G217" i="3" s="1"/>
  <c r="F216" i="3"/>
  <c r="G216" i="3" s="1"/>
  <c r="F215" i="3"/>
  <c r="G215" i="3" s="1"/>
  <c r="F214" i="3"/>
  <c r="G214" i="3" s="1"/>
  <c r="F201" i="3"/>
  <c r="G201" i="3" s="1"/>
  <c r="F200" i="3"/>
  <c r="G200" i="3" s="1"/>
  <c r="F199" i="3"/>
  <c r="G199" i="3" s="1"/>
  <c r="F198" i="3"/>
  <c r="G198" i="3" s="1"/>
  <c r="F187" i="3"/>
  <c r="G187" i="3" s="1"/>
  <c r="F186" i="3"/>
  <c r="G186" i="3" s="1"/>
  <c r="F185" i="3"/>
  <c r="G185" i="3" s="1"/>
  <c r="F194" i="3"/>
  <c r="G194" i="3" s="1"/>
  <c r="F193" i="3"/>
  <c r="G193" i="3" s="1"/>
  <c r="F192" i="3"/>
  <c r="G192" i="3" s="1"/>
  <c r="F191" i="3"/>
  <c r="G191" i="3" s="1"/>
  <c r="F181" i="3"/>
  <c r="G181" i="3" s="1"/>
  <c r="F180" i="3"/>
  <c r="G180" i="3" s="1"/>
  <c r="F179" i="3"/>
  <c r="G179" i="3" s="1"/>
  <c r="F178" i="3"/>
  <c r="G178" i="3" s="1"/>
  <c r="F174" i="3"/>
  <c r="G174" i="3" s="1"/>
  <c r="F173" i="3"/>
  <c r="G173" i="3" s="1"/>
  <c r="F172" i="3"/>
  <c r="G172" i="3" s="1"/>
  <c r="F171" i="3"/>
  <c r="G171" i="3" s="1"/>
  <c r="F167" i="3"/>
  <c r="G167" i="3" s="1"/>
  <c r="F166" i="3"/>
  <c r="G166" i="3" s="1"/>
  <c r="F165" i="3"/>
  <c r="G165" i="3" s="1"/>
  <c r="F164" i="3"/>
  <c r="G164" i="3" s="1"/>
  <c r="F160" i="3"/>
  <c r="G160" i="3" s="1"/>
  <c r="F159" i="3"/>
  <c r="G159" i="3" s="1"/>
  <c r="F158" i="3"/>
  <c r="G158" i="3" s="1"/>
  <c r="F157" i="3"/>
  <c r="G157" i="3" s="1"/>
  <c r="F153" i="3"/>
  <c r="G153" i="3" s="1"/>
  <c r="F152" i="3"/>
  <c r="G152" i="3" s="1"/>
  <c r="F151" i="3"/>
  <c r="G151" i="3" s="1"/>
  <c r="F150" i="3"/>
  <c r="G150" i="3" s="1"/>
  <c r="F134" i="3"/>
  <c r="G134" i="3" s="1"/>
  <c r="F133" i="3"/>
  <c r="G133" i="3" s="1"/>
  <c r="F132" i="3"/>
  <c r="G132" i="3" s="1"/>
  <c r="H130" i="3"/>
  <c r="G130" i="3"/>
  <c r="I130" i="3" s="1"/>
  <c r="F140" i="3"/>
  <c r="G140" i="3" s="1"/>
  <c r="F139" i="3"/>
  <c r="G139" i="3" s="1"/>
  <c r="F138" i="3"/>
  <c r="G138" i="3" s="1"/>
  <c r="F146" i="3"/>
  <c r="G146" i="3" s="1"/>
  <c r="F145" i="3"/>
  <c r="G145" i="3" s="1"/>
  <c r="F144" i="3"/>
  <c r="G144" i="3" s="1"/>
  <c r="F128" i="3"/>
  <c r="G128" i="3" s="1"/>
  <c r="F127" i="3"/>
  <c r="G127" i="3" s="1"/>
  <c r="F126" i="3"/>
  <c r="G126" i="3" s="1"/>
  <c r="F116" i="3"/>
  <c r="G116" i="3" s="1"/>
  <c r="F115" i="3"/>
  <c r="G115" i="3" s="1"/>
  <c r="F114" i="3"/>
  <c r="G114" i="3" s="1"/>
  <c r="F113" i="3"/>
  <c r="F112" i="3" s="1"/>
  <c r="H112" i="3" s="1"/>
  <c r="F110" i="3"/>
  <c r="G110" i="3" s="1"/>
  <c r="F109" i="3"/>
  <c r="G109" i="3" s="1"/>
  <c r="F108" i="3"/>
  <c r="G108" i="3" s="1"/>
  <c r="F107" i="3"/>
  <c r="F106" i="3" s="1"/>
  <c r="G106" i="3" s="1"/>
  <c r="I106" i="3" s="1"/>
  <c r="F104" i="3"/>
  <c r="G104" i="3" s="1"/>
  <c r="F103" i="3"/>
  <c r="G103" i="3" s="1"/>
  <c r="F102" i="3"/>
  <c r="G102" i="3" s="1"/>
  <c r="F101" i="3"/>
  <c r="G101" i="3" s="1"/>
  <c r="F97" i="3"/>
  <c r="G97" i="3" s="1"/>
  <c r="F96" i="3"/>
  <c r="G96" i="3" s="1"/>
  <c r="F95" i="3"/>
  <c r="G95" i="3" s="1"/>
  <c r="F94" i="3"/>
  <c r="G94" i="3" s="1"/>
  <c r="F90" i="3"/>
  <c r="G90" i="3" s="1"/>
  <c r="F89" i="3"/>
  <c r="G89" i="3" s="1"/>
  <c r="F88" i="3"/>
  <c r="G88" i="3" s="1"/>
  <c r="F87" i="3"/>
  <c r="G87" i="3" s="1"/>
  <c r="F83" i="3"/>
  <c r="G83" i="3" s="1"/>
  <c r="F82" i="3"/>
  <c r="G82" i="3" s="1"/>
  <c r="F81" i="3"/>
  <c r="G81" i="3" s="1"/>
  <c r="F80" i="3"/>
  <c r="G80" i="3" s="1"/>
  <c r="F76" i="3"/>
  <c r="G76" i="3" s="1"/>
  <c r="F75" i="3"/>
  <c r="G75" i="3" s="1"/>
  <c r="F74" i="3"/>
  <c r="G74" i="3" s="1"/>
  <c r="F73" i="3"/>
  <c r="G73" i="3" s="1"/>
  <c r="F59" i="3"/>
  <c r="G59" i="3" s="1"/>
  <c r="F58" i="3"/>
  <c r="G58" i="3" s="1"/>
  <c r="F54" i="3"/>
  <c r="G54" i="3" s="1"/>
  <c r="F53" i="3"/>
  <c r="G53" i="3" s="1"/>
  <c r="F49" i="3"/>
  <c r="G49" i="3" s="1"/>
  <c r="F48" i="3"/>
  <c r="G48" i="3" s="1"/>
  <c r="F44" i="3"/>
  <c r="G44" i="3" s="1"/>
  <c r="F43" i="3"/>
  <c r="G43" i="3" s="1"/>
  <c r="F39" i="3"/>
  <c r="G39" i="3" s="1"/>
  <c r="F38" i="3"/>
  <c r="G38" i="3" s="1"/>
  <c r="F34" i="3"/>
  <c r="G34" i="3" s="1"/>
  <c r="F33" i="3"/>
  <c r="G33" i="3" s="1"/>
  <c r="F66" i="3"/>
  <c r="H66" i="3" s="1"/>
  <c r="H22" i="4" l="1"/>
  <c r="G22" i="4"/>
  <c r="I22" i="4" s="1"/>
  <c r="H28" i="4"/>
  <c r="G21" i="4"/>
  <c r="I21" i="4" s="1"/>
  <c r="G211" i="3"/>
  <c r="F204" i="3" s="1"/>
  <c r="G204" i="3" s="1"/>
  <c r="G123" i="3"/>
  <c r="F119" i="3" s="1"/>
  <c r="F118" i="3" s="1"/>
  <c r="G119" i="3"/>
  <c r="G21" i="3"/>
  <c r="F14" i="3" s="1"/>
  <c r="G14" i="3" s="1"/>
  <c r="G30" i="3"/>
  <c r="F23" i="3" s="1"/>
  <c r="G23" i="3" s="1"/>
  <c r="G70" i="3"/>
  <c r="G62" i="3"/>
  <c r="G235" i="3"/>
  <c r="F213" i="3" s="1"/>
  <c r="F212" i="3" s="1"/>
  <c r="G212" i="3" s="1"/>
  <c r="I212" i="3" s="1"/>
  <c r="G202" i="3"/>
  <c r="F197" i="3" s="1"/>
  <c r="F196" i="3" s="1"/>
  <c r="H196" i="3" s="1"/>
  <c r="G195" i="3"/>
  <c r="F190" i="3" s="1"/>
  <c r="F189" i="3" s="1"/>
  <c r="H189" i="3" s="1"/>
  <c r="G188" i="3"/>
  <c r="F184" i="3" s="1"/>
  <c r="F183" i="3" s="1"/>
  <c r="H183" i="3" s="1"/>
  <c r="G182" i="3"/>
  <c r="F177" i="3" s="1"/>
  <c r="F176" i="3" s="1"/>
  <c r="G176" i="3" s="1"/>
  <c r="I176" i="3" s="1"/>
  <c r="G175" i="3"/>
  <c r="F170" i="3" s="1"/>
  <c r="F169" i="3" s="1"/>
  <c r="G169" i="3" s="1"/>
  <c r="I169" i="3" s="1"/>
  <c r="G168" i="3"/>
  <c r="F163" i="3" s="1"/>
  <c r="F162" i="3" s="1"/>
  <c r="H162" i="3" s="1"/>
  <c r="G161" i="3"/>
  <c r="F156" i="3" s="1"/>
  <c r="F155" i="3" s="1"/>
  <c r="H155" i="3" s="1"/>
  <c r="G154" i="3"/>
  <c r="F149" i="3" s="1"/>
  <c r="F148" i="3" s="1"/>
  <c r="H148" i="3" s="1"/>
  <c r="G135" i="3"/>
  <c r="F131" i="3" s="1"/>
  <c r="G131" i="3" s="1"/>
  <c r="G147" i="3"/>
  <c r="F143" i="3" s="1"/>
  <c r="F142" i="3" s="1"/>
  <c r="H142" i="3" s="1"/>
  <c r="G141" i="3"/>
  <c r="F137" i="3" s="1"/>
  <c r="F136" i="3" s="1"/>
  <c r="H136" i="3" s="1"/>
  <c r="G111" i="3"/>
  <c r="G129" i="3"/>
  <c r="F125" i="3" s="1"/>
  <c r="F124" i="3" s="1"/>
  <c r="G124" i="3" s="1"/>
  <c r="I124" i="3" s="1"/>
  <c r="G117" i="3"/>
  <c r="G105" i="3"/>
  <c r="F100" i="3" s="1"/>
  <c r="F99" i="3" s="1"/>
  <c r="G99" i="3" s="1"/>
  <c r="I99" i="3" s="1"/>
  <c r="G113" i="3"/>
  <c r="G98" i="3"/>
  <c r="F93" i="3" s="1"/>
  <c r="F92" i="3" s="1"/>
  <c r="H92" i="3" s="1"/>
  <c r="G107" i="3"/>
  <c r="G77" i="3"/>
  <c r="F72" i="3" s="1"/>
  <c r="F71" i="3" s="1"/>
  <c r="H71" i="3" s="1"/>
  <c r="G91" i="3"/>
  <c r="F86" i="3" s="1"/>
  <c r="F85" i="3" s="1"/>
  <c r="H85" i="3" s="1"/>
  <c r="G84" i="3"/>
  <c r="F79" i="3" s="1"/>
  <c r="F78" i="3" s="1"/>
  <c r="G78" i="3" s="1"/>
  <c r="I78" i="3" s="1"/>
  <c r="G60" i="3"/>
  <c r="F57" i="3" s="1"/>
  <c r="F56" i="3" s="1"/>
  <c r="H56" i="3" s="1"/>
  <c r="G55" i="3"/>
  <c r="F52" i="3" s="1"/>
  <c r="F51" i="3" s="1"/>
  <c r="H51" i="3" s="1"/>
  <c r="G50" i="3"/>
  <c r="F47" i="3" s="1"/>
  <c r="G47" i="3" s="1"/>
  <c r="G45" i="3"/>
  <c r="F42" i="3" s="1"/>
  <c r="G42" i="3" s="1"/>
  <c r="H106" i="3"/>
  <c r="G112" i="3"/>
  <c r="I112" i="3" s="1"/>
  <c r="G40" i="3"/>
  <c r="F37" i="3" s="1"/>
  <c r="G37" i="3" s="1"/>
  <c r="G35" i="3"/>
  <c r="F32" i="3" s="1"/>
  <c r="G32" i="3" s="1"/>
  <c r="H61" i="3"/>
  <c r="G66" i="3"/>
  <c r="I66" i="3" s="1"/>
  <c r="F22" i="3"/>
  <c r="G22" i="3" s="1"/>
  <c r="F13" i="3"/>
  <c r="G13" i="3" s="1"/>
  <c r="G23" i="4" l="1"/>
  <c r="I23" i="4" s="1"/>
  <c r="H23" i="4"/>
  <c r="G25" i="4"/>
  <c r="I25" i="4" s="1"/>
  <c r="H25" i="4"/>
  <c r="H29" i="4"/>
  <c r="G29" i="4"/>
  <c r="I29" i="4" s="1"/>
  <c r="G37" i="4"/>
  <c r="I37" i="4" s="1"/>
  <c r="H37" i="4"/>
  <c r="H14" i="4"/>
  <c r="G14" i="4"/>
  <c r="I14" i="4" s="1"/>
  <c r="H38" i="4"/>
  <c r="G38" i="4"/>
  <c r="I38" i="4" s="1"/>
  <c r="H30" i="4"/>
  <c r="G30" i="4"/>
  <c r="I30" i="4" s="1"/>
  <c r="H34" i="4"/>
  <c r="G34" i="4"/>
  <c r="I34" i="4" s="1"/>
  <c r="H39" i="4"/>
  <c r="G39" i="4"/>
  <c r="I39" i="4" s="1"/>
  <c r="H40" i="4"/>
  <c r="G40" i="4"/>
  <c r="I40" i="4" s="1"/>
  <c r="H26" i="4"/>
  <c r="G26" i="4"/>
  <c r="I26" i="4" s="1"/>
  <c r="H27" i="4"/>
  <c r="G27" i="4"/>
  <c r="I27" i="4" s="1"/>
  <c r="H19" i="4"/>
  <c r="G19" i="4"/>
  <c r="I19" i="4" s="1"/>
  <c r="G13" i="4"/>
  <c r="I13" i="4" s="1"/>
  <c r="H13" i="4"/>
  <c r="H15" i="4"/>
  <c r="G15" i="4"/>
  <c r="I15" i="4" s="1"/>
  <c r="G17" i="4"/>
  <c r="I17" i="4" s="1"/>
  <c r="H17" i="4"/>
  <c r="G33" i="4"/>
  <c r="I33" i="4" s="1"/>
  <c r="H33" i="4"/>
  <c r="G16" i="4"/>
  <c r="I16" i="4" s="1"/>
  <c r="H16" i="4"/>
  <c r="H118" i="3"/>
  <c r="G118" i="3"/>
  <c r="I118" i="3" s="1"/>
  <c r="F203" i="3"/>
  <c r="H203" i="3" s="1"/>
  <c r="G203" i="3"/>
  <c r="I203" i="3" s="1"/>
  <c r="H212" i="3"/>
  <c r="G213" i="3"/>
  <c r="G189" i="3"/>
  <c r="I189" i="3" s="1"/>
  <c r="G196" i="3"/>
  <c r="I196" i="3" s="1"/>
  <c r="G197" i="3"/>
  <c r="G190" i="3"/>
  <c r="G183" i="3"/>
  <c r="I183" i="3" s="1"/>
  <c r="G184" i="3"/>
  <c r="H169" i="3"/>
  <c r="G170" i="3"/>
  <c r="G163" i="3"/>
  <c r="G177" i="3"/>
  <c r="H176" i="3"/>
  <c r="G162" i="3"/>
  <c r="I162" i="3" s="1"/>
  <c r="G149" i="3"/>
  <c r="G156" i="3"/>
  <c r="G155" i="3"/>
  <c r="I155" i="3" s="1"/>
  <c r="G148" i="3"/>
  <c r="I148" i="3" s="1"/>
  <c r="G136" i="3"/>
  <c r="I136" i="3" s="1"/>
  <c r="G143" i="3"/>
  <c r="G142" i="3"/>
  <c r="I142" i="3" s="1"/>
  <c r="G125" i="3"/>
  <c r="G79" i="3"/>
  <c r="G137" i="3"/>
  <c r="H124" i="3"/>
  <c r="H78" i="3"/>
  <c r="H99" i="3"/>
  <c r="G100" i="3"/>
  <c r="G72" i="3"/>
  <c r="G86" i="3"/>
  <c r="G85" i="3"/>
  <c r="I85" i="3" s="1"/>
  <c r="G93" i="3"/>
  <c r="G71" i="3"/>
  <c r="I71" i="3" s="1"/>
  <c r="G56" i="3"/>
  <c r="I56" i="3" s="1"/>
  <c r="G57" i="3"/>
  <c r="G92" i="3"/>
  <c r="I92" i="3" s="1"/>
  <c r="G51" i="3"/>
  <c r="I51" i="3" s="1"/>
  <c r="G52" i="3"/>
  <c r="H36" i="4" l="1"/>
  <c r="G36" i="4"/>
  <c r="I36" i="4" s="1"/>
  <c r="G43" i="4"/>
  <c r="I43" i="4" s="1"/>
  <c r="H43" i="4"/>
  <c r="H42" i="4"/>
  <c r="G42" i="4"/>
  <c r="I42" i="4" s="1"/>
  <c r="H31" i="4"/>
  <c r="G31" i="4"/>
  <c r="I31" i="4" s="1"/>
  <c r="G44" i="4"/>
  <c r="I44" i="4" s="1"/>
  <c r="H44" i="4"/>
  <c r="H18" i="4"/>
  <c r="G18" i="4"/>
  <c r="I18" i="4" s="1"/>
  <c r="H35" i="4"/>
  <c r="G35" i="4"/>
  <c r="I35" i="4" s="1"/>
  <c r="H24" i="4"/>
  <c r="G24" i="4"/>
  <c r="I24" i="4" s="1"/>
  <c r="G20" i="4"/>
  <c r="I20" i="4" s="1"/>
  <c r="H20" i="4"/>
  <c r="H41" i="4"/>
  <c r="G41" i="4"/>
  <c r="I41" i="4" s="1"/>
  <c r="F46" i="3"/>
  <c r="F31" i="3"/>
  <c r="G31" i="3" l="1"/>
  <c r="I31" i="3" s="1"/>
  <c r="G46" i="3"/>
  <c r="I46" i="3" s="1"/>
  <c r="H46" i="3"/>
  <c r="F41" i="3"/>
  <c r="H31" i="3"/>
  <c r="F36" i="3"/>
  <c r="G36" i="3" l="1"/>
  <c r="G41" i="3"/>
  <c r="I41" i="3" s="1"/>
  <c r="H41" i="3"/>
  <c r="H13" i="3" l="1"/>
  <c r="I13" i="3"/>
  <c r="H36" i="3"/>
  <c r="H22" i="3"/>
  <c r="I22" i="3"/>
  <c r="I36" i="3"/>
  <c r="I236" i="3" l="1"/>
  <c r="H236" i="3"/>
  <c r="K13" i="2" l="1"/>
  <c r="C12" i="2"/>
  <c r="E12" i="2"/>
  <c r="E14" i="2" l="1"/>
  <c r="E16" i="2" s="1"/>
  <c r="M12" i="2"/>
  <c r="C14" i="2"/>
  <c r="C16" i="2" s="1"/>
  <c r="C17" i="2" s="1"/>
  <c r="C15" i="2" l="1"/>
  <c r="E15" i="2" s="1"/>
  <c r="E17" i="2"/>
</calcChain>
</file>

<file path=xl/sharedStrings.xml><?xml version="1.0" encoding="utf-8"?>
<sst xmlns="http://schemas.openxmlformats.org/spreadsheetml/2006/main" count="848" uniqueCount="277">
  <si>
    <t xml:space="preserve">Estado do Rio de Janeiro                                                        </t>
  </si>
  <si>
    <t>Prefeitura Municipal de Barra Mansa</t>
  </si>
  <si>
    <t xml:space="preserve">Secretaria Municipal de Planejamento Urbano </t>
  </si>
  <si>
    <t>APROVAÇÃO: Eng. Eros dos Santos</t>
  </si>
  <si>
    <t>ITEM</t>
  </si>
  <si>
    <t>CODIGO EMOP/ SINAPI</t>
  </si>
  <si>
    <t>DISCRIMINAÇÃO</t>
  </si>
  <si>
    <t>UN</t>
  </si>
  <si>
    <t>QUANT.</t>
  </si>
  <si>
    <t>PREÇOS (R$)</t>
  </si>
  <si>
    <t>UNIT s/ BDI</t>
  </si>
  <si>
    <t>UNITc/ BDI</t>
  </si>
  <si>
    <t>TOTAL s/ BDI</t>
  </si>
  <si>
    <t>TOTAL c/ BDI</t>
  </si>
  <si>
    <t>1.0</t>
  </si>
  <si>
    <t>1.1</t>
  </si>
  <si>
    <t>X</t>
  </si>
  <si>
    <t>M</t>
  </si>
  <si>
    <t>Orçamentista: Engº Alfredo Cunha</t>
  </si>
  <si>
    <t xml:space="preserve">CRONOGRAMA  FÍSICO-FINANCEIRO </t>
  </si>
  <si>
    <t>SERVIÇO</t>
  </si>
  <si>
    <t>30 DIAS</t>
  </si>
  <si>
    <t>60 DIAS</t>
  </si>
  <si>
    <t>TOTAL</t>
  </si>
  <si>
    <t>R$</t>
  </si>
  <si>
    <t>%</t>
  </si>
  <si>
    <t>TOTAL DA OBRA POR MEDIÇÃO</t>
  </si>
  <si>
    <t>TOTAL ACUMULADO DA OBRA</t>
  </si>
  <si>
    <t>Desembolso por medição %</t>
  </si>
  <si>
    <t>Desembolso acumulado %</t>
  </si>
  <si>
    <t>ORÇAMENTO:  Engº Alfredo Cunha</t>
  </si>
  <si>
    <t>H</t>
  </si>
  <si>
    <t>M3</t>
  </si>
  <si>
    <t>1.2</t>
  </si>
  <si>
    <t>1.3</t>
  </si>
  <si>
    <t>1.4</t>
  </si>
  <si>
    <t>1.5</t>
  </si>
  <si>
    <t>INSTALAÇÕES ELÉTRICAS</t>
  </si>
  <si>
    <r>
      <t>Secretaria Municipal de Planejamento Urbano</t>
    </r>
    <r>
      <rPr>
        <sz val="18"/>
        <color indexed="8"/>
        <rFont val="Arial"/>
        <family val="2"/>
      </rPr>
      <t xml:space="preserve"> </t>
    </r>
  </si>
  <si>
    <t>TOTAL GERAL=</t>
  </si>
  <si>
    <t>ELETRICISTA COM ENCARGOS COMPLEMENTARES</t>
  </si>
  <si>
    <t>AUXILIAR DE ELETRICISTA COM ENCARGOS COMPLEMENTARES</t>
  </si>
  <si>
    <t>02341</t>
  </si>
  <si>
    <t>ELETRODUTO DE PVC PRETO, RIGIDO ROSQUEAVEL, COM ROSCA EM AMBAS EXTREMIDADES, EMBARRAS DE 3 METROS, DE 3/4"</t>
  </si>
  <si>
    <t>04210</t>
  </si>
  <si>
    <t>ISOLADOR TIPO CARRETILHA, MARROM, DE (72X72)MM</t>
  </si>
  <si>
    <t>00115</t>
  </si>
  <si>
    <t>BUCHA E ARRUELA DE ALUMINIO PARA ELETRODUTO, DE 3/4"</t>
  </si>
  <si>
    <t>Serviço : Aumento de Carga Elétrica Laboratório Municipal</t>
  </si>
  <si>
    <t>Local: Tenente José Eduardo - Ano Bom  - Barra Mansa - RJ</t>
  </si>
  <si>
    <t xml:space="preserve">COMPOSIÇÃO DE PREÇOS  - BDI 22,47% </t>
  </si>
  <si>
    <t>01999</t>
  </si>
  <si>
    <t>MAO-DE-OBRA DE SERVENTE DA CONSTRUCAO CIVIL, INCLUSIVE ENCARGOS SOCIAIS</t>
  </si>
  <si>
    <t>01983</t>
  </si>
  <si>
    <t>MAO-DE-OBRA DE ELETRICISTA DE CONSTRUCAOCIVIL, INCLUSIVE ENCARGOS SOCIAIS</t>
  </si>
  <si>
    <t>So00000088264</t>
  </si>
  <si>
    <t>So00000088247</t>
  </si>
  <si>
    <t>03971</t>
  </si>
  <si>
    <t>CINTA CIRCULAR DE ACO GALVANIZADO COM PARAFUSOS, DE APROXIMADAMENTE 150MM</t>
  </si>
  <si>
    <t>01605</t>
  </si>
  <si>
    <t>07.002.0025-1 ARGAMASSA CIM.,AREIA TRACO 1:3,PREPAROMECANICO</t>
  </si>
  <si>
    <t>PROJETO: Arq. Abimar Cavalcante</t>
  </si>
  <si>
    <t>LEVANTAMENTO: Arq. Abimar Cavalcante</t>
  </si>
  <si>
    <t>02643</t>
  </si>
  <si>
    <t>LUVA DE PVC RIGIDO ROSQUEAVEL, PARA ELETRODUTO, DE 3/4"</t>
  </si>
  <si>
    <t>14942</t>
  </si>
  <si>
    <t>CURVA DE 180º PARA ELETRODUTO DE PVC RIGIDO ROSQUEAVEL, DE 2"</t>
  </si>
  <si>
    <t>05263</t>
  </si>
  <si>
    <t>ARMACAO SECUNDARIA, COMPLETA, PARA 1 LINHA</t>
  </si>
  <si>
    <t>11537</t>
  </si>
  <si>
    <t>CONECTOR P/HASTE DE ATERRAMENTO COM 1 DESCIDA DE 5/8"</t>
  </si>
  <si>
    <t>11798</t>
  </si>
  <si>
    <t>HASTE PARA ATERRAMENTO, DE COBRE,NO DIAMETRO DE 5/8"(16MM) E COM COMPRIMENTO DE2,40M</t>
  </si>
  <si>
    <t>11943</t>
  </si>
  <si>
    <t>CAIXA POLIMERICA DE INSPECAO DE ATERRAMENTO COM DIAMETRO SUPERIOR APROX. DE 23CME ALTURA APROX. DE 25CM, COM TAMPA</t>
  </si>
  <si>
    <t>14549</t>
  </si>
  <si>
    <t>BRITA 1, PARA REGIAO METROPOLITANA DO RIO DE JANEIRO</t>
  </si>
  <si>
    <t>T</t>
  </si>
  <si>
    <t>14939</t>
  </si>
  <si>
    <t>CAIXA POLIMERICA MEDICAO DIRETA ATE 200A,EM POLICARBONATO C/TAMPA TRANSPARENTE,ENTRADA INDIVIDUAL,PADRAO CONC.ENERG.ELET</t>
  </si>
  <si>
    <t>02961</t>
  </si>
  <si>
    <t>CURVA 90º DE PVC RIGIDO, ROSQUEAVEL, PARA ELETRODUTO, DE 3/4"</t>
  </si>
  <si>
    <t>Serviço : Instalação Elétrica Laboratório Municipal</t>
  </si>
  <si>
    <t>Data-Base:   EMOP -  RJ / SINAPI e SCO-RJ- Desonerado - Base fev-2024</t>
  </si>
  <si>
    <t>DATA: 01-04-2024</t>
  </si>
  <si>
    <t>ORÇAMENTO: 021/2024</t>
  </si>
  <si>
    <t>1.6</t>
  </si>
  <si>
    <t>So00000092025</t>
  </si>
  <si>
    <t>INTERRUPTOR SIMPLES (1 MÓDULO) COM 2 TOMADAS DE EMBUTIR 2P+T 10 A, INCLUINDO SUPORTE E PLACA - FORNECIMENTO E INSTALAÇÃO. AF_03/2023</t>
  </si>
  <si>
    <t>So00000092024</t>
  </si>
  <si>
    <t>So00000092024 INTERRUPTOR SIMPLES (1 MÓDULO) COM 2 TOMADAS DE EMBUTIR 2P+T 10 A, SEM SUPORTE E SEM PLACA - FORNECIMENTO E INSTALAÇÃO. AF_03/2023</t>
  </si>
  <si>
    <t>So00000091946</t>
  </si>
  <si>
    <t>So00000091946 SUPORTE PARAFUSADO COM PLACA DE ENCAIXE 4" X 2" MÉDIO (1,30 M DO PISO) PARA PONTO ELÉTRICO - FORNECIMENTO E INSTALAÇÃO. AF_03/2023</t>
  </si>
  <si>
    <t>So00000091953</t>
  </si>
  <si>
    <t>INTERRUPTOR SIMPLES (1 MÓDULO), 10A/250V, INCLUINDO SUPORTE E PLACA - FORNECIMENTO E INSTALAÇÃO. AF_03/2023</t>
  </si>
  <si>
    <t>So00000091952</t>
  </si>
  <si>
    <t>So00000091952 INTERRUPTOR SIMPLES (1 MÓDULO), 10A/250V, SEM SUPORTE E SEM PLACA - FORNECIMENTO E INSTALAÇÃO. AF_03/2023</t>
  </si>
  <si>
    <t>So00000091958</t>
  </si>
  <si>
    <t>So00000091959</t>
  </si>
  <si>
    <t>INTERRUPTOR SIMPLES (2 MÓDULOS), 10A/250V, INCLUINDO SUPORTE E PLACA - FORNECIMENTO E INSTALAÇÃO. AF_03/2023</t>
  </si>
  <si>
    <t>So00000091958 INTERRUPTOR SIMPLES (2 MÓDULOS), 10A/250V, SEM SUPORTE E SEM PLACA - FORNECIMENTO E INSTALAÇÃO. AF_03/2023</t>
  </si>
  <si>
    <t>So00000091967</t>
  </si>
  <si>
    <t>INTERRUPTOR SIMPLES (3 MÓDULOS), 10A/250V, INCLUINDO SUPORTE E PLACA - FORNECIMENTO E INSTALAÇÃO. AF_03/2023</t>
  </si>
  <si>
    <t>So00000091966</t>
  </si>
  <si>
    <t>So00000091966 INTERRUPTOR SIMPLES (3 MÓDULOS), 10A/250V, SEM SUPORTE E SEM PLACA - FORNECIMENTO E INSTALAÇÃO. AF_03/2023</t>
  </si>
  <si>
    <t>1.7</t>
  </si>
  <si>
    <t>1.8</t>
  </si>
  <si>
    <t>1.9</t>
  </si>
  <si>
    <t>1.10</t>
  </si>
  <si>
    <t>1.11</t>
  </si>
  <si>
    <t>1.12</t>
  </si>
  <si>
    <t>1.13</t>
  </si>
  <si>
    <t>1.14</t>
  </si>
  <si>
    <t>So00000092000</t>
  </si>
  <si>
    <t>TOMADA BAIXA DE EMBUTIR (1 MÓDULO), 2P+T 10 A, INCLUINDO SUPORTE E PLACA - FORNECIMENTO E INSTALAÇÃO. AF_03/2023</t>
  </si>
  <si>
    <t>So00000091998</t>
  </si>
  <si>
    <t>So00000091998 TOMADA BAIXA DE EMBUTIR (1 MÓDULO), 2P+T 10 A, SEM SUPORTE E SEM PLACA - FORNECIMENTO E INSTALAÇÃO. AF_03/2023</t>
  </si>
  <si>
    <t>So00000092001</t>
  </si>
  <si>
    <t>TOMADA BAIXA DE EMBUTIR (1 MÓDULO), 2P+T 20 A, INCLUINDO SUPORTE E PLACA - FORNECIMENTO E INSTALAÇÃO. AF_03/2023</t>
  </si>
  <si>
    <t>So00000091999</t>
  </si>
  <si>
    <t>So00000091999 TOMADA BAIXA DE EMBUTIR (1 MÓDULO), 2P+T 20 A, SEM SUPORTE E SEM PLACA - FORNECIMENTO E INSTALAÇÃO. AF_03/2023</t>
  </si>
  <si>
    <t>So00000093655</t>
  </si>
  <si>
    <t>DISJUNTOR MONOPOLAR TIPO DIN, CORRENTE NOMINAL DE 20A - FORNECIMENTO E INSTALAÇÃO. AF_10/2020</t>
  </si>
  <si>
    <t>So0034653</t>
  </si>
  <si>
    <t>DISJUNTOR TERMOMAGNETICO PARA TRILHO DIN (IEC), MONOPOLAR, 6 - 32 A</t>
  </si>
  <si>
    <t>So0001571</t>
  </si>
  <si>
    <t>TERMINAL A COMPRESSAO EM COBRE ESTANHADO PARA CABO 4 MM2, 1 FURO E 1 COMPRESSAO, PARA PARAFUSO DE FIXACAO M5</t>
  </si>
  <si>
    <t>So00000093657</t>
  </si>
  <si>
    <t>DISJUNTOR MONOPOLAR TIPO DIN, CORRENTE NOMINAL DE 32A - FORNECIMENTO E INSTALAÇÃO. AF_10/2020</t>
  </si>
  <si>
    <t>So0001573</t>
  </si>
  <si>
    <t>TERMINAL A COMPRESSAO EM COBRE ESTANHADO PARA CABO 6 MM2, 1 FURO E 1 COMPRESSAO, PARA PARAFUSO DE FIXACAO M6</t>
  </si>
  <si>
    <t>So00000093661</t>
  </si>
  <si>
    <t>DISJUNTOR BIPOLAR TIPO DIN, CORRENTE NOMINAL DE 16A - FORNECIMENTO E INSTALAÇÃO. AF_10/2020</t>
  </si>
  <si>
    <t>So0034616</t>
  </si>
  <si>
    <t>DISJUNTOR TERMOMAGNETICO PARA TRILHO DIN (IEC), BIPOLAR, 6 - 32 A</t>
  </si>
  <si>
    <t>So0001570</t>
  </si>
  <si>
    <t>TERMINAL A COMPRESSAO EM COBRE ESTANHADO PARA CABO 2,5 MM2, 1 FURO E 1 COMPRESSAO, PARA PARAFUSO DE FIXACAO M5</t>
  </si>
  <si>
    <t>So00000093662</t>
  </si>
  <si>
    <t>DISJUNTOR BIPOLAR TIPO DIN, CORRENTE NOMINAL DE 20A - FORNECIMENTO E INSTALAÇÃO. AF_10/2020</t>
  </si>
  <si>
    <t>So00000093664</t>
  </si>
  <si>
    <t>DISJUNTOR BIPOLAR TIPO DIN, CORRENTE NOMINAL DE 32A - FORNECIMENTO E INSTALAÇÃO. AF_10/2020</t>
  </si>
  <si>
    <t>1.15</t>
  </si>
  <si>
    <t>1.16</t>
  </si>
  <si>
    <t>1.17</t>
  </si>
  <si>
    <t>1.18</t>
  </si>
  <si>
    <t>1.19</t>
  </si>
  <si>
    <t>1.20</t>
  </si>
  <si>
    <t>1.21</t>
  </si>
  <si>
    <t>1.22</t>
  </si>
  <si>
    <t>15.007.0601-0</t>
  </si>
  <si>
    <t>DISJUNTOR TERMOMAGNETICO TRIPOLAR,DE 40 A 63A,3KA,MODELO DIN,TIPO C.FORNECIMENTO E COLOCACAO</t>
  </si>
  <si>
    <t>11656</t>
  </si>
  <si>
    <t>DISJUNTOR, TRIPOLAR, DE 40 A 63A, 3KA, MODELO DIN, TIPO C</t>
  </si>
  <si>
    <t>15.007.0609-0</t>
  </si>
  <si>
    <t>DISJUNTOR TERMOMAGNETICO,TRIPOLAR,DE 180 A 225A,50KA,MODELOCAIXA MOLDADA,TIPO C.FORNECIMENTO E COLOCACAO</t>
  </si>
  <si>
    <t>02431</t>
  </si>
  <si>
    <t>DISJUNTOR, TRIPOLAR, 180A A 225A, 50KA,MODELO CAIXA MOLDADA, TIPO C</t>
  </si>
  <si>
    <t>15.007.0642-0</t>
  </si>
  <si>
    <t>DISPOSITIVO DE PROTECAO CONTRA SURTO (DPS),CLASSE II,1 POLO,TENSAO 175V,CORRENTES APROXIMADAS DE DESCARGA NOMINAL E MAXIMA DE 20KA E 45KA.FORNECIMENTO E COLOCACAO</t>
  </si>
  <si>
    <t>14758</t>
  </si>
  <si>
    <t>DISPOSITIVO DE PROTECAO CONTRA SURTO,CLASSE II,1 POLO,TENSAO 175V,CORRENTE DESC.NOMINAL 20KA,CORRENTE DESC.MAXIMA 45KA</t>
  </si>
  <si>
    <t>So00000101878</t>
  </si>
  <si>
    <t>QUADRO DE DISTRIBUIÇÃO DE ENERGIA EM CHAPA DE AÇO GALVANIZADO, DE SOBREPOR, COM BARRAMENTO TRIFÁSICO, PARA 18 DISJUNTORES DIN 100A - FORNECIMENTO E INSTALAÇÃO. AF_10/2020</t>
  </si>
  <si>
    <t>So0012038</t>
  </si>
  <si>
    <t>QUADRO DE DISTRIBUICAO COM BARRAMENTO TRIFASICO, DE SOBREPOR, EM CHAPA DE ACO GALVANIZADO, PARA 18 DISJUNTORES DIN, 100 A</t>
  </si>
  <si>
    <t>1.23</t>
  </si>
  <si>
    <t>1.24</t>
  </si>
  <si>
    <t>1.25</t>
  </si>
  <si>
    <t>1.26</t>
  </si>
  <si>
    <t>1.27</t>
  </si>
  <si>
    <t>1.28</t>
  </si>
  <si>
    <t>15.007.0420-0</t>
  </si>
  <si>
    <t>QUADRO DE DISTRIBUICAO DE ENERGIA,100A,PARA DISJUNTORES TERMO-MAGNETICOS UNIPOLARES,DE SOBREPOR,COM PORTA E BARRAMENTOSDE FASE,NEUTRO E TERRA,TRIFASICO,PARA INSTALACAO DE ATE 24 DISJUNTORES COM DISPOSITIVO PARA CHAVE GERAL.FORNECIMENTO E COLOCACAO</t>
  </si>
  <si>
    <t>11860</t>
  </si>
  <si>
    <t>QUADRO DE DISTRIBUICAO DE ENERGIA,100A,DE SOBREPOR,BARRAMENTO TRIFASICO E NEUTRO,DISP.P/CHAVE GERAL,P/ATE 24 DISJUNTORES</t>
  </si>
  <si>
    <t>15.007.0430-0</t>
  </si>
  <si>
    <t>QUADRO DE DISTRIBUICAO DE ENERGIA,100A,PARA DISJUNTORES TERMO-MAGNETICOS UNIPOLARES,DE SOBREPOR,COM PORTA E BARRAMENTOSDE FASE,NEUTRO E TERRA,TRIFASICO,PARA INSTALACAO DE ATE 40 DISJUNTORES COM DISPOSITIVO PARA CHAVE GERAL.FORNECIMENTO E COLOCACAO</t>
  </si>
  <si>
    <t>11862</t>
  </si>
  <si>
    <t>QUADRO DE DISTRIBUICAO DE ENERGIA,100A,DE SOBREPOR,BARRAMENTO TRIFASICO E NEUTRO,DISP.P/CHAVE GERAL,P/ATE 40 DISJUNTORES</t>
  </si>
  <si>
    <t>1.29</t>
  </si>
  <si>
    <t>So00000092994</t>
  </si>
  <si>
    <t>CABO DE COBRE FLEXÍVEL ISOLADO, 120 MM², ANTI-CHAMA 0,6/1,0 KV, PARA REDE ENTERRADA DE DISTRIBUIÇÃO DE ENERGIA ELÉTRICA - FORNECIMENTO E INSTALAÇÃO. AF_12/2021</t>
  </si>
  <si>
    <t>So0021127</t>
  </si>
  <si>
    <t>FITA ISOLANTE ADESIVA ANTICHAMA, USO ATE 750 V, EM ROLO DE 19 MM X 5 M</t>
  </si>
  <si>
    <t>So0001017</t>
  </si>
  <si>
    <t>CABO DE COBRE, FLEXIVEL, CLASSE 4 OU 5, ISOLACAO EM PVC/A, ANTICHAMA BWF-B, COBERTURA PVC-ST1, ANTICHAMA BWF-B, 1 CONDUTOR, 0,6/1 KV, SECAO NOMINAL 120 MM2</t>
  </si>
  <si>
    <t>So00000092990</t>
  </si>
  <si>
    <t>CABO DE COBRE FLEXÍVEL ISOLADO, 70 MM², ANTI-CHAMA 0,6/1,0 KV, PARA REDE ENTERRADA DE DISTRIBUIÇÃO DE ENERGIA ELÉTRICA - FORNECIMENTO E INSTALAÇÃO. AF_12/2021</t>
  </si>
  <si>
    <t>So0000977</t>
  </si>
  <si>
    <t>CABO DE COBRE, FLEXIVEL, CLASSE 4 OU 5, ISOLACAO EM PVC/A, ANTICHAMA BWF-B, COBERTURA PVC-ST1, ANTICHAMA BWF-B, 1 CONDUTOR, 0,6/1 KV, SECAO NOMINAL 70 MM2</t>
  </si>
  <si>
    <t>So00000092981</t>
  </si>
  <si>
    <t>CABO DE COBRE FLEXÍVEL ISOLADO, 16 MM², ANTI-CHAMA 450/750 V, PARA DISTRIBUIÇÃO - FORNECIMENTO E INSTALAÇÃO. AF_12/2015</t>
  </si>
  <si>
    <t>So0000979</t>
  </si>
  <si>
    <t>CABO DE COBRE, FLEXIVEL, CLASSE 4 OU 5, ISOLACAO EM PVC/A, ANTICHAMA BWF-B, 1 CONDUTOR, 450/750 V, SECAO NOMINAL 16 MM2</t>
  </si>
  <si>
    <t>So00000091928</t>
  </si>
  <si>
    <t>CABO DE COBRE FLEXÍVEL ISOLADO, 4 MM², ANTI-CHAMA 450/750 V, PARA CIRCUITOS TERMINAIS - FORNECIMENTO E INSTALAÇÃO. AF_03/2023</t>
  </si>
  <si>
    <t>So0000981</t>
  </si>
  <si>
    <t>CABO DE COBRE, FLEXIVEL, CLASSE 4 OU 5, ISOLACAO EM PVC/A, ANTICHAMA BWF-B, 1 CONDUTOR, 450/750 V, SECAO NOMINAL 4 MM2</t>
  </si>
  <si>
    <t>So00000091926</t>
  </si>
  <si>
    <t>CABO DE COBRE FLEXÍVEL ISOLADO, 2,5 MM², ANTI-CHAMA 450/750 V, PARA CIRCUITOS TERMINAIS - FORNECIMENTO E INSTALAÇÃO. AF_03/2023</t>
  </si>
  <si>
    <t>So0001014</t>
  </si>
  <si>
    <t>CABO DE COBRE, FLEXIVEL, CLASSE 4 OU 5, ISOLACAO EM PVC/A, ANTICHAMA BWF-B, 1 CONDUTOR, 450/750 V, SECAO NOMINAL 2,5 MM2</t>
  </si>
  <si>
    <t>1.30</t>
  </si>
  <si>
    <t>1.31</t>
  </si>
  <si>
    <t>1.32</t>
  </si>
  <si>
    <t>So00000091845</t>
  </si>
  <si>
    <t>ELETRODUTO FLEXÍVEL CORRUGADO REFORÇADO, PVC, DN 25 MM (3/4"), PARA CIRCUITOS TERMINAIS, INSTALADO EM LAJE - FORNECIMENTO E INSTALAÇÃO. AF_03/2023</t>
  </si>
  <si>
    <t>So0043132</t>
  </si>
  <si>
    <t>ARAME RECOZIDO 16 BWG, D = 1,65 MM (0,016 KG/M) OU 18 BWG, D = 1,25 MM (0,01 KG/M)</t>
  </si>
  <si>
    <t>KG</t>
  </si>
  <si>
    <t>So0039244</t>
  </si>
  <si>
    <t>ELETRODUTO PVC FLEXIVEL CORRUGADO, REFORCADO, COR LARANJA, DE 25 MM, PARA LAJES E PISOS</t>
  </si>
  <si>
    <t>So00000097669</t>
  </si>
  <si>
    <t>ELETRODUTO FLEXÍVEL CORRUGADO, PEAD, DN 90 (3"), PARA REDE ENTERRADA DE DISTRIBUIÇÃO DE ENERGIA ELÉTRICA - FORNECIMENTO E INSTALAÇÃO. AF_12/2021</t>
  </si>
  <si>
    <t>So0002442</t>
  </si>
  <si>
    <t>ELETRODUTO/DUTO PEAD FLEXIVEL PAREDE SIMPLES, CORRUGACAO HELICOIDAL, COR PRETA, SEM ROSCA, DE 3", CRC 680 N, PARA CABEAMENTO SUBTERRANEO (NBR 15715)</t>
  </si>
  <si>
    <t>So00000091867</t>
  </si>
  <si>
    <t>ELETRODUTO RÍGIDO ROSCÁVEL, PVC, DN 25 MM (3/4"), PARA CIRCUITOS TERMINAIS, INSTALADO EM LAJE - FORNECIMENTO E INSTALAÇÃO. AF_03/2023</t>
  </si>
  <si>
    <t>So0002674</t>
  </si>
  <si>
    <t>ELETRODUTO DE PVC RIGIDO ROSCAVEL DE 3/4 ", SEM LUVA</t>
  </si>
  <si>
    <t>15.011.0031-0</t>
  </si>
  <si>
    <t>ENTRADA ENERGIA INDIVIDUAL,PADRAO LIGHT,MEDICAO DIRETA,REDEAEREA,57KVA E 76KVA,INCL.CAIXA POLIMERICA P/MEDICAO DIRETA POLIFASICA (CM200-P) E CAIXA PROTECAO GERAL (CPG200) INTERNA,POLICARBONATO TAMPA TRANSPARENTE,CAIXA INSPECAO,3 HASTES E CONECTORES ATERRAMENTO,E MAT.NECES.EXCL.POSTE,DISJUNTOR E CONDUTORES (ENTRADA,SAIDA,ATERRAMENTO E RESPECTIVOS CONECTORES)</t>
  </si>
  <si>
    <t>02003</t>
  </si>
  <si>
    <t>19.004.0080-2 GUINDAUTO 3,5T, ALCANCE 7,0M (CP)</t>
  </si>
  <si>
    <t>01005</t>
  </si>
  <si>
    <t>19.004.0004-3 CAMINHAO CARROC. FIXA, 7,5T (CF)</t>
  </si>
  <si>
    <t>02347</t>
  </si>
  <si>
    <t>ELETRODUTO DE PVC PRETO,RIGIDO ROSQUEAVEL,COM ROSCA EM AMBAS EXTREMIDADES,EM BARRAS DE 3 METROS,DE 2.1/2"</t>
  </si>
  <si>
    <t>02944</t>
  </si>
  <si>
    <t>CURVA 90º DE PVC RIGIDO, ROSQUEAVEL, PARA ELETRODUTO, DE 2.1/2"</t>
  </si>
  <si>
    <t>04271</t>
  </si>
  <si>
    <t>BUCHA E ARRUELA DE ALUMINIO PARA ELETRODUTO, DE 2.1/2"</t>
  </si>
  <si>
    <t>03888</t>
  </si>
  <si>
    <t>LUVA DE PVC RIGIDO ROSQUEAVEL, PARA ELETRODUTO, DE 2.1/2"</t>
  </si>
  <si>
    <t>13832</t>
  </si>
  <si>
    <t>CAIXA DE PROTECAO GERAL (CPG 630), 800X400X270MM</t>
  </si>
  <si>
    <t>15.011.0031-6</t>
  </si>
  <si>
    <t>ENTRADA ENERGIA INDIVIDUAL,PADRAO LIGHT,MEDICAO DIRETA,REDEAEREA,77,99KVA,INCL.CAIXA POLIMERICA P/MEDICAO DIRETA POLIFASICA (CM600-P) E CAIXA PROTECAO GERAL (CPG600) INTERNA,POLICARBONATO TAMPA TRANSPARENTE,CAIXA INSPECAO,3 HASTES E CONECTORES ATERRAMENTO,E MAT.NECES.EXCL.POSTE,DISJUNTOR E CONDUTORES (ENTRADA,SAIDA,ATERRAMENTO E RESPECTIVOS CONECTORES)</t>
  </si>
  <si>
    <t>18.045.0015-0</t>
  </si>
  <si>
    <t>POSTE DE CONCRETO,COM SECAO CIRCULAR,COM 7,00M DE COMPRIMENTO E CARGA NOMINAL HORIZONTAL NO TOPO DE 100KG,INCLUSIVE ESCAVACAO,EXCLUSIVE TRANSPORTE.FORNECIMENTO E COLOCACAO</t>
  </si>
  <si>
    <t>01763</t>
  </si>
  <si>
    <t>11.002.0034-1 LANCAMENTO CONC.S/ARM.3,5M3/H, HORIZ.</t>
  </si>
  <si>
    <t>01635</t>
  </si>
  <si>
    <t>11.001.0005-1 CONCRETO FCK 15MPA</t>
  </si>
  <si>
    <t>So00000091993</t>
  </si>
  <si>
    <t>TOMADA ALTA DE EMBUTIR (1 MÓDULO), 2P+T 20 A, INCLUINDO SUPORTE E PLACA - FORNECIMENTO E INSTALAÇÃO. AF_03/2023</t>
  </si>
  <si>
    <t>So00000091991</t>
  </si>
  <si>
    <t>So00000091991 TOMADA ALTA DE EMBUTIR (1 MÓDULO), 2P+T 20 A, SEM SUPORTE E SEM PLACA - FORNECIMENTO E INSTALAÇÃO. AF_03/2023</t>
  </si>
  <si>
    <t>18.027.0474-0</t>
  </si>
  <si>
    <t>LUMINARIA DE SOBREPOR, FIXADA EM LAJE OU FORRO, TIPO CALHA,CHANFRADA OU PRISMATICA, COMPLETA, COM LAMPADA LED TUBULARDE 2 X 9W. FORNECIMENTO E COLOCACAO</t>
  </si>
  <si>
    <t>14675</t>
  </si>
  <si>
    <t>CALHA CHANFRADA EM CHAPA DE ACO PARA LUMINARIA DE SOBREPOR, PARA 2 LAMPADAS TUBULARES DE 600MM</t>
  </si>
  <si>
    <t>14189</t>
  </si>
  <si>
    <t>LAMPADA LED, TUBULAR, 600MM, T8, 9W, FLUXO LUMINOSO EM TORNO DE 900LM</t>
  </si>
  <si>
    <t>05946</t>
  </si>
  <si>
    <t>SUPORTE TIPO PE DE GALINHA PARA FIXACAODE LUMINARIAS</t>
  </si>
  <si>
    <t>05337</t>
  </si>
  <si>
    <t>SUPORTE P/LAMPADA TUBULAR</t>
  </si>
  <si>
    <t>18.027.0476-0</t>
  </si>
  <si>
    <t>LUMINARIA DE SOBREPOR, FIXADA EM LAJE OU FORRO, TIPO CALHA,CHANFRADA OU PRISMATICA, COMPLETA, COM LAMPADA LED TUBULARDE 2 X 18W. FORNECIMENTO E COLOCACAO</t>
  </si>
  <si>
    <t>14679</t>
  </si>
  <si>
    <t>CALHA CHANFRADA EM CHAPA DE ACO PARA LUMINARIA DE SOBREPOR, PARA 2 LAMPADAS TUBULARES DE 1200MM</t>
  </si>
  <si>
    <t>14190</t>
  </si>
  <si>
    <t>LAMPADA LED, TUBULAR, 1200MM, T8, 18W, FLUXO LUMINOSO EM TORNO DE 1850LM</t>
  </si>
  <si>
    <t>TOMADA ALTA DE EMBUTIR (1 MÓDULO), 2P+T 20 A, INCLUINDO SUPORTE E PLACA - FORNECIMENTO E INSTALAÇÃO. AF_03/2023 - pto para ar condicionado 250V - 20A</t>
  </si>
  <si>
    <t>TOMADA ALTA DE EMBUTIR (1 MÓDULO), 2P+T 20 A, INCLUINDO SUPORTE E PLACA - FORNECIMENTO E INSTALAÇÃO. AF_03/2023 - pto para ar condicionado 250V - 32A</t>
  </si>
  <si>
    <t>15.007.0526-0</t>
  </si>
  <si>
    <t>DISJUNTOR,INTERRUPTOR DIFERENCIAL RESIDUAL(DDR),CLASSE AC,4POLOS,INSTANTANEO,CORRENTE NOMINAL(IN)63AX415V,SENSIBILIDADE30MA/300MA.FORNECIMENTO E COLOCACAO</t>
  </si>
  <si>
    <t>11870</t>
  </si>
  <si>
    <t>DISJUNTOR/INTERRUPTOR DIFERENCIAL RESIDUAL (DDR), CLASSE AC, 4 POLOS, INST.,C.NOMINAL 63AX415V,SENSIBILIDADE 30MA/300MA</t>
  </si>
  <si>
    <t>18.045.0010-0</t>
  </si>
  <si>
    <t>POSTE DE CONCRETO,COM SECAO CIRCULAR,COM 5,00M DE COMPRIMENTO E CARGA NOMINAL NO TOPO DE 100KG,INCLUSIVE ESCAVACAO,EXCLUSIVE TRANSPORTE.FORNECIMENTO E COLOCACAO</t>
  </si>
  <si>
    <t>03890</t>
  </si>
  <si>
    <t>POSTE CONCRETO, C/SECAO CIRCULAR, 05,00MCOMPR., PADRAO ABNT, EXCL.TRANSP., C/CARGA NOM.HORIZ,NO TOPO, DE 100KGF</t>
  </si>
  <si>
    <t xml:space="preserve">PLANILHA ORÇAMENTÁRIA  - BDI 22,47% </t>
  </si>
  <si>
    <t>90 DIAS</t>
  </si>
  <si>
    <t>120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</si>
</sst>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 * #,##0.00_ ;_ * \-#,##0.00_ ;_ * &quot;-&quot;??_ ;_ @_ "/>
    <numFmt numFmtId="165" formatCode="_([$€]* #,##0.00_);_([$€]* \(#,##0.00\);_([$€]* &quot;-&quot;??_);_(@_)"/>
    <numFmt numFmtId="166" formatCode="_(* #,##0.00_);_(* \(#,##0.00\);_(* \-??_);_(@_)"/>
    <numFmt numFmtId="167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name val="Switzerland"/>
    </font>
    <font>
      <sz val="14"/>
      <name val="Arial"/>
      <family val="2"/>
    </font>
    <font>
      <sz val="16"/>
      <color indexed="8"/>
      <name val="Arial"/>
      <family val="2"/>
    </font>
    <font>
      <b/>
      <sz val="20"/>
      <name val="Arial"/>
      <family val="2"/>
    </font>
    <font>
      <b/>
      <sz val="12"/>
      <name val="Switzerland"/>
    </font>
    <font>
      <sz val="12"/>
      <color indexed="10"/>
      <name val="Arial"/>
      <family val="2"/>
    </font>
    <font>
      <sz val="11"/>
      <color indexed="10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Switzerland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17" fillId="0" borderId="0"/>
    <xf numFmtId="165" fontId="14" fillId="0" borderId="0" applyFont="0" applyFill="0" applyBorder="0" applyAlignment="0" applyProtection="0"/>
    <xf numFmtId="0" fontId="14" fillId="0" borderId="0"/>
    <xf numFmtId="0" fontId="1" fillId="0" borderId="0"/>
    <xf numFmtId="0" fontId="26" fillId="0" borderId="0"/>
    <xf numFmtId="0" fontId="1" fillId="0" borderId="0"/>
    <xf numFmtId="166" fontId="1" fillId="0" borderId="0" applyFill="0" applyBorder="0" applyAlignment="0" applyProtection="0"/>
    <xf numFmtId="167" fontId="1" fillId="0" borderId="0" applyFont="0" applyFill="0" applyBorder="0" applyAlignment="0" applyProtection="0"/>
  </cellStyleXfs>
  <cellXfs count="234">
    <xf numFmtId="0" fontId="0" fillId="0" borderId="0" xfId="0"/>
    <xf numFmtId="49" fontId="2" fillId="2" borderId="1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left"/>
    </xf>
    <xf numFmtId="4" fontId="2" fillId="2" borderId="2" xfId="1" applyNumberFormat="1" applyFont="1" applyFill="1" applyBorder="1" applyAlignment="1">
      <alignment horizontal="left"/>
    </xf>
    <xf numFmtId="49" fontId="2" fillId="2" borderId="4" xfId="1" applyNumberFormat="1" applyFont="1" applyFill="1" applyBorder="1" applyAlignment="1">
      <alignment horizontal="center"/>
    </xf>
    <xf numFmtId="49" fontId="2" fillId="2" borderId="0" xfId="2" applyNumberFormat="1" applyFont="1" applyFill="1" applyAlignment="1">
      <alignment horizontal="center"/>
    </xf>
    <xf numFmtId="4" fontId="2" fillId="2" borderId="4" xfId="2" applyNumberFormat="1" applyFont="1" applyFill="1" applyBorder="1" applyAlignment="1">
      <alignment horizontal="left"/>
    </xf>
    <xf numFmtId="4" fontId="2" fillId="2" borderId="0" xfId="2" applyNumberFormat="1" applyFont="1" applyFill="1" applyAlignment="1">
      <alignment horizontal="left"/>
    </xf>
    <xf numFmtId="49" fontId="2" fillId="2" borderId="6" xfId="1" applyNumberFormat="1" applyFont="1" applyFill="1" applyBorder="1" applyAlignment="1">
      <alignment horizontal="center"/>
    </xf>
    <xf numFmtId="49" fontId="2" fillId="2" borderId="7" xfId="1" applyNumberFormat="1" applyFont="1" applyFill="1" applyBorder="1" applyAlignment="1">
      <alignment horizontal="center"/>
    </xf>
    <xf numFmtId="4" fontId="11" fillId="2" borderId="7" xfId="1" applyNumberFormat="1" applyFont="1" applyFill="1" applyBorder="1" applyAlignment="1">
      <alignment vertical="center" readingOrder="1"/>
    </xf>
    <xf numFmtId="0" fontId="5" fillId="2" borderId="8" xfId="1" applyFont="1" applyFill="1" applyBorder="1"/>
    <xf numFmtId="0" fontId="18" fillId="0" borderId="0" xfId="5" applyFont="1"/>
    <xf numFmtId="0" fontId="17" fillId="0" borderId="0" xfId="5"/>
    <xf numFmtId="4" fontId="9" fillId="0" borderId="6" xfId="1" applyNumberFormat="1" applyFont="1" applyBorder="1" applyAlignment="1">
      <alignment vertical="center" wrapText="1"/>
    </xf>
    <xf numFmtId="4" fontId="9" fillId="0" borderId="7" xfId="1" applyNumberFormat="1" applyFont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12" fillId="0" borderId="0" xfId="0" applyFont="1"/>
    <xf numFmtId="4" fontId="12" fillId="0" borderId="0" xfId="0" applyNumberFormat="1" applyFont="1"/>
    <xf numFmtId="44" fontId="16" fillId="0" borderId="3" xfId="2" applyNumberFormat="1" applyFont="1" applyBorder="1" applyAlignment="1">
      <alignment vertical="center" wrapText="1" readingOrder="1"/>
    </xf>
    <xf numFmtId="44" fontId="16" fillId="0" borderId="5" xfId="2" applyNumberFormat="1" applyFont="1" applyBorder="1" applyAlignment="1">
      <alignment vertical="center" wrapText="1" readingOrder="1"/>
    </xf>
    <xf numFmtId="4" fontId="5" fillId="0" borderId="5" xfId="2" applyNumberFormat="1" applyFont="1" applyBorder="1" applyAlignment="1">
      <alignment vertical="center" wrapText="1" readingOrder="1"/>
    </xf>
    <xf numFmtId="0" fontId="5" fillId="0" borderId="5" xfId="1" applyFont="1" applyBorder="1"/>
    <xf numFmtId="4" fontId="9" fillId="0" borderId="5" xfId="2" applyNumberFormat="1" applyFont="1" applyBorder="1" applyAlignment="1">
      <alignment vertical="center" wrapText="1"/>
    </xf>
    <xf numFmtId="4" fontId="9" fillId="0" borderId="5" xfId="1" applyNumberFormat="1" applyFont="1" applyBorder="1" applyAlignment="1">
      <alignment vertical="center" wrapText="1"/>
    </xf>
    <xf numFmtId="4" fontId="9" fillId="0" borderId="8" xfId="1" applyNumberFormat="1" applyFont="1" applyBorder="1" applyAlignment="1">
      <alignment vertical="center" wrapText="1"/>
    </xf>
    <xf numFmtId="0" fontId="4" fillId="0" borderId="2" xfId="7" applyFont="1" applyBorder="1" applyAlignment="1">
      <alignment horizontal="center"/>
    </xf>
    <xf numFmtId="0" fontId="4" fillId="0" borderId="3" xfId="7" applyFont="1" applyBorder="1"/>
    <xf numFmtId="0" fontId="4" fillId="0" borderId="0" xfId="7" applyFont="1"/>
    <xf numFmtId="0" fontId="4" fillId="0" borderId="0" xfId="7" applyFont="1" applyAlignment="1">
      <alignment horizontal="center"/>
    </xf>
    <xf numFmtId="0" fontId="4" fillId="0" borderId="5" xfId="7" applyFont="1" applyBorder="1"/>
    <xf numFmtId="0" fontId="4" fillId="0" borderId="7" xfId="7" applyFont="1" applyBorder="1"/>
    <xf numFmtId="0" fontId="13" fillId="0" borderId="0" xfId="7" applyFont="1"/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 wrapText="1"/>
    </xf>
    <xf numFmtId="0" fontId="22" fillId="0" borderId="0" xfId="7" applyFont="1"/>
    <xf numFmtId="0" fontId="22" fillId="0" borderId="0" xfId="7" applyFont="1" applyAlignment="1">
      <alignment horizontal="center" vertical="center"/>
    </xf>
    <xf numFmtId="4" fontId="22" fillId="0" borderId="0" xfId="7" applyNumberFormat="1" applyFont="1"/>
    <xf numFmtId="0" fontId="23" fillId="0" borderId="0" xfId="7" applyFont="1" applyAlignment="1">
      <alignment vertical="center"/>
    </xf>
    <xf numFmtId="0" fontId="23" fillId="0" borderId="0" xfId="7" applyFont="1" applyAlignment="1">
      <alignment horizontal="center" vertical="center" wrapText="1"/>
    </xf>
    <xf numFmtId="0" fontId="23" fillId="0" borderId="0" xfId="7" applyFont="1"/>
    <xf numFmtId="0" fontId="23" fillId="0" borderId="0" xfId="7" applyFont="1" applyAlignment="1">
      <alignment horizontal="center" vertical="center"/>
    </xf>
    <xf numFmtId="4" fontId="23" fillId="0" borderId="0" xfId="7" applyNumberFormat="1" applyFont="1"/>
    <xf numFmtId="0" fontId="13" fillId="0" borderId="0" xfId="7" applyFont="1" applyAlignment="1">
      <alignment vertical="center"/>
    </xf>
    <xf numFmtId="0" fontId="15" fillId="0" borderId="0" xfId="7" applyFont="1" applyAlignment="1">
      <alignment horizontal="center" vertical="center" wrapText="1"/>
    </xf>
    <xf numFmtId="0" fontId="15" fillId="0" borderId="0" xfId="7" applyFont="1"/>
    <xf numFmtId="0" fontId="15" fillId="0" borderId="0" xfId="7" applyFont="1" applyAlignment="1">
      <alignment horizontal="center" vertical="center"/>
    </xf>
    <xf numFmtId="4" fontId="15" fillId="0" borderId="0" xfId="7" applyNumberFormat="1" applyFont="1"/>
    <xf numFmtId="0" fontId="24" fillId="3" borderId="12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19" fillId="0" borderId="9" xfId="6" applyNumberFormat="1" applyFont="1" applyFill="1" applyBorder="1" applyAlignment="1">
      <alignment horizontal="right"/>
    </xf>
    <xf numFmtId="10" fontId="5" fillId="0" borderId="9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 wrapText="1"/>
    </xf>
    <xf numFmtId="4" fontId="7" fillId="0" borderId="9" xfId="6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right" vertical="center"/>
    </xf>
    <xf numFmtId="0" fontId="2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/>
    </xf>
    <xf numFmtId="0" fontId="24" fillId="3" borderId="11" xfId="0" applyFont="1" applyFill="1" applyBorder="1" applyAlignment="1">
      <alignment horizontal="right" vertical="center"/>
    </xf>
    <xf numFmtId="0" fontId="18" fillId="0" borderId="0" xfId="7" applyFont="1"/>
    <xf numFmtId="4" fontId="29" fillId="0" borderId="9" xfId="7" applyNumberFormat="1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49" fontId="18" fillId="0" borderId="10" xfId="7" applyNumberFormat="1" applyFont="1" applyBorder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49" fontId="18" fillId="0" borderId="0" xfId="7" applyNumberFormat="1" applyFont="1" applyAlignment="1">
      <alignment horizontal="center" vertical="center" wrapText="1"/>
    </xf>
    <xf numFmtId="0" fontId="18" fillId="0" borderId="0" xfId="4" applyNumberFormat="1" applyFont="1" applyFill="1" applyBorder="1" applyAlignment="1">
      <alignment horizontal="justify" vertical="justify" wrapText="1"/>
    </xf>
    <xf numFmtId="4" fontId="18" fillId="0" borderId="0" xfId="4" applyNumberFormat="1" applyFont="1" applyFill="1" applyBorder="1" applyAlignment="1">
      <alignment horizontal="right"/>
    </xf>
    <xf numFmtId="4" fontId="18" fillId="0" borderId="0" xfId="7" applyNumberFormat="1" applyFont="1" applyAlignment="1">
      <alignment horizontal="right"/>
    </xf>
    <xf numFmtId="0" fontId="18" fillId="4" borderId="9" xfId="7" applyFont="1" applyFill="1" applyBorder="1" applyAlignment="1">
      <alignment horizontal="center" vertical="center"/>
    </xf>
    <xf numFmtId="49" fontId="18" fillId="4" borderId="9" xfId="7" applyNumberFormat="1" applyFont="1" applyFill="1" applyBorder="1" applyAlignment="1">
      <alignment horizontal="center" vertical="center" wrapText="1"/>
    </xf>
    <xf numFmtId="0" fontId="18" fillId="4" borderId="9" xfId="4" applyNumberFormat="1" applyFont="1" applyFill="1" applyBorder="1" applyAlignment="1">
      <alignment horizontal="justify" vertical="justify" wrapText="1"/>
    </xf>
    <xf numFmtId="4" fontId="18" fillId="4" borderId="9" xfId="4" applyNumberFormat="1" applyFont="1" applyFill="1" applyBorder="1" applyAlignment="1">
      <alignment horizontal="right"/>
    </xf>
    <xf numFmtId="4" fontId="18" fillId="4" borderId="9" xfId="3" applyNumberFormat="1" applyFont="1" applyFill="1" applyBorder="1" applyAlignment="1">
      <alignment horizontal="right"/>
    </xf>
    <xf numFmtId="0" fontId="18" fillId="4" borderId="10" xfId="7" applyFont="1" applyFill="1" applyBorder="1" applyAlignment="1">
      <alignment horizontal="center" vertical="center"/>
    </xf>
    <xf numFmtId="49" fontId="18" fillId="4" borderId="10" xfId="7" applyNumberFormat="1" applyFont="1" applyFill="1" applyBorder="1" applyAlignment="1">
      <alignment horizontal="center" vertical="center" wrapText="1"/>
    </xf>
    <xf numFmtId="0" fontId="18" fillId="4" borderId="10" xfId="4" applyNumberFormat="1" applyFont="1" applyFill="1" applyBorder="1" applyAlignment="1">
      <alignment horizontal="justify" vertical="justify" wrapText="1"/>
    </xf>
    <xf numFmtId="4" fontId="18" fillId="4" borderId="10" xfId="4" applyNumberFormat="1" applyFont="1" applyFill="1" applyBorder="1" applyAlignment="1">
      <alignment horizontal="right"/>
    </xf>
    <xf numFmtId="4" fontId="18" fillId="4" borderId="10" xfId="3" applyNumberFormat="1" applyFont="1" applyFill="1" applyBorder="1" applyAlignment="1">
      <alignment horizontal="right"/>
    </xf>
    <xf numFmtId="0" fontId="24" fillId="2" borderId="15" xfId="7" applyFont="1" applyFill="1" applyBorder="1" applyAlignment="1">
      <alignment horizontal="center" vertical="center"/>
    </xf>
    <xf numFmtId="49" fontId="24" fillId="2" borderId="15" xfId="7" applyNumberFormat="1" applyFont="1" applyFill="1" applyBorder="1" applyAlignment="1">
      <alignment horizontal="center" vertical="center" wrapText="1"/>
    </xf>
    <xf numFmtId="0" fontId="24" fillId="2" borderId="15" xfId="4" applyNumberFormat="1" applyFont="1" applyFill="1" applyBorder="1" applyAlignment="1">
      <alignment horizontal="justify" vertical="justify" wrapText="1"/>
    </xf>
    <xf numFmtId="4" fontId="24" fillId="2" borderId="15" xfId="4" applyNumberFormat="1" applyFont="1" applyFill="1" applyBorder="1" applyAlignment="1">
      <alignment horizontal="right"/>
    </xf>
    <xf numFmtId="4" fontId="24" fillId="2" borderId="15" xfId="7" applyNumberFormat="1" applyFont="1" applyFill="1" applyBorder="1" applyAlignment="1">
      <alignment horizontal="right"/>
    </xf>
    <xf numFmtId="4" fontId="18" fillId="0" borderId="0" xfId="3" applyNumberFormat="1" applyFont="1" applyAlignment="1">
      <alignment horizontal="right"/>
    </xf>
    <xf numFmtId="0" fontId="18" fillId="0" borderId="1" xfId="7" applyFont="1" applyBorder="1" applyAlignment="1">
      <alignment horizontal="center" vertical="center"/>
    </xf>
    <xf numFmtId="49" fontId="18" fillId="0" borderId="2" xfId="7" applyNumberFormat="1" applyFont="1" applyBorder="1" applyAlignment="1">
      <alignment horizontal="center" vertical="center" wrapText="1"/>
    </xf>
    <xf numFmtId="0" fontId="18" fillId="0" borderId="2" xfId="4" applyNumberFormat="1" applyFont="1" applyFill="1" applyBorder="1" applyAlignment="1">
      <alignment horizontal="justify" vertical="justify" wrapText="1"/>
    </xf>
    <xf numFmtId="0" fontId="18" fillId="0" borderId="2" xfId="7" applyFont="1" applyBorder="1" applyAlignment="1">
      <alignment horizontal="center" vertical="center"/>
    </xf>
    <xf numFmtId="4" fontId="18" fillId="0" borderId="2" xfId="4" applyNumberFormat="1" applyFont="1" applyFill="1" applyBorder="1" applyAlignment="1">
      <alignment horizontal="right"/>
    </xf>
    <xf numFmtId="4" fontId="18" fillId="0" borderId="2" xfId="3" applyNumberFormat="1" applyFont="1" applyBorder="1" applyAlignment="1">
      <alignment horizontal="right"/>
    </xf>
    <xf numFmtId="4" fontId="18" fillId="0" borderId="3" xfId="4" applyNumberFormat="1" applyFont="1" applyFill="1" applyBorder="1" applyAlignment="1">
      <alignment horizontal="right"/>
    </xf>
    <xf numFmtId="0" fontId="18" fillId="0" borderId="4" xfId="7" applyFont="1" applyBorder="1" applyAlignment="1">
      <alignment horizontal="center" vertical="center"/>
    </xf>
    <xf numFmtId="4" fontId="18" fillId="0" borderId="5" xfId="4" applyNumberFormat="1" applyFont="1" applyFill="1" applyBorder="1" applyAlignment="1">
      <alignment horizontal="right"/>
    </xf>
    <xf numFmtId="0" fontId="18" fillId="0" borderId="6" xfId="7" applyFont="1" applyBorder="1" applyAlignment="1">
      <alignment horizontal="center" vertical="center"/>
    </xf>
    <xf numFmtId="49" fontId="18" fillId="0" borderId="7" xfId="7" applyNumberFormat="1" applyFont="1" applyBorder="1" applyAlignment="1">
      <alignment horizontal="center" vertical="center" wrapText="1"/>
    </xf>
    <xf numFmtId="0" fontId="18" fillId="0" borderId="7" xfId="4" applyNumberFormat="1" applyFont="1" applyFill="1" applyBorder="1" applyAlignment="1">
      <alignment horizontal="justify" vertical="justify" wrapText="1"/>
    </xf>
    <xf numFmtId="0" fontId="18" fillId="0" borderId="7" xfId="7" applyFont="1" applyBorder="1" applyAlignment="1">
      <alignment horizontal="center" vertical="center"/>
    </xf>
    <xf numFmtId="4" fontId="18" fillId="0" borderId="7" xfId="4" applyNumberFormat="1" applyFont="1" applyFill="1" applyBorder="1" applyAlignment="1">
      <alignment horizontal="right"/>
    </xf>
    <xf numFmtId="4" fontId="18" fillId="0" borderId="7" xfId="3" applyNumberFormat="1" applyFont="1" applyBorder="1" applyAlignment="1">
      <alignment horizontal="right"/>
    </xf>
    <xf numFmtId="4" fontId="18" fillId="0" borderId="8" xfId="4" applyNumberFormat="1" applyFont="1" applyFill="1" applyBorder="1" applyAlignment="1">
      <alignment horizontal="right"/>
    </xf>
    <xf numFmtId="0" fontId="24" fillId="0" borderId="4" xfId="7" applyFont="1" applyBorder="1" applyAlignment="1">
      <alignment horizontal="center" vertical="center"/>
    </xf>
    <xf numFmtId="49" fontId="24" fillId="0" borderId="0" xfId="7" applyNumberFormat="1" applyFont="1" applyAlignment="1">
      <alignment horizontal="center" vertical="center" wrapText="1"/>
    </xf>
    <xf numFmtId="0" fontId="24" fillId="0" borderId="0" xfId="4" applyNumberFormat="1" applyFont="1" applyFill="1" applyBorder="1" applyAlignment="1">
      <alignment horizontal="justify" vertical="justify" wrapText="1"/>
    </xf>
    <xf numFmtId="0" fontId="24" fillId="0" borderId="0" xfId="7" applyFont="1" applyAlignment="1">
      <alignment horizontal="center" vertical="center"/>
    </xf>
    <xf numFmtId="4" fontId="24" fillId="0" borderId="0" xfId="4" applyNumberFormat="1" applyFont="1" applyFill="1" applyBorder="1" applyAlignment="1">
      <alignment horizontal="right"/>
    </xf>
    <xf numFmtId="4" fontId="24" fillId="0" borderId="0" xfId="3" applyNumberFormat="1" applyFont="1" applyAlignment="1">
      <alignment horizontal="right"/>
    </xf>
    <xf numFmtId="4" fontId="24" fillId="0" borderId="5" xfId="4" applyNumberFormat="1" applyFont="1" applyFill="1" applyBorder="1" applyAlignment="1">
      <alignment horizontal="right"/>
    </xf>
    <xf numFmtId="0" fontId="31" fillId="0" borderId="0" xfId="7" applyFont="1"/>
    <xf numFmtId="4" fontId="24" fillId="2" borderId="6" xfId="3" applyNumberFormat="1" applyFont="1" applyFill="1" applyBorder="1"/>
    <xf numFmtId="0" fontId="24" fillId="0" borderId="9" xfId="7" applyFont="1" applyBorder="1" applyAlignment="1">
      <alignment horizontal="center" vertical="center"/>
    </xf>
    <xf numFmtId="4" fontId="10" fillId="0" borderId="0" xfId="1" applyNumberFormat="1" applyFont="1" applyAlignment="1">
      <alignment horizontal="center" vertical="center" wrapText="1"/>
    </xf>
    <xf numFmtId="4" fontId="10" fillId="0" borderId="0" xfId="2" applyNumberFormat="1" applyFont="1" applyAlignment="1">
      <alignment horizontal="center" vertical="center" wrapText="1"/>
    </xf>
    <xf numFmtId="44" fontId="16" fillId="0" borderId="2" xfId="2" applyNumberFormat="1" applyFont="1" applyBorder="1" applyAlignment="1">
      <alignment horizontal="center" vertical="center" wrapText="1" readingOrder="1"/>
    </xf>
    <xf numFmtId="44" fontId="27" fillId="0" borderId="0" xfId="2" applyNumberFormat="1" applyFont="1" applyAlignment="1">
      <alignment horizontal="center" vertical="center" wrapText="1" readingOrder="1"/>
    </xf>
    <xf numFmtId="4" fontId="6" fillId="0" borderId="0" xfId="2" applyNumberFormat="1" applyFont="1" applyAlignment="1">
      <alignment horizontal="center" vertical="center" wrapText="1" readingOrder="1"/>
    </xf>
    <xf numFmtId="0" fontId="6" fillId="0" borderId="0" xfId="1" applyFont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left"/>
    </xf>
    <xf numFmtId="4" fontId="2" fillId="0" borderId="2" xfId="1" applyNumberFormat="1" applyFont="1" applyBorder="1" applyAlignment="1">
      <alignment horizontal="left"/>
    </xf>
    <xf numFmtId="49" fontId="2" fillId="0" borderId="4" xfId="1" applyNumberFormat="1" applyFont="1" applyBorder="1" applyAlignment="1">
      <alignment horizontal="center"/>
    </xf>
    <xf numFmtId="49" fontId="2" fillId="0" borderId="0" xfId="2" applyNumberFormat="1" applyFont="1" applyAlignment="1">
      <alignment horizontal="center"/>
    </xf>
    <xf numFmtId="4" fontId="2" fillId="0" borderId="4" xfId="2" applyNumberFormat="1" applyFont="1" applyBorder="1" applyAlignment="1">
      <alignment horizontal="left"/>
    </xf>
    <xf numFmtId="4" fontId="2" fillId="0" borderId="0" xfId="2" applyNumberFormat="1" applyFont="1" applyAlignment="1">
      <alignment horizontal="left"/>
    </xf>
    <xf numFmtId="49" fontId="2" fillId="0" borderId="6" xfId="1" applyNumberFormat="1" applyFont="1" applyBorder="1" applyAlignment="1">
      <alignment horizontal="center"/>
    </xf>
    <xf numFmtId="49" fontId="2" fillId="0" borderId="7" xfId="1" applyNumberFormat="1" applyFont="1" applyBorder="1" applyAlignment="1">
      <alignment horizontal="center"/>
    </xf>
    <xf numFmtId="4" fontId="11" fillId="0" borderId="7" xfId="1" applyNumberFormat="1" applyFont="1" applyBorder="1" applyAlignment="1">
      <alignment vertical="center" readingOrder="1"/>
    </xf>
    <xf numFmtId="0" fontId="5" fillId="0" borderId="8" xfId="1" applyFont="1" applyBorder="1"/>
    <xf numFmtId="0" fontId="18" fillId="0" borderId="9" xfId="7" applyFont="1" applyBorder="1" applyAlignment="1">
      <alignment horizontal="center" vertical="center"/>
    </xf>
    <xf numFmtId="49" fontId="18" fillId="0" borderId="9" xfId="7" applyNumberFormat="1" applyFont="1" applyBorder="1" applyAlignment="1">
      <alignment horizontal="center" vertical="center" wrapText="1"/>
    </xf>
    <xf numFmtId="0" fontId="18" fillId="0" borderId="9" xfId="4" applyNumberFormat="1" applyFont="1" applyFill="1" applyBorder="1" applyAlignment="1">
      <alignment horizontal="justify" vertical="justify" wrapText="1"/>
    </xf>
    <xf numFmtId="4" fontId="18" fillId="0" borderId="9" xfId="4" applyNumberFormat="1" applyFont="1" applyFill="1" applyBorder="1" applyAlignment="1">
      <alignment horizontal="right"/>
    </xf>
    <xf numFmtId="4" fontId="18" fillId="0" borderId="9" xfId="3" applyNumberFormat="1" applyFont="1" applyBorder="1" applyAlignment="1">
      <alignment horizontal="right"/>
    </xf>
    <xf numFmtId="49" fontId="24" fillId="0" borderId="9" xfId="7" applyNumberFormat="1" applyFont="1" applyBorder="1" applyAlignment="1">
      <alignment horizontal="center" vertical="center" wrapText="1"/>
    </xf>
    <xf numFmtId="0" fontId="24" fillId="0" borderId="9" xfId="4" applyNumberFormat="1" applyFont="1" applyFill="1" applyBorder="1" applyAlignment="1">
      <alignment horizontal="justify" vertical="justify" wrapText="1"/>
    </xf>
    <xf numFmtId="4" fontId="24" fillId="0" borderId="9" xfId="4" applyNumberFormat="1" applyFont="1" applyFill="1" applyBorder="1" applyAlignment="1">
      <alignment horizontal="right"/>
    </xf>
    <xf numFmtId="4" fontId="24" fillId="0" borderId="9" xfId="7" applyNumberFormat="1" applyFont="1" applyBorder="1" applyAlignment="1">
      <alignment horizontal="right"/>
    </xf>
    <xf numFmtId="4" fontId="24" fillId="0" borderId="9" xfId="3" applyNumberFormat="1" applyFont="1" applyBorder="1"/>
    <xf numFmtId="0" fontId="24" fillId="0" borderId="10" xfId="7" applyFont="1" applyBorder="1" applyAlignment="1">
      <alignment horizontal="left" vertical="top" wrapText="1"/>
    </xf>
    <xf numFmtId="4" fontId="3" fillId="2" borderId="2" xfId="2" applyNumberFormat="1" applyFont="1" applyFill="1" applyBorder="1" applyAlignment="1">
      <alignment horizontal="left" vertical="center" readingOrder="1"/>
    </xf>
    <xf numFmtId="4" fontId="3" fillId="2" borderId="3" xfId="2" applyNumberFormat="1" applyFont="1" applyFill="1" applyBorder="1" applyAlignment="1">
      <alignment horizontal="left" vertical="center" readingOrder="1"/>
    </xf>
    <xf numFmtId="4" fontId="3" fillId="2" borderId="0" xfId="2" applyNumberFormat="1" applyFont="1" applyFill="1" applyAlignment="1">
      <alignment horizontal="left" vertical="center" readingOrder="1"/>
    </xf>
    <xf numFmtId="4" fontId="3" fillId="2" borderId="5" xfId="2" applyNumberFormat="1" applyFont="1" applyFill="1" applyBorder="1" applyAlignment="1">
      <alignment horizontal="left" vertical="center" readingOrder="1"/>
    </xf>
    <xf numFmtId="4" fontId="5" fillId="2" borderId="4" xfId="1" applyNumberFormat="1" applyFont="1" applyFill="1" applyBorder="1" applyAlignment="1">
      <alignment horizontal="left" vertical="center"/>
    </xf>
    <xf numFmtId="4" fontId="5" fillId="2" borderId="0" xfId="1" applyNumberFormat="1" applyFont="1" applyFill="1" applyAlignment="1">
      <alignment horizontal="left" vertical="center"/>
    </xf>
    <xf numFmtId="4" fontId="5" fillId="2" borderId="5" xfId="1" applyNumberFormat="1" applyFont="1" applyFill="1" applyBorder="1" applyAlignment="1">
      <alignment horizontal="left" vertical="center"/>
    </xf>
    <xf numFmtId="4" fontId="6" fillId="2" borderId="0" xfId="2" applyNumberFormat="1" applyFont="1" applyFill="1" applyAlignment="1">
      <alignment horizontal="left" vertical="center" wrapText="1" readingOrder="1"/>
    </xf>
    <xf numFmtId="4" fontId="6" fillId="2" borderId="5" xfId="2" applyNumberFormat="1" applyFont="1" applyFill="1" applyBorder="1" applyAlignment="1">
      <alignment horizontal="left" vertical="center" wrapText="1" readingOrder="1"/>
    </xf>
    <xf numFmtId="0" fontId="7" fillId="2" borderId="4" xfId="7" applyFont="1" applyFill="1" applyBorder="1" applyAlignment="1">
      <alignment horizontal="left" vertical="center" wrapText="1" readingOrder="1"/>
    </xf>
    <xf numFmtId="0" fontId="7" fillId="2" borderId="0" xfId="7" applyFont="1" applyFill="1" applyAlignment="1">
      <alignment horizontal="left" vertical="center" wrapText="1" readingOrder="1"/>
    </xf>
    <xf numFmtId="0" fontId="7" fillId="2" borderId="5" xfId="7" applyFont="1" applyFill="1" applyBorder="1" applyAlignment="1">
      <alignment horizontal="left" vertical="center" wrapText="1" readingOrder="1"/>
    </xf>
    <xf numFmtId="0" fontId="5" fillId="2" borderId="4" xfId="7" applyFont="1" applyFill="1" applyBorder="1" applyAlignment="1">
      <alignment horizontal="left" vertical="center" wrapText="1"/>
    </xf>
    <xf numFmtId="0" fontId="5" fillId="2" borderId="0" xfId="7" applyFont="1" applyFill="1" applyAlignment="1">
      <alignment horizontal="left" vertical="center" wrapText="1"/>
    </xf>
    <xf numFmtId="0" fontId="5" fillId="2" borderId="5" xfId="7" applyFont="1" applyFill="1" applyBorder="1" applyAlignment="1">
      <alignment horizontal="left" vertical="center" wrapText="1"/>
    </xf>
    <xf numFmtId="4" fontId="8" fillId="2" borderId="0" xfId="2" applyNumberFormat="1" applyFont="1" applyFill="1" applyAlignment="1">
      <alignment horizontal="left" vertical="center" readingOrder="1"/>
    </xf>
    <xf numFmtId="4" fontId="8" fillId="2" borderId="5" xfId="2" applyNumberFormat="1" applyFont="1" applyFill="1" applyBorder="1" applyAlignment="1">
      <alignment horizontal="left" vertical="center" readingOrder="1"/>
    </xf>
    <xf numFmtId="4" fontId="9" fillId="2" borderId="4" xfId="2" applyNumberFormat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4" fontId="9" fillId="2" borderId="5" xfId="2" applyNumberFormat="1" applyFont="1" applyFill="1" applyBorder="1" applyAlignment="1">
      <alignment horizontal="left" vertical="center"/>
    </xf>
    <xf numFmtId="4" fontId="10" fillId="2" borderId="0" xfId="1" applyNumberFormat="1" applyFont="1" applyFill="1" applyAlignment="1">
      <alignment horizontal="left" vertical="center" readingOrder="1"/>
    </xf>
    <xf numFmtId="4" fontId="10" fillId="2" borderId="5" xfId="1" applyNumberFormat="1" applyFont="1" applyFill="1" applyBorder="1" applyAlignment="1">
      <alignment horizontal="left" vertical="center" readingOrder="1"/>
    </xf>
    <xf numFmtId="0" fontId="5" fillId="2" borderId="6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" fontId="29" fillId="0" borderId="9" xfId="7" applyNumberFormat="1" applyFont="1" applyBorder="1" applyAlignment="1">
      <alignment horizontal="center" vertical="center"/>
    </xf>
    <xf numFmtId="0" fontId="24" fillId="0" borderId="9" xfId="7" applyFont="1" applyBorder="1" applyAlignment="1">
      <alignment horizontal="center" vertical="center"/>
    </xf>
    <xf numFmtId="0" fontId="24" fillId="0" borderId="9" xfId="7" applyFont="1" applyBorder="1" applyAlignment="1">
      <alignment horizontal="center" vertical="justify" wrapText="1"/>
    </xf>
    <xf numFmtId="0" fontId="24" fillId="0" borderId="9" xfId="7" applyFont="1" applyBorder="1" applyAlignment="1">
      <alignment horizontal="center" vertical="center" wrapText="1" readingOrder="1"/>
    </xf>
    <xf numFmtId="4" fontId="24" fillId="0" borderId="9" xfId="7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" fontId="6" fillId="0" borderId="0" xfId="2" applyNumberFormat="1" applyFont="1" applyAlignment="1">
      <alignment horizontal="left" vertical="center" wrapText="1" readingOrder="1"/>
    </xf>
    <xf numFmtId="4" fontId="6" fillId="0" borderId="5" xfId="2" applyNumberFormat="1" applyFont="1" applyBorder="1" applyAlignment="1">
      <alignment horizontal="left" vertical="center" wrapText="1" readingOrder="1"/>
    </xf>
    <xf numFmtId="0" fontId="5" fillId="0" borderId="4" xfId="7" applyFont="1" applyBorder="1" applyAlignment="1">
      <alignment horizontal="left" vertical="center" wrapText="1"/>
    </xf>
    <xf numFmtId="0" fontId="5" fillId="0" borderId="0" xfId="7" applyFont="1" applyAlignment="1">
      <alignment horizontal="left" vertical="center" wrapText="1"/>
    </xf>
    <xf numFmtId="0" fontId="5" fillId="0" borderId="5" xfId="7" applyFont="1" applyBorder="1" applyAlignment="1">
      <alignment horizontal="left" vertical="center" wrapText="1"/>
    </xf>
    <xf numFmtId="4" fontId="8" fillId="0" borderId="0" xfId="2" applyNumberFormat="1" applyFont="1" applyAlignment="1">
      <alignment horizontal="left" vertical="center" readingOrder="1"/>
    </xf>
    <xf numFmtId="4" fontId="8" fillId="0" borderId="5" xfId="2" applyNumberFormat="1" applyFont="1" applyBorder="1" applyAlignment="1">
      <alignment horizontal="left" vertical="center" readingOrder="1"/>
    </xf>
    <xf numFmtId="4" fontId="9" fillId="0" borderId="4" xfId="2" applyNumberFormat="1" applyFont="1" applyBorder="1" applyAlignment="1">
      <alignment horizontal="left" vertical="center"/>
    </xf>
    <xf numFmtId="4" fontId="9" fillId="0" borderId="0" xfId="2" applyNumberFormat="1" applyFont="1" applyAlignment="1">
      <alignment horizontal="left" vertical="center"/>
    </xf>
    <xf numFmtId="4" fontId="9" fillId="0" borderId="5" xfId="2" applyNumberFormat="1" applyFont="1" applyBorder="1" applyAlignment="1">
      <alignment horizontal="left" vertical="center"/>
    </xf>
    <xf numFmtId="4" fontId="10" fillId="0" borderId="0" xfId="1" applyNumberFormat="1" applyFont="1" applyAlignment="1">
      <alignment horizontal="left" vertical="center" readingOrder="1"/>
    </xf>
    <xf numFmtId="4" fontId="10" fillId="0" borderId="5" xfId="1" applyNumberFormat="1" applyFont="1" applyBorder="1" applyAlignment="1">
      <alignment horizontal="left" vertical="center" readingOrder="1"/>
    </xf>
    <xf numFmtId="4" fontId="3" fillId="0" borderId="2" xfId="2" applyNumberFormat="1" applyFont="1" applyBorder="1" applyAlignment="1">
      <alignment horizontal="left" vertical="center" readingOrder="1"/>
    </xf>
    <xf numFmtId="4" fontId="3" fillId="0" borderId="3" xfId="2" applyNumberFormat="1" applyFont="1" applyBorder="1" applyAlignment="1">
      <alignment horizontal="left" vertical="center" readingOrder="1"/>
    </xf>
    <xf numFmtId="4" fontId="3" fillId="0" borderId="0" xfId="2" applyNumberFormat="1" applyFont="1" applyAlignment="1">
      <alignment horizontal="left" vertical="center" readingOrder="1"/>
    </xf>
    <xf numFmtId="4" fontId="3" fillId="0" borderId="5" xfId="2" applyNumberFormat="1" applyFont="1" applyBorder="1" applyAlignment="1">
      <alignment horizontal="left" vertical="center" readingOrder="1"/>
    </xf>
    <xf numFmtId="4" fontId="5" fillId="0" borderId="4" xfId="1" applyNumberFormat="1" applyFont="1" applyBorder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4" fontId="5" fillId="0" borderId="5" xfId="1" applyNumberFormat="1" applyFont="1" applyBorder="1" applyAlignment="1">
      <alignment horizontal="left" vertical="center"/>
    </xf>
    <xf numFmtId="0" fontId="7" fillId="0" borderId="4" xfId="7" applyFont="1" applyBorder="1" applyAlignment="1">
      <alignment horizontal="left" vertical="center" wrapText="1" readingOrder="1"/>
    </xf>
    <xf numFmtId="0" fontId="7" fillId="0" borderId="0" xfId="7" applyFont="1" applyAlignment="1">
      <alignment horizontal="left" vertical="center" wrapText="1" readingOrder="1"/>
    </xf>
    <xf numFmtId="0" fontId="7" fillId="0" borderId="5" xfId="7" applyFont="1" applyBorder="1" applyAlignment="1">
      <alignment horizontal="left" vertical="center" wrapText="1" readingOrder="1"/>
    </xf>
    <xf numFmtId="4" fontId="10" fillId="0" borderId="4" xfId="2" applyNumberFormat="1" applyFont="1" applyBorder="1" applyAlignment="1">
      <alignment horizontal="center" vertical="center" wrapText="1"/>
    </xf>
    <xf numFmtId="4" fontId="10" fillId="0" borderId="0" xfId="2" applyNumberFormat="1" applyFont="1" applyAlignment="1">
      <alignment horizontal="center" vertical="center" wrapText="1"/>
    </xf>
    <xf numFmtId="44" fontId="16" fillId="0" borderId="1" xfId="2" applyNumberFormat="1" applyFont="1" applyBorder="1" applyAlignment="1">
      <alignment horizontal="center" vertical="center" wrapText="1" readingOrder="1"/>
    </xf>
    <xf numFmtId="44" fontId="16" fillId="0" borderId="2" xfId="2" applyNumberFormat="1" applyFont="1" applyBorder="1" applyAlignment="1">
      <alignment horizontal="center" vertical="center" wrapText="1" readingOrder="1"/>
    </xf>
    <xf numFmtId="44" fontId="27" fillId="0" borderId="4" xfId="2" applyNumberFormat="1" applyFont="1" applyBorder="1" applyAlignment="1">
      <alignment horizontal="center" vertical="center" wrapText="1" readingOrder="1"/>
    </xf>
    <xf numFmtId="44" fontId="27" fillId="0" borderId="0" xfId="2" applyNumberFormat="1" applyFont="1" applyAlignment="1">
      <alignment horizontal="center" vertical="center" wrapText="1" readingOrder="1"/>
    </xf>
    <xf numFmtId="4" fontId="6" fillId="0" borderId="4" xfId="2" applyNumberFormat="1" applyFont="1" applyBorder="1" applyAlignment="1">
      <alignment horizontal="center" vertical="center" wrapText="1" readingOrder="1"/>
    </xf>
    <xf numFmtId="4" fontId="6" fillId="0" borderId="0" xfId="2" applyNumberFormat="1" applyFont="1" applyAlignment="1">
      <alignment horizontal="center" vertical="center" wrapText="1" readingOrder="1"/>
    </xf>
    <xf numFmtId="0" fontId="6" fillId="0" borderId="4" xfId="1" applyFont="1" applyBorder="1" applyAlignment="1">
      <alignment horizontal="center"/>
    </xf>
    <xf numFmtId="0" fontId="6" fillId="0" borderId="0" xfId="1" applyFont="1" applyAlignment="1">
      <alignment horizontal="center"/>
    </xf>
    <xf numFmtId="4" fontId="10" fillId="0" borderId="4" xfId="1" applyNumberFormat="1" applyFont="1" applyBorder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7" fillId="4" borderId="10" xfId="6" applyNumberFormat="1" applyFont="1" applyFill="1" applyBorder="1" applyAlignment="1">
      <alignment horizontal="center"/>
    </xf>
    <xf numFmtId="4" fontId="7" fillId="4" borderId="14" xfId="6" applyNumberFormat="1" applyFont="1" applyFill="1" applyBorder="1" applyAlignment="1">
      <alignment horizontal="center"/>
    </xf>
    <xf numFmtId="4" fontId="7" fillId="4" borderId="15" xfId="6" applyNumberFormat="1" applyFont="1" applyFill="1" applyBorder="1" applyAlignment="1">
      <alignment horizontal="center"/>
    </xf>
    <xf numFmtId="1" fontId="30" fillId="0" borderId="9" xfId="5" applyNumberFormat="1" applyFont="1" applyBorder="1" applyAlignment="1">
      <alignment horizontal="left" vertical="top"/>
    </xf>
    <xf numFmtId="4" fontId="7" fillId="0" borderId="11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30" fillId="0" borderId="9" xfId="5" applyFont="1" applyBorder="1" applyAlignment="1">
      <alignment horizontal="left" vertical="top"/>
    </xf>
    <xf numFmtId="10" fontId="7" fillId="0" borderId="11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0" fontId="21" fillId="0" borderId="9" xfId="5" applyFont="1" applyBorder="1" applyAlignment="1">
      <alignment horizontal="left" vertical="top"/>
    </xf>
    <xf numFmtId="1" fontId="30" fillId="0" borderId="15" xfId="5" applyNumberFormat="1" applyFont="1" applyBorder="1" applyAlignment="1">
      <alignment horizontal="left" vertical="top"/>
    </xf>
    <xf numFmtId="4" fontId="7" fillId="3" borderId="6" xfId="0" applyNumberFormat="1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/>
    </xf>
  </cellXfs>
  <cellStyles count="13">
    <cellStyle name="Euro" xfId="6" xr:uid="{00000000-0005-0000-0000-000000000000}"/>
    <cellStyle name="Normal" xfId="0" builtinId="0"/>
    <cellStyle name="Normal 11 2" xfId="10" xr:uid="{DDBFC0D4-5615-42B2-B6D4-5B679AD4AA41}"/>
    <cellStyle name="Normal 12" xfId="9" xr:uid="{73DF026F-8EF4-439E-9A69-580581864BC0}"/>
    <cellStyle name="Normal 2" xfId="7" xr:uid="{00000000-0005-0000-0000-000002000000}"/>
    <cellStyle name="Normal 2 2" xfId="8" xr:uid="{BADD4948-7D04-4B0D-8AFE-F7D9825DD56D}"/>
    <cellStyle name="Normal 2 3" xfId="2" xr:uid="{00000000-0005-0000-0000-000003000000}"/>
    <cellStyle name="Normal_CRONOGRAMA" xfId="5" xr:uid="{00000000-0005-0000-0000-000004000000}"/>
    <cellStyle name="Normal_P_Getulio Vargas 2" xfId="1" xr:uid="{00000000-0005-0000-0000-000005000000}"/>
    <cellStyle name="Normal_RUAS 3,4,7 e 8 R-1" xfId="3" xr:uid="{00000000-0005-0000-0000-000006000000}"/>
    <cellStyle name="Separador de milhares_Orçamento nº013-PRODEC V.Primavera" xfId="4" xr:uid="{00000000-0005-0000-0000-000007000000}"/>
    <cellStyle name="Vírgula 2 2 2" xfId="12" xr:uid="{9A940F80-E2ED-460F-ABC9-EB93DEB24AD7}"/>
    <cellStyle name="Vírgula 4" xfId="11" xr:uid="{D52FDFD1-2B86-4AC2-998C-F33BD5036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228600</xdr:rowOff>
    </xdr:from>
    <xdr:to>
      <xdr:col>1</xdr:col>
      <xdr:colOff>1209675</xdr:colOff>
      <xdr:row>6</xdr:row>
      <xdr:rowOff>190500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15049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228600</xdr:rowOff>
    </xdr:from>
    <xdr:to>
      <xdr:col>1</xdr:col>
      <xdr:colOff>1209675</xdr:colOff>
      <xdr:row>6</xdr:row>
      <xdr:rowOff>190500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C6A4CBE-93AE-42E4-8A2E-7A0F33D27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15049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746125</xdr:colOff>
      <xdr:row>2</xdr:row>
      <xdr:rowOff>190500</xdr:rowOff>
    </xdr:from>
    <xdr:to>
      <xdr:col>10</xdr:col>
      <xdr:colOff>2311020</xdr:colOff>
      <xdr:row>5</xdr:row>
      <xdr:rowOff>428625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5625" y="1778000"/>
          <a:ext cx="242214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4"/>
  <sheetViews>
    <sheetView view="pageBreakPreview" zoomScale="70" zoomScaleNormal="75" zoomScaleSheetLayoutView="70" workbookViewId="0">
      <selection activeCell="C229" sqref="C229"/>
    </sheetView>
  </sheetViews>
  <sheetFormatPr defaultRowHeight="14.25"/>
  <cols>
    <col min="1" max="1" width="6.85546875" style="44" customWidth="1"/>
    <col min="2" max="2" width="26.28515625" style="45" customWidth="1"/>
    <col min="3" max="3" width="94.7109375" style="46" customWidth="1"/>
    <col min="4" max="4" width="10.5703125" style="47" customWidth="1"/>
    <col min="5" max="5" width="24" style="46" customWidth="1"/>
    <col min="6" max="6" width="24.5703125" style="46" bestFit="1" customWidth="1"/>
    <col min="7" max="7" width="22.85546875" style="46" bestFit="1" customWidth="1"/>
    <col min="8" max="8" width="19.42578125" style="46" bestFit="1" customWidth="1"/>
    <col min="9" max="9" width="19.42578125" style="48" bestFit="1" customWidth="1"/>
    <col min="10" max="10" width="45.7109375" style="33" customWidth="1"/>
    <col min="11" max="253" width="9.140625" style="33"/>
    <col min="254" max="254" width="6.85546875" style="33" customWidth="1"/>
    <col min="255" max="255" width="26.28515625" style="33" customWidth="1"/>
    <col min="256" max="256" width="94.7109375" style="33" customWidth="1"/>
    <col min="257" max="257" width="10.5703125" style="33" customWidth="1"/>
    <col min="258" max="258" width="24" style="33" customWidth="1"/>
    <col min="259" max="259" width="24.5703125" style="33" bestFit="1" customWidth="1"/>
    <col min="260" max="260" width="17.7109375" style="33" bestFit="1" customWidth="1"/>
    <col min="261" max="261" width="17.42578125" style="33" bestFit="1" customWidth="1"/>
    <col min="262" max="262" width="17.5703125" style="33" bestFit="1" customWidth="1"/>
    <col min="263" max="263" width="9.28515625" style="33" bestFit="1" customWidth="1"/>
    <col min="264" max="264" width="10.28515625" style="33" bestFit="1" customWidth="1"/>
    <col min="265" max="265" width="45.7109375" style="33" customWidth="1"/>
    <col min="266" max="509" width="9.140625" style="33"/>
    <col min="510" max="510" width="6.85546875" style="33" customWidth="1"/>
    <col min="511" max="511" width="26.28515625" style="33" customWidth="1"/>
    <col min="512" max="512" width="94.7109375" style="33" customWidth="1"/>
    <col min="513" max="513" width="10.5703125" style="33" customWidth="1"/>
    <col min="514" max="514" width="24" style="33" customWidth="1"/>
    <col min="515" max="515" width="24.5703125" style="33" bestFit="1" customWidth="1"/>
    <col min="516" max="516" width="17.7109375" style="33" bestFit="1" customWidth="1"/>
    <col min="517" max="517" width="17.42578125" style="33" bestFit="1" customWidth="1"/>
    <col min="518" max="518" width="17.5703125" style="33" bestFit="1" customWidth="1"/>
    <col min="519" max="519" width="9.28515625" style="33" bestFit="1" customWidth="1"/>
    <col min="520" max="520" width="10.28515625" style="33" bestFit="1" customWidth="1"/>
    <col min="521" max="521" width="45.7109375" style="33" customWidth="1"/>
    <col min="522" max="765" width="9.140625" style="33"/>
    <col min="766" max="766" width="6.85546875" style="33" customWidth="1"/>
    <col min="767" max="767" width="26.28515625" style="33" customWidth="1"/>
    <col min="768" max="768" width="94.7109375" style="33" customWidth="1"/>
    <col min="769" max="769" width="10.5703125" style="33" customWidth="1"/>
    <col min="770" max="770" width="24" style="33" customWidth="1"/>
    <col min="771" max="771" width="24.5703125" style="33" bestFit="1" customWidth="1"/>
    <col min="772" max="772" width="17.7109375" style="33" bestFit="1" customWidth="1"/>
    <col min="773" max="773" width="17.42578125" style="33" bestFit="1" customWidth="1"/>
    <col min="774" max="774" width="17.5703125" style="33" bestFit="1" customWidth="1"/>
    <col min="775" max="775" width="9.28515625" style="33" bestFit="1" customWidth="1"/>
    <col min="776" max="776" width="10.28515625" style="33" bestFit="1" customWidth="1"/>
    <col min="777" max="777" width="45.7109375" style="33" customWidth="1"/>
    <col min="778" max="1021" width="9.140625" style="33"/>
    <col min="1022" max="1022" width="6.85546875" style="33" customWidth="1"/>
    <col min="1023" max="1023" width="26.28515625" style="33" customWidth="1"/>
    <col min="1024" max="1024" width="94.7109375" style="33" customWidth="1"/>
    <col min="1025" max="1025" width="10.5703125" style="33" customWidth="1"/>
    <col min="1026" max="1026" width="24" style="33" customWidth="1"/>
    <col min="1027" max="1027" width="24.5703125" style="33" bestFit="1" customWidth="1"/>
    <col min="1028" max="1028" width="17.7109375" style="33" bestFit="1" customWidth="1"/>
    <col min="1029" max="1029" width="17.42578125" style="33" bestFit="1" customWidth="1"/>
    <col min="1030" max="1030" width="17.5703125" style="33" bestFit="1" customWidth="1"/>
    <col min="1031" max="1031" width="9.28515625" style="33" bestFit="1" customWidth="1"/>
    <col min="1032" max="1032" width="10.28515625" style="33" bestFit="1" customWidth="1"/>
    <col min="1033" max="1033" width="45.7109375" style="33" customWidth="1"/>
    <col min="1034" max="1277" width="9.140625" style="33"/>
    <col min="1278" max="1278" width="6.85546875" style="33" customWidth="1"/>
    <col min="1279" max="1279" width="26.28515625" style="33" customWidth="1"/>
    <col min="1280" max="1280" width="94.7109375" style="33" customWidth="1"/>
    <col min="1281" max="1281" width="10.5703125" style="33" customWidth="1"/>
    <col min="1282" max="1282" width="24" style="33" customWidth="1"/>
    <col min="1283" max="1283" width="24.5703125" style="33" bestFit="1" customWidth="1"/>
    <col min="1284" max="1284" width="17.7109375" style="33" bestFit="1" customWidth="1"/>
    <col min="1285" max="1285" width="17.42578125" style="33" bestFit="1" customWidth="1"/>
    <col min="1286" max="1286" width="17.5703125" style="33" bestFit="1" customWidth="1"/>
    <col min="1287" max="1287" width="9.28515625" style="33" bestFit="1" customWidth="1"/>
    <col min="1288" max="1288" width="10.28515625" style="33" bestFit="1" customWidth="1"/>
    <col min="1289" max="1289" width="45.7109375" style="33" customWidth="1"/>
    <col min="1290" max="1533" width="9.140625" style="33"/>
    <col min="1534" max="1534" width="6.85546875" style="33" customWidth="1"/>
    <col min="1535" max="1535" width="26.28515625" style="33" customWidth="1"/>
    <col min="1536" max="1536" width="94.7109375" style="33" customWidth="1"/>
    <col min="1537" max="1537" width="10.5703125" style="33" customWidth="1"/>
    <col min="1538" max="1538" width="24" style="33" customWidth="1"/>
    <col min="1539" max="1539" width="24.5703125" style="33" bestFit="1" customWidth="1"/>
    <col min="1540" max="1540" width="17.7109375" style="33" bestFit="1" customWidth="1"/>
    <col min="1541" max="1541" width="17.42578125" style="33" bestFit="1" customWidth="1"/>
    <col min="1542" max="1542" width="17.5703125" style="33" bestFit="1" customWidth="1"/>
    <col min="1543" max="1543" width="9.28515625" style="33" bestFit="1" customWidth="1"/>
    <col min="1544" max="1544" width="10.28515625" style="33" bestFit="1" customWidth="1"/>
    <col min="1545" max="1545" width="45.7109375" style="33" customWidth="1"/>
    <col min="1546" max="1789" width="9.140625" style="33"/>
    <col min="1790" max="1790" width="6.85546875" style="33" customWidth="1"/>
    <col min="1791" max="1791" width="26.28515625" style="33" customWidth="1"/>
    <col min="1792" max="1792" width="94.7109375" style="33" customWidth="1"/>
    <col min="1793" max="1793" width="10.5703125" style="33" customWidth="1"/>
    <col min="1794" max="1794" width="24" style="33" customWidth="1"/>
    <col min="1795" max="1795" width="24.5703125" style="33" bestFit="1" customWidth="1"/>
    <col min="1796" max="1796" width="17.7109375" style="33" bestFit="1" customWidth="1"/>
    <col min="1797" max="1797" width="17.42578125" style="33" bestFit="1" customWidth="1"/>
    <col min="1798" max="1798" width="17.5703125" style="33" bestFit="1" customWidth="1"/>
    <col min="1799" max="1799" width="9.28515625" style="33" bestFit="1" customWidth="1"/>
    <col min="1800" max="1800" width="10.28515625" style="33" bestFit="1" customWidth="1"/>
    <col min="1801" max="1801" width="45.7109375" style="33" customWidth="1"/>
    <col min="1802" max="2045" width="9.140625" style="33"/>
    <col min="2046" max="2046" width="6.85546875" style="33" customWidth="1"/>
    <col min="2047" max="2047" width="26.28515625" style="33" customWidth="1"/>
    <col min="2048" max="2048" width="94.7109375" style="33" customWidth="1"/>
    <col min="2049" max="2049" width="10.5703125" style="33" customWidth="1"/>
    <col min="2050" max="2050" width="24" style="33" customWidth="1"/>
    <col min="2051" max="2051" width="24.5703125" style="33" bestFit="1" customWidth="1"/>
    <col min="2052" max="2052" width="17.7109375" style="33" bestFit="1" customWidth="1"/>
    <col min="2053" max="2053" width="17.42578125" style="33" bestFit="1" customWidth="1"/>
    <col min="2054" max="2054" width="17.5703125" style="33" bestFit="1" customWidth="1"/>
    <col min="2055" max="2055" width="9.28515625" style="33" bestFit="1" customWidth="1"/>
    <col min="2056" max="2056" width="10.28515625" style="33" bestFit="1" customWidth="1"/>
    <col min="2057" max="2057" width="45.7109375" style="33" customWidth="1"/>
    <col min="2058" max="2301" width="9.140625" style="33"/>
    <col min="2302" max="2302" width="6.85546875" style="33" customWidth="1"/>
    <col min="2303" max="2303" width="26.28515625" style="33" customWidth="1"/>
    <col min="2304" max="2304" width="94.7109375" style="33" customWidth="1"/>
    <col min="2305" max="2305" width="10.5703125" style="33" customWidth="1"/>
    <col min="2306" max="2306" width="24" style="33" customWidth="1"/>
    <col min="2307" max="2307" width="24.5703125" style="33" bestFit="1" customWidth="1"/>
    <col min="2308" max="2308" width="17.7109375" style="33" bestFit="1" customWidth="1"/>
    <col min="2309" max="2309" width="17.42578125" style="33" bestFit="1" customWidth="1"/>
    <col min="2310" max="2310" width="17.5703125" style="33" bestFit="1" customWidth="1"/>
    <col min="2311" max="2311" width="9.28515625" style="33" bestFit="1" customWidth="1"/>
    <col min="2312" max="2312" width="10.28515625" style="33" bestFit="1" customWidth="1"/>
    <col min="2313" max="2313" width="45.7109375" style="33" customWidth="1"/>
    <col min="2314" max="2557" width="9.140625" style="33"/>
    <col min="2558" max="2558" width="6.85546875" style="33" customWidth="1"/>
    <col min="2559" max="2559" width="26.28515625" style="33" customWidth="1"/>
    <col min="2560" max="2560" width="94.7109375" style="33" customWidth="1"/>
    <col min="2561" max="2561" width="10.5703125" style="33" customWidth="1"/>
    <col min="2562" max="2562" width="24" style="33" customWidth="1"/>
    <col min="2563" max="2563" width="24.5703125" style="33" bestFit="1" customWidth="1"/>
    <col min="2564" max="2564" width="17.7109375" style="33" bestFit="1" customWidth="1"/>
    <col min="2565" max="2565" width="17.42578125" style="33" bestFit="1" customWidth="1"/>
    <col min="2566" max="2566" width="17.5703125" style="33" bestFit="1" customWidth="1"/>
    <col min="2567" max="2567" width="9.28515625" style="33" bestFit="1" customWidth="1"/>
    <col min="2568" max="2568" width="10.28515625" style="33" bestFit="1" customWidth="1"/>
    <col min="2569" max="2569" width="45.7109375" style="33" customWidth="1"/>
    <col min="2570" max="2813" width="9.140625" style="33"/>
    <col min="2814" max="2814" width="6.85546875" style="33" customWidth="1"/>
    <col min="2815" max="2815" width="26.28515625" style="33" customWidth="1"/>
    <col min="2816" max="2816" width="94.7109375" style="33" customWidth="1"/>
    <col min="2817" max="2817" width="10.5703125" style="33" customWidth="1"/>
    <col min="2818" max="2818" width="24" style="33" customWidth="1"/>
    <col min="2819" max="2819" width="24.5703125" style="33" bestFit="1" customWidth="1"/>
    <col min="2820" max="2820" width="17.7109375" style="33" bestFit="1" customWidth="1"/>
    <col min="2821" max="2821" width="17.42578125" style="33" bestFit="1" customWidth="1"/>
    <col min="2822" max="2822" width="17.5703125" style="33" bestFit="1" customWidth="1"/>
    <col min="2823" max="2823" width="9.28515625" style="33" bestFit="1" customWidth="1"/>
    <col min="2824" max="2824" width="10.28515625" style="33" bestFit="1" customWidth="1"/>
    <col min="2825" max="2825" width="45.7109375" style="33" customWidth="1"/>
    <col min="2826" max="3069" width="9.140625" style="33"/>
    <col min="3070" max="3070" width="6.85546875" style="33" customWidth="1"/>
    <col min="3071" max="3071" width="26.28515625" style="33" customWidth="1"/>
    <col min="3072" max="3072" width="94.7109375" style="33" customWidth="1"/>
    <col min="3073" max="3073" width="10.5703125" style="33" customWidth="1"/>
    <col min="3074" max="3074" width="24" style="33" customWidth="1"/>
    <col min="3075" max="3075" width="24.5703125" style="33" bestFit="1" customWidth="1"/>
    <col min="3076" max="3076" width="17.7109375" style="33" bestFit="1" customWidth="1"/>
    <col min="3077" max="3077" width="17.42578125" style="33" bestFit="1" customWidth="1"/>
    <col min="3078" max="3078" width="17.5703125" style="33" bestFit="1" customWidth="1"/>
    <col min="3079" max="3079" width="9.28515625" style="33" bestFit="1" customWidth="1"/>
    <col min="3080" max="3080" width="10.28515625" style="33" bestFit="1" customWidth="1"/>
    <col min="3081" max="3081" width="45.7109375" style="33" customWidth="1"/>
    <col min="3082" max="3325" width="9.140625" style="33"/>
    <col min="3326" max="3326" width="6.85546875" style="33" customWidth="1"/>
    <col min="3327" max="3327" width="26.28515625" style="33" customWidth="1"/>
    <col min="3328" max="3328" width="94.7109375" style="33" customWidth="1"/>
    <col min="3329" max="3329" width="10.5703125" style="33" customWidth="1"/>
    <col min="3330" max="3330" width="24" style="33" customWidth="1"/>
    <col min="3331" max="3331" width="24.5703125" style="33" bestFit="1" customWidth="1"/>
    <col min="3332" max="3332" width="17.7109375" style="33" bestFit="1" customWidth="1"/>
    <col min="3333" max="3333" width="17.42578125" style="33" bestFit="1" customWidth="1"/>
    <col min="3334" max="3334" width="17.5703125" style="33" bestFit="1" customWidth="1"/>
    <col min="3335" max="3335" width="9.28515625" style="33" bestFit="1" customWidth="1"/>
    <col min="3336" max="3336" width="10.28515625" style="33" bestFit="1" customWidth="1"/>
    <col min="3337" max="3337" width="45.7109375" style="33" customWidth="1"/>
    <col min="3338" max="3581" width="9.140625" style="33"/>
    <col min="3582" max="3582" width="6.85546875" style="33" customWidth="1"/>
    <col min="3583" max="3583" width="26.28515625" style="33" customWidth="1"/>
    <col min="3584" max="3584" width="94.7109375" style="33" customWidth="1"/>
    <col min="3585" max="3585" width="10.5703125" style="33" customWidth="1"/>
    <col min="3586" max="3586" width="24" style="33" customWidth="1"/>
    <col min="3587" max="3587" width="24.5703125" style="33" bestFit="1" customWidth="1"/>
    <col min="3588" max="3588" width="17.7109375" style="33" bestFit="1" customWidth="1"/>
    <col min="3589" max="3589" width="17.42578125" style="33" bestFit="1" customWidth="1"/>
    <col min="3590" max="3590" width="17.5703125" style="33" bestFit="1" customWidth="1"/>
    <col min="3591" max="3591" width="9.28515625" style="33" bestFit="1" customWidth="1"/>
    <col min="3592" max="3592" width="10.28515625" style="33" bestFit="1" customWidth="1"/>
    <col min="3593" max="3593" width="45.7109375" style="33" customWidth="1"/>
    <col min="3594" max="3837" width="9.140625" style="33"/>
    <col min="3838" max="3838" width="6.85546875" style="33" customWidth="1"/>
    <col min="3839" max="3839" width="26.28515625" style="33" customWidth="1"/>
    <col min="3840" max="3840" width="94.7109375" style="33" customWidth="1"/>
    <col min="3841" max="3841" width="10.5703125" style="33" customWidth="1"/>
    <col min="3842" max="3842" width="24" style="33" customWidth="1"/>
    <col min="3843" max="3843" width="24.5703125" style="33" bestFit="1" customWidth="1"/>
    <col min="3844" max="3844" width="17.7109375" style="33" bestFit="1" customWidth="1"/>
    <col min="3845" max="3845" width="17.42578125" style="33" bestFit="1" customWidth="1"/>
    <col min="3846" max="3846" width="17.5703125" style="33" bestFit="1" customWidth="1"/>
    <col min="3847" max="3847" width="9.28515625" style="33" bestFit="1" customWidth="1"/>
    <col min="3848" max="3848" width="10.28515625" style="33" bestFit="1" customWidth="1"/>
    <col min="3849" max="3849" width="45.7109375" style="33" customWidth="1"/>
    <col min="3850" max="4093" width="9.140625" style="33"/>
    <col min="4094" max="4094" width="6.85546875" style="33" customWidth="1"/>
    <col min="4095" max="4095" width="26.28515625" style="33" customWidth="1"/>
    <col min="4096" max="4096" width="94.7109375" style="33" customWidth="1"/>
    <col min="4097" max="4097" width="10.5703125" style="33" customWidth="1"/>
    <col min="4098" max="4098" width="24" style="33" customWidth="1"/>
    <col min="4099" max="4099" width="24.5703125" style="33" bestFit="1" customWidth="1"/>
    <col min="4100" max="4100" width="17.7109375" style="33" bestFit="1" customWidth="1"/>
    <col min="4101" max="4101" width="17.42578125" style="33" bestFit="1" customWidth="1"/>
    <col min="4102" max="4102" width="17.5703125" style="33" bestFit="1" customWidth="1"/>
    <col min="4103" max="4103" width="9.28515625" style="33" bestFit="1" customWidth="1"/>
    <col min="4104" max="4104" width="10.28515625" style="33" bestFit="1" customWidth="1"/>
    <col min="4105" max="4105" width="45.7109375" style="33" customWidth="1"/>
    <col min="4106" max="4349" width="9.140625" style="33"/>
    <col min="4350" max="4350" width="6.85546875" style="33" customWidth="1"/>
    <col min="4351" max="4351" width="26.28515625" style="33" customWidth="1"/>
    <col min="4352" max="4352" width="94.7109375" style="33" customWidth="1"/>
    <col min="4353" max="4353" width="10.5703125" style="33" customWidth="1"/>
    <col min="4354" max="4354" width="24" style="33" customWidth="1"/>
    <col min="4355" max="4355" width="24.5703125" style="33" bestFit="1" customWidth="1"/>
    <col min="4356" max="4356" width="17.7109375" style="33" bestFit="1" customWidth="1"/>
    <col min="4357" max="4357" width="17.42578125" style="33" bestFit="1" customWidth="1"/>
    <col min="4358" max="4358" width="17.5703125" style="33" bestFit="1" customWidth="1"/>
    <col min="4359" max="4359" width="9.28515625" style="33" bestFit="1" customWidth="1"/>
    <col min="4360" max="4360" width="10.28515625" style="33" bestFit="1" customWidth="1"/>
    <col min="4361" max="4361" width="45.7109375" style="33" customWidth="1"/>
    <col min="4362" max="4605" width="9.140625" style="33"/>
    <col min="4606" max="4606" width="6.85546875" style="33" customWidth="1"/>
    <col min="4607" max="4607" width="26.28515625" style="33" customWidth="1"/>
    <col min="4608" max="4608" width="94.7109375" style="33" customWidth="1"/>
    <col min="4609" max="4609" width="10.5703125" style="33" customWidth="1"/>
    <col min="4610" max="4610" width="24" style="33" customWidth="1"/>
    <col min="4611" max="4611" width="24.5703125" style="33" bestFit="1" customWidth="1"/>
    <col min="4612" max="4612" width="17.7109375" style="33" bestFit="1" customWidth="1"/>
    <col min="4613" max="4613" width="17.42578125" style="33" bestFit="1" customWidth="1"/>
    <col min="4614" max="4614" width="17.5703125" style="33" bestFit="1" customWidth="1"/>
    <col min="4615" max="4615" width="9.28515625" style="33" bestFit="1" customWidth="1"/>
    <col min="4616" max="4616" width="10.28515625" style="33" bestFit="1" customWidth="1"/>
    <col min="4617" max="4617" width="45.7109375" style="33" customWidth="1"/>
    <col min="4618" max="4861" width="9.140625" style="33"/>
    <col min="4862" max="4862" width="6.85546875" style="33" customWidth="1"/>
    <col min="4863" max="4863" width="26.28515625" style="33" customWidth="1"/>
    <col min="4864" max="4864" width="94.7109375" style="33" customWidth="1"/>
    <col min="4865" max="4865" width="10.5703125" style="33" customWidth="1"/>
    <col min="4866" max="4866" width="24" style="33" customWidth="1"/>
    <col min="4867" max="4867" width="24.5703125" style="33" bestFit="1" customWidth="1"/>
    <col min="4868" max="4868" width="17.7109375" style="33" bestFit="1" customWidth="1"/>
    <col min="4869" max="4869" width="17.42578125" style="33" bestFit="1" customWidth="1"/>
    <col min="4870" max="4870" width="17.5703125" style="33" bestFit="1" customWidth="1"/>
    <col min="4871" max="4871" width="9.28515625" style="33" bestFit="1" customWidth="1"/>
    <col min="4872" max="4872" width="10.28515625" style="33" bestFit="1" customWidth="1"/>
    <col min="4873" max="4873" width="45.7109375" style="33" customWidth="1"/>
    <col min="4874" max="5117" width="9.140625" style="33"/>
    <col min="5118" max="5118" width="6.85546875" style="33" customWidth="1"/>
    <col min="5119" max="5119" width="26.28515625" style="33" customWidth="1"/>
    <col min="5120" max="5120" width="94.7109375" style="33" customWidth="1"/>
    <col min="5121" max="5121" width="10.5703125" style="33" customWidth="1"/>
    <col min="5122" max="5122" width="24" style="33" customWidth="1"/>
    <col min="5123" max="5123" width="24.5703125" style="33" bestFit="1" customWidth="1"/>
    <col min="5124" max="5124" width="17.7109375" style="33" bestFit="1" customWidth="1"/>
    <col min="5125" max="5125" width="17.42578125" style="33" bestFit="1" customWidth="1"/>
    <col min="5126" max="5126" width="17.5703125" style="33" bestFit="1" customWidth="1"/>
    <col min="5127" max="5127" width="9.28515625" style="33" bestFit="1" customWidth="1"/>
    <col min="5128" max="5128" width="10.28515625" style="33" bestFit="1" customWidth="1"/>
    <col min="5129" max="5129" width="45.7109375" style="33" customWidth="1"/>
    <col min="5130" max="5373" width="9.140625" style="33"/>
    <col min="5374" max="5374" width="6.85546875" style="33" customWidth="1"/>
    <col min="5375" max="5375" width="26.28515625" style="33" customWidth="1"/>
    <col min="5376" max="5376" width="94.7109375" style="33" customWidth="1"/>
    <col min="5377" max="5377" width="10.5703125" style="33" customWidth="1"/>
    <col min="5378" max="5378" width="24" style="33" customWidth="1"/>
    <col min="5379" max="5379" width="24.5703125" style="33" bestFit="1" customWidth="1"/>
    <col min="5380" max="5380" width="17.7109375" style="33" bestFit="1" customWidth="1"/>
    <col min="5381" max="5381" width="17.42578125" style="33" bestFit="1" customWidth="1"/>
    <col min="5382" max="5382" width="17.5703125" style="33" bestFit="1" customWidth="1"/>
    <col min="5383" max="5383" width="9.28515625" style="33" bestFit="1" customWidth="1"/>
    <col min="5384" max="5384" width="10.28515625" style="33" bestFit="1" customWidth="1"/>
    <col min="5385" max="5385" width="45.7109375" style="33" customWidth="1"/>
    <col min="5386" max="5629" width="9.140625" style="33"/>
    <col min="5630" max="5630" width="6.85546875" style="33" customWidth="1"/>
    <col min="5631" max="5631" width="26.28515625" style="33" customWidth="1"/>
    <col min="5632" max="5632" width="94.7109375" style="33" customWidth="1"/>
    <col min="5633" max="5633" width="10.5703125" style="33" customWidth="1"/>
    <col min="5634" max="5634" width="24" style="33" customWidth="1"/>
    <col min="5635" max="5635" width="24.5703125" style="33" bestFit="1" customWidth="1"/>
    <col min="5636" max="5636" width="17.7109375" style="33" bestFit="1" customWidth="1"/>
    <col min="5637" max="5637" width="17.42578125" style="33" bestFit="1" customWidth="1"/>
    <col min="5638" max="5638" width="17.5703125" style="33" bestFit="1" customWidth="1"/>
    <col min="5639" max="5639" width="9.28515625" style="33" bestFit="1" customWidth="1"/>
    <col min="5640" max="5640" width="10.28515625" style="33" bestFit="1" customWidth="1"/>
    <col min="5641" max="5641" width="45.7109375" style="33" customWidth="1"/>
    <col min="5642" max="5885" width="9.140625" style="33"/>
    <col min="5886" max="5886" width="6.85546875" style="33" customWidth="1"/>
    <col min="5887" max="5887" width="26.28515625" style="33" customWidth="1"/>
    <col min="5888" max="5888" width="94.7109375" style="33" customWidth="1"/>
    <col min="5889" max="5889" width="10.5703125" style="33" customWidth="1"/>
    <col min="5890" max="5890" width="24" style="33" customWidth="1"/>
    <col min="5891" max="5891" width="24.5703125" style="33" bestFit="1" customWidth="1"/>
    <col min="5892" max="5892" width="17.7109375" style="33" bestFit="1" customWidth="1"/>
    <col min="5893" max="5893" width="17.42578125" style="33" bestFit="1" customWidth="1"/>
    <col min="5894" max="5894" width="17.5703125" style="33" bestFit="1" customWidth="1"/>
    <col min="5895" max="5895" width="9.28515625" style="33" bestFit="1" customWidth="1"/>
    <col min="5896" max="5896" width="10.28515625" style="33" bestFit="1" customWidth="1"/>
    <col min="5897" max="5897" width="45.7109375" style="33" customWidth="1"/>
    <col min="5898" max="6141" width="9.140625" style="33"/>
    <col min="6142" max="6142" width="6.85546875" style="33" customWidth="1"/>
    <col min="6143" max="6143" width="26.28515625" style="33" customWidth="1"/>
    <col min="6144" max="6144" width="94.7109375" style="33" customWidth="1"/>
    <col min="6145" max="6145" width="10.5703125" style="33" customWidth="1"/>
    <col min="6146" max="6146" width="24" style="33" customWidth="1"/>
    <col min="6147" max="6147" width="24.5703125" style="33" bestFit="1" customWidth="1"/>
    <col min="6148" max="6148" width="17.7109375" style="33" bestFit="1" customWidth="1"/>
    <col min="6149" max="6149" width="17.42578125" style="33" bestFit="1" customWidth="1"/>
    <col min="6150" max="6150" width="17.5703125" style="33" bestFit="1" customWidth="1"/>
    <col min="6151" max="6151" width="9.28515625" style="33" bestFit="1" customWidth="1"/>
    <col min="6152" max="6152" width="10.28515625" style="33" bestFit="1" customWidth="1"/>
    <col min="6153" max="6153" width="45.7109375" style="33" customWidth="1"/>
    <col min="6154" max="6397" width="9.140625" style="33"/>
    <col min="6398" max="6398" width="6.85546875" style="33" customWidth="1"/>
    <col min="6399" max="6399" width="26.28515625" style="33" customWidth="1"/>
    <col min="6400" max="6400" width="94.7109375" style="33" customWidth="1"/>
    <col min="6401" max="6401" width="10.5703125" style="33" customWidth="1"/>
    <col min="6402" max="6402" width="24" style="33" customWidth="1"/>
    <col min="6403" max="6403" width="24.5703125" style="33" bestFit="1" customWidth="1"/>
    <col min="6404" max="6404" width="17.7109375" style="33" bestFit="1" customWidth="1"/>
    <col min="6405" max="6405" width="17.42578125" style="33" bestFit="1" customWidth="1"/>
    <col min="6406" max="6406" width="17.5703125" style="33" bestFit="1" customWidth="1"/>
    <col min="6407" max="6407" width="9.28515625" style="33" bestFit="1" customWidth="1"/>
    <col min="6408" max="6408" width="10.28515625" style="33" bestFit="1" customWidth="1"/>
    <col min="6409" max="6409" width="45.7109375" style="33" customWidth="1"/>
    <col min="6410" max="6653" width="9.140625" style="33"/>
    <col min="6654" max="6654" width="6.85546875" style="33" customWidth="1"/>
    <col min="6655" max="6655" width="26.28515625" style="33" customWidth="1"/>
    <col min="6656" max="6656" width="94.7109375" style="33" customWidth="1"/>
    <col min="6657" max="6657" width="10.5703125" style="33" customWidth="1"/>
    <col min="6658" max="6658" width="24" style="33" customWidth="1"/>
    <col min="6659" max="6659" width="24.5703125" style="33" bestFit="1" customWidth="1"/>
    <col min="6660" max="6660" width="17.7109375" style="33" bestFit="1" customWidth="1"/>
    <col min="6661" max="6661" width="17.42578125" style="33" bestFit="1" customWidth="1"/>
    <col min="6662" max="6662" width="17.5703125" style="33" bestFit="1" customWidth="1"/>
    <col min="6663" max="6663" width="9.28515625" style="33" bestFit="1" customWidth="1"/>
    <col min="6664" max="6664" width="10.28515625" style="33" bestFit="1" customWidth="1"/>
    <col min="6665" max="6665" width="45.7109375" style="33" customWidth="1"/>
    <col min="6666" max="6909" width="9.140625" style="33"/>
    <col min="6910" max="6910" width="6.85546875" style="33" customWidth="1"/>
    <col min="6911" max="6911" width="26.28515625" style="33" customWidth="1"/>
    <col min="6912" max="6912" width="94.7109375" style="33" customWidth="1"/>
    <col min="6913" max="6913" width="10.5703125" style="33" customWidth="1"/>
    <col min="6914" max="6914" width="24" style="33" customWidth="1"/>
    <col min="6915" max="6915" width="24.5703125" style="33" bestFit="1" customWidth="1"/>
    <col min="6916" max="6916" width="17.7109375" style="33" bestFit="1" customWidth="1"/>
    <col min="6917" max="6917" width="17.42578125" style="33" bestFit="1" customWidth="1"/>
    <col min="6918" max="6918" width="17.5703125" style="33" bestFit="1" customWidth="1"/>
    <col min="6919" max="6919" width="9.28515625" style="33" bestFit="1" customWidth="1"/>
    <col min="6920" max="6920" width="10.28515625" style="33" bestFit="1" customWidth="1"/>
    <col min="6921" max="6921" width="45.7109375" style="33" customWidth="1"/>
    <col min="6922" max="7165" width="9.140625" style="33"/>
    <col min="7166" max="7166" width="6.85546875" style="33" customWidth="1"/>
    <col min="7167" max="7167" width="26.28515625" style="33" customWidth="1"/>
    <col min="7168" max="7168" width="94.7109375" style="33" customWidth="1"/>
    <col min="7169" max="7169" width="10.5703125" style="33" customWidth="1"/>
    <col min="7170" max="7170" width="24" style="33" customWidth="1"/>
    <col min="7171" max="7171" width="24.5703125" style="33" bestFit="1" customWidth="1"/>
    <col min="7172" max="7172" width="17.7109375" style="33" bestFit="1" customWidth="1"/>
    <col min="7173" max="7173" width="17.42578125" style="33" bestFit="1" customWidth="1"/>
    <col min="7174" max="7174" width="17.5703125" style="33" bestFit="1" customWidth="1"/>
    <col min="7175" max="7175" width="9.28515625" style="33" bestFit="1" customWidth="1"/>
    <col min="7176" max="7176" width="10.28515625" style="33" bestFit="1" customWidth="1"/>
    <col min="7177" max="7177" width="45.7109375" style="33" customWidth="1"/>
    <col min="7178" max="7421" width="9.140625" style="33"/>
    <col min="7422" max="7422" width="6.85546875" style="33" customWidth="1"/>
    <col min="7423" max="7423" width="26.28515625" style="33" customWidth="1"/>
    <col min="7424" max="7424" width="94.7109375" style="33" customWidth="1"/>
    <col min="7425" max="7425" width="10.5703125" style="33" customWidth="1"/>
    <col min="7426" max="7426" width="24" style="33" customWidth="1"/>
    <col min="7427" max="7427" width="24.5703125" style="33" bestFit="1" customWidth="1"/>
    <col min="7428" max="7428" width="17.7109375" style="33" bestFit="1" customWidth="1"/>
    <col min="7429" max="7429" width="17.42578125" style="33" bestFit="1" customWidth="1"/>
    <col min="7430" max="7430" width="17.5703125" style="33" bestFit="1" customWidth="1"/>
    <col min="7431" max="7431" width="9.28515625" style="33" bestFit="1" customWidth="1"/>
    <col min="7432" max="7432" width="10.28515625" style="33" bestFit="1" customWidth="1"/>
    <col min="7433" max="7433" width="45.7109375" style="33" customWidth="1"/>
    <col min="7434" max="7677" width="9.140625" style="33"/>
    <col min="7678" max="7678" width="6.85546875" style="33" customWidth="1"/>
    <col min="7679" max="7679" width="26.28515625" style="33" customWidth="1"/>
    <col min="7680" max="7680" width="94.7109375" style="33" customWidth="1"/>
    <col min="7681" max="7681" width="10.5703125" style="33" customWidth="1"/>
    <col min="7682" max="7682" width="24" style="33" customWidth="1"/>
    <col min="7683" max="7683" width="24.5703125" style="33" bestFit="1" customWidth="1"/>
    <col min="7684" max="7684" width="17.7109375" style="33" bestFit="1" customWidth="1"/>
    <col min="7685" max="7685" width="17.42578125" style="33" bestFit="1" customWidth="1"/>
    <col min="7686" max="7686" width="17.5703125" style="33" bestFit="1" customWidth="1"/>
    <col min="7687" max="7687" width="9.28515625" style="33" bestFit="1" customWidth="1"/>
    <col min="7688" max="7688" width="10.28515625" style="33" bestFit="1" customWidth="1"/>
    <col min="7689" max="7689" width="45.7109375" style="33" customWidth="1"/>
    <col min="7690" max="7933" width="9.140625" style="33"/>
    <col min="7934" max="7934" width="6.85546875" style="33" customWidth="1"/>
    <col min="7935" max="7935" width="26.28515625" style="33" customWidth="1"/>
    <col min="7936" max="7936" width="94.7109375" style="33" customWidth="1"/>
    <col min="7937" max="7937" width="10.5703125" style="33" customWidth="1"/>
    <col min="7938" max="7938" width="24" style="33" customWidth="1"/>
    <col min="7939" max="7939" width="24.5703125" style="33" bestFit="1" customWidth="1"/>
    <col min="7940" max="7940" width="17.7109375" style="33" bestFit="1" customWidth="1"/>
    <col min="7941" max="7941" width="17.42578125" style="33" bestFit="1" customWidth="1"/>
    <col min="7942" max="7942" width="17.5703125" style="33" bestFit="1" customWidth="1"/>
    <col min="7943" max="7943" width="9.28515625" style="33" bestFit="1" customWidth="1"/>
    <col min="7944" max="7944" width="10.28515625" style="33" bestFit="1" customWidth="1"/>
    <col min="7945" max="7945" width="45.7109375" style="33" customWidth="1"/>
    <col min="7946" max="8189" width="9.140625" style="33"/>
    <col min="8190" max="8190" width="6.85546875" style="33" customWidth="1"/>
    <col min="8191" max="8191" width="26.28515625" style="33" customWidth="1"/>
    <col min="8192" max="8192" width="94.7109375" style="33" customWidth="1"/>
    <col min="8193" max="8193" width="10.5703125" style="33" customWidth="1"/>
    <col min="8194" max="8194" width="24" style="33" customWidth="1"/>
    <col min="8195" max="8195" width="24.5703125" style="33" bestFit="1" customWidth="1"/>
    <col min="8196" max="8196" width="17.7109375" style="33" bestFit="1" customWidth="1"/>
    <col min="8197" max="8197" width="17.42578125" style="33" bestFit="1" customWidth="1"/>
    <col min="8198" max="8198" width="17.5703125" style="33" bestFit="1" customWidth="1"/>
    <col min="8199" max="8199" width="9.28515625" style="33" bestFit="1" customWidth="1"/>
    <col min="8200" max="8200" width="10.28515625" style="33" bestFit="1" customWidth="1"/>
    <col min="8201" max="8201" width="45.7109375" style="33" customWidth="1"/>
    <col min="8202" max="8445" width="9.140625" style="33"/>
    <col min="8446" max="8446" width="6.85546875" style="33" customWidth="1"/>
    <col min="8447" max="8447" width="26.28515625" style="33" customWidth="1"/>
    <col min="8448" max="8448" width="94.7109375" style="33" customWidth="1"/>
    <col min="8449" max="8449" width="10.5703125" style="33" customWidth="1"/>
    <col min="8450" max="8450" width="24" style="33" customWidth="1"/>
    <col min="8451" max="8451" width="24.5703125" style="33" bestFit="1" customWidth="1"/>
    <col min="8452" max="8452" width="17.7109375" style="33" bestFit="1" customWidth="1"/>
    <col min="8453" max="8453" width="17.42578125" style="33" bestFit="1" customWidth="1"/>
    <col min="8454" max="8454" width="17.5703125" style="33" bestFit="1" customWidth="1"/>
    <col min="8455" max="8455" width="9.28515625" style="33" bestFit="1" customWidth="1"/>
    <col min="8456" max="8456" width="10.28515625" style="33" bestFit="1" customWidth="1"/>
    <col min="8457" max="8457" width="45.7109375" style="33" customWidth="1"/>
    <col min="8458" max="8701" width="9.140625" style="33"/>
    <col min="8702" max="8702" width="6.85546875" style="33" customWidth="1"/>
    <col min="8703" max="8703" width="26.28515625" style="33" customWidth="1"/>
    <col min="8704" max="8704" width="94.7109375" style="33" customWidth="1"/>
    <col min="8705" max="8705" width="10.5703125" style="33" customWidth="1"/>
    <col min="8706" max="8706" width="24" style="33" customWidth="1"/>
    <col min="8707" max="8707" width="24.5703125" style="33" bestFit="1" customWidth="1"/>
    <col min="8708" max="8708" width="17.7109375" style="33" bestFit="1" customWidth="1"/>
    <col min="8709" max="8709" width="17.42578125" style="33" bestFit="1" customWidth="1"/>
    <col min="8710" max="8710" width="17.5703125" style="33" bestFit="1" customWidth="1"/>
    <col min="8711" max="8711" width="9.28515625" style="33" bestFit="1" customWidth="1"/>
    <col min="8712" max="8712" width="10.28515625" style="33" bestFit="1" customWidth="1"/>
    <col min="8713" max="8713" width="45.7109375" style="33" customWidth="1"/>
    <col min="8714" max="8957" width="9.140625" style="33"/>
    <col min="8958" max="8958" width="6.85546875" style="33" customWidth="1"/>
    <col min="8959" max="8959" width="26.28515625" style="33" customWidth="1"/>
    <col min="8960" max="8960" width="94.7109375" style="33" customWidth="1"/>
    <col min="8961" max="8961" width="10.5703125" style="33" customWidth="1"/>
    <col min="8962" max="8962" width="24" style="33" customWidth="1"/>
    <col min="8963" max="8963" width="24.5703125" style="33" bestFit="1" customWidth="1"/>
    <col min="8964" max="8964" width="17.7109375" style="33" bestFit="1" customWidth="1"/>
    <col min="8965" max="8965" width="17.42578125" style="33" bestFit="1" customWidth="1"/>
    <col min="8966" max="8966" width="17.5703125" style="33" bestFit="1" customWidth="1"/>
    <col min="8967" max="8967" width="9.28515625" style="33" bestFit="1" customWidth="1"/>
    <col min="8968" max="8968" width="10.28515625" style="33" bestFit="1" customWidth="1"/>
    <col min="8969" max="8969" width="45.7109375" style="33" customWidth="1"/>
    <col min="8970" max="9213" width="9.140625" style="33"/>
    <col min="9214" max="9214" width="6.85546875" style="33" customWidth="1"/>
    <col min="9215" max="9215" width="26.28515625" style="33" customWidth="1"/>
    <col min="9216" max="9216" width="94.7109375" style="33" customWidth="1"/>
    <col min="9217" max="9217" width="10.5703125" style="33" customWidth="1"/>
    <col min="9218" max="9218" width="24" style="33" customWidth="1"/>
    <col min="9219" max="9219" width="24.5703125" style="33" bestFit="1" customWidth="1"/>
    <col min="9220" max="9220" width="17.7109375" style="33" bestFit="1" customWidth="1"/>
    <col min="9221" max="9221" width="17.42578125" style="33" bestFit="1" customWidth="1"/>
    <col min="9222" max="9222" width="17.5703125" style="33" bestFit="1" customWidth="1"/>
    <col min="9223" max="9223" width="9.28515625" style="33" bestFit="1" customWidth="1"/>
    <col min="9224" max="9224" width="10.28515625" style="33" bestFit="1" customWidth="1"/>
    <col min="9225" max="9225" width="45.7109375" style="33" customWidth="1"/>
    <col min="9226" max="9469" width="9.140625" style="33"/>
    <col min="9470" max="9470" width="6.85546875" style="33" customWidth="1"/>
    <col min="9471" max="9471" width="26.28515625" style="33" customWidth="1"/>
    <col min="9472" max="9472" width="94.7109375" style="33" customWidth="1"/>
    <col min="9473" max="9473" width="10.5703125" style="33" customWidth="1"/>
    <col min="9474" max="9474" width="24" style="33" customWidth="1"/>
    <col min="9475" max="9475" width="24.5703125" style="33" bestFit="1" customWidth="1"/>
    <col min="9476" max="9476" width="17.7109375" style="33" bestFit="1" customWidth="1"/>
    <col min="9477" max="9477" width="17.42578125" style="33" bestFit="1" customWidth="1"/>
    <col min="9478" max="9478" width="17.5703125" style="33" bestFit="1" customWidth="1"/>
    <col min="9479" max="9479" width="9.28515625" style="33" bestFit="1" customWidth="1"/>
    <col min="9480" max="9480" width="10.28515625" style="33" bestFit="1" customWidth="1"/>
    <col min="9481" max="9481" width="45.7109375" style="33" customWidth="1"/>
    <col min="9482" max="9725" width="9.140625" style="33"/>
    <col min="9726" max="9726" width="6.85546875" style="33" customWidth="1"/>
    <col min="9727" max="9727" width="26.28515625" style="33" customWidth="1"/>
    <col min="9728" max="9728" width="94.7109375" style="33" customWidth="1"/>
    <col min="9729" max="9729" width="10.5703125" style="33" customWidth="1"/>
    <col min="9730" max="9730" width="24" style="33" customWidth="1"/>
    <col min="9731" max="9731" width="24.5703125" style="33" bestFit="1" customWidth="1"/>
    <col min="9732" max="9732" width="17.7109375" style="33" bestFit="1" customWidth="1"/>
    <col min="9733" max="9733" width="17.42578125" style="33" bestFit="1" customWidth="1"/>
    <col min="9734" max="9734" width="17.5703125" style="33" bestFit="1" customWidth="1"/>
    <col min="9735" max="9735" width="9.28515625" style="33" bestFit="1" customWidth="1"/>
    <col min="9736" max="9736" width="10.28515625" style="33" bestFit="1" customWidth="1"/>
    <col min="9737" max="9737" width="45.7109375" style="33" customWidth="1"/>
    <col min="9738" max="9981" width="9.140625" style="33"/>
    <col min="9982" max="9982" width="6.85546875" style="33" customWidth="1"/>
    <col min="9983" max="9983" width="26.28515625" style="33" customWidth="1"/>
    <col min="9984" max="9984" width="94.7109375" style="33" customWidth="1"/>
    <col min="9985" max="9985" width="10.5703125" style="33" customWidth="1"/>
    <col min="9986" max="9986" width="24" style="33" customWidth="1"/>
    <col min="9987" max="9987" width="24.5703125" style="33" bestFit="1" customWidth="1"/>
    <col min="9988" max="9988" width="17.7109375" style="33" bestFit="1" customWidth="1"/>
    <col min="9989" max="9989" width="17.42578125" style="33" bestFit="1" customWidth="1"/>
    <col min="9990" max="9990" width="17.5703125" style="33" bestFit="1" customWidth="1"/>
    <col min="9991" max="9991" width="9.28515625" style="33" bestFit="1" customWidth="1"/>
    <col min="9992" max="9992" width="10.28515625" style="33" bestFit="1" customWidth="1"/>
    <col min="9993" max="9993" width="45.7109375" style="33" customWidth="1"/>
    <col min="9994" max="10237" width="9.140625" style="33"/>
    <col min="10238" max="10238" width="6.85546875" style="33" customWidth="1"/>
    <col min="10239" max="10239" width="26.28515625" style="33" customWidth="1"/>
    <col min="10240" max="10240" width="94.7109375" style="33" customWidth="1"/>
    <col min="10241" max="10241" width="10.5703125" style="33" customWidth="1"/>
    <col min="10242" max="10242" width="24" style="33" customWidth="1"/>
    <col min="10243" max="10243" width="24.5703125" style="33" bestFit="1" customWidth="1"/>
    <col min="10244" max="10244" width="17.7109375" style="33" bestFit="1" customWidth="1"/>
    <col min="10245" max="10245" width="17.42578125" style="33" bestFit="1" customWidth="1"/>
    <col min="10246" max="10246" width="17.5703125" style="33" bestFit="1" customWidth="1"/>
    <col min="10247" max="10247" width="9.28515625" style="33" bestFit="1" customWidth="1"/>
    <col min="10248" max="10248" width="10.28515625" style="33" bestFit="1" customWidth="1"/>
    <col min="10249" max="10249" width="45.7109375" style="33" customWidth="1"/>
    <col min="10250" max="10493" width="9.140625" style="33"/>
    <col min="10494" max="10494" width="6.85546875" style="33" customWidth="1"/>
    <col min="10495" max="10495" width="26.28515625" style="33" customWidth="1"/>
    <col min="10496" max="10496" width="94.7109375" style="33" customWidth="1"/>
    <col min="10497" max="10497" width="10.5703125" style="33" customWidth="1"/>
    <col min="10498" max="10498" width="24" style="33" customWidth="1"/>
    <col min="10499" max="10499" width="24.5703125" style="33" bestFit="1" customWidth="1"/>
    <col min="10500" max="10500" width="17.7109375" style="33" bestFit="1" customWidth="1"/>
    <col min="10501" max="10501" width="17.42578125" style="33" bestFit="1" customWidth="1"/>
    <col min="10502" max="10502" width="17.5703125" style="33" bestFit="1" customWidth="1"/>
    <col min="10503" max="10503" width="9.28515625" style="33" bestFit="1" customWidth="1"/>
    <col min="10504" max="10504" width="10.28515625" style="33" bestFit="1" customWidth="1"/>
    <col min="10505" max="10505" width="45.7109375" style="33" customWidth="1"/>
    <col min="10506" max="10749" width="9.140625" style="33"/>
    <col min="10750" max="10750" width="6.85546875" style="33" customWidth="1"/>
    <col min="10751" max="10751" width="26.28515625" style="33" customWidth="1"/>
    <col min="10752" max="10752" width="94.7109375" style="33" customWidth="1"/>
    <col min="10753" max="10753" width="10.5703125" style="33" customWidth="1"/>
    <col min="10754" max="10754" width="24" style="33" customWidth="1"/>
    <col min="10755" max="10755" width="24.5703125" style="33" bestFit="1" customWidth="1"/>
    <col min="10756" max="10756" width="17.7109375" style="33" bestFit="1" customWidth="1"/>
    <col min="10757" max="10757" width="17.42578125" style="33" bestFit="1" customWidth="1"/>
    <col min="10758" max="10758" width="17.5703125" style="33" bestFit="1" customWidth="1"/>
    <col min="10759" max="10759" width="9.28515625" style="33" bestFit="1" customWidth="1"/>
    <col min="10760" max="10760" width="10.28515625" style="33" bestFit="1" customWidth="1"/>
    <col min="10761" max="10761" width="45.7109375" style="33" customWidth="1"/>
    <col min="10762" max="11005" width="9.140625" style="33"/>
    <col min="11006" max="11006" width="6.85546875" style="33" customWidth="1"/>
    <col min="11007" max="11007" width="26.28515625" style="33" customWidth="1"/>
    <col min="11008" max="11008" width="94.7109375" style="33" customWidth="1"/>
    <col min="11009" max="11009" width="10.5703125" style="33" customWidth="1"/>
    <col min="11010" max="11010" width="24" style="33" customWidth="1"/>
    <col min="11011" max="11011" width="24.5703125" style="33" bestFit="1" customWidth="1"/>
    <col min="11012" max="11012" width="17.7109375" style="33" bestFit="1" customWidth="1"/>
    <col min="11013" max="11013" width="17.42578125" style="33" bestFit="1" customWidth="1"/>
    <col min="11014" max="11014" width="17.5703125" style="33" bestFit="1" customWidth="1"/>
    <col min="11015" max="11015" width="9.28515625" style="33" bestFit="1" customWidth="1"/>
    <col min="11016" max="11016" width="10.28515625" style="33" bestFit="1" customWidth="1"/>
    <col min="11017" max="11017" width="45.7109375" style="33" customWidth="1"/>
    <col min="11018" max="11261" width="9.140625" style="33"/>
    <col min="11262" max="11262" width="6.85546875" style="33" customWidth="1"/>
    <col min="11263" max="11263" width="26.28515625" style="33" customWidth="1"/>
    <col min="11264" max="11264" width="94.7109375" style="33" customWidth="1"/>
    <col min="11265" max="11265" width="10.5703125" style="33" customWidth="1"/>
    <col min="11266" max="11266" width="24" style="33" customWidth="1"/>
    <col min="11267" max="11267" width="24.5703125" style="33" bestFit="1" customWidth="1"/>
    <col min="11268" max="11268" width="17.7109375" style="33" bestFit="1" customWidth="1"/>
    <col min="11269" max="11269" width="17.42578125" style="33" bestFit="1" customWidth="1"/>
    <col min="11270" max="11270" width="17.5703125" style="33" bestFit="1" customWidth="1"/>
    <col min="11271" max="11271" width="9.28515625" style="33" bestFit="1" customWidth="1"/>
    <col min="11272" max="11272" width="10.28515625" style="33" bestFit="1" customWidth="1"/>
    <col min="11273" max="11273" width="45.7109375" style="33" customWidth="1"/>
    <col min="11274" max="11517" width="9.140625" style="33"/>
    <col min="11518" max="11518" width="6.85546875" style="33" customWidth="1"/>
    <col min="11519" max="11519" width="26.28515625" style="33" customWidth="1"/>
    <col min="11520" max="11520" width="94.7109375" style="33" customWidth="1"/>
    <col min="11521" max="11521" width="10.5703125" style="33" customWidth="1"/>
    <col min="11522" max="11522" width="24" style="33" customWidth="1"/>
    <col min="11523" max="11523" width="24.5703125" style="33" bestFit="1" customWidth="1"/>
    <col min="11524" max="11524" width="17.7109375" style="33" bestFit="1" customWidth="1"/>
    <col min="11525" max="11525" width="17.42578125" style="33" bestFit="1" customWidth="1"/>
    <col min="11526" max="11526" width="17.5703125" style="33" bestFit="1" customWidth="1"/>
    <col min="11527" max="11527" width="9.28515625" style="33" bestFit="1" customWidth="1"/>
    <col min="11528" max="11528" width="10.28515625" style="33" bestFit="1" customWidth="1"/>
    <col min="11529" max="11529" width="45.7109375" style="33" customWidth="1"/>
    <col min="11530" max="11773" width="9.140625" style="33"/>
    <col min="11774" max="11774" width="6.85546875" style="33" customWidth="1"/>
    <col min="11775" max="11775" width="26.28515625" style="33" customWidth="1"/>
    <col min="11776" max="11776" width="94.7109375" style="33" customWidth="1"/>
    <col min="11777" max="11777" width="10.5703125" style="33" customWidth="1"/>
    <col min="11778" max="11778" width="24" style="33" customWidth="1"/>
    <col min="11779" max="11779" width="24.5703125" style="33" bestFit="1" customWidth="1"/>
    <col min="11780" max="11780" width="17.7109375" style="33" bestFit="1" customWidth="1"/>
    <col min="11781" max="11781" width="17.42578125" style="33" bestFit="1" customWidth="1"/>
    <col min="11782" max="11782" width="17.5703125" style="33" bestFit="1" customWidth="1"/>
    <col min="11783" max="11783" width="9.28515625" style="33" bestFit="1" customWidth="1"/>
    <col min="11784" max="11784" width="10.28515625" style="33" bestFit="1" customWidth="1"/>
    <col min="11785" max="11785" width="45.7109375" style="33" customWidth="1"/>
    <col min="11786" max="12029" width="9.140625" style="33"/>
    <col min="12030" max="12030" width="6.85546875" style="33" customWidth="1"/>
    <col min="12031" max="12031" width="26.28515625" style="33" customWidth="1"/>
    <col min="12032" max="12032" width="94.7109375" style="33" customWidth="1"/>
    <col min="12033" max="12033" width="10.5703125" style="33" customWidth="1"/>
    <col min="12034" max="12034" width="24" style="33" customWidth="1"/>
    <col min="12035" max="12035" width="24.5703125" style="33" bestFit="1" customWidth="1"/>
    <col min="12036" max="12036" width="17.7109375" style="33" bestFit="1" customWidth="1"/>
    <col min="12037" max="12037" width="17.42578125" style="33" bestFit="1" customWidth="1"/>
    <col min="12038" max="12038" width="17.5703125" style="33" bestFit="1" customWidth="1"/>
    <col min="12039" max="12039" width="9.28515625" style="33" bestFit="1" customWidth="1"/>
    <col min="12040" max="12040" width="10.28515625" style="33" bestFit="1" customWidth="1"/>
    <col min="12041" max="12041" width="45.7109375" style="33" customWidth="1"/>
    <col min="12042" max="12285" width="9.140625" style="33"/>
    <col min="12286" max="12286" width="6.85546875" style="33" customWidth="1"/>
    <col min="12287" max="12287" width="26.28515625" style="33" customWidth="1"/>
    <col min="12288" max="12288" width="94.7109375" style="33" customWidth="1"/>
    <col min="12289" max="12289" width="10.5703125" style="33" customWidth="1"/>
    <col min="12290" max="12290" width="24" style="33" customWidth="1"/>
    <col min="12291" max="12291" width="24.5703125" style="33" bestFit="1" customWidth="1"/>
    <col min="12292" max="12292" width="17.7109375" style="33" bestFit="1" customWidth="1"/>
    <col min="12293" max="12293" width="17.42578125" style="33" bestFit="1" customWidth="1"/>
    <col min="12294" max="12294" width="17.5703125" style="33" bestFit="1" customWidth="1"/>
    <col min="12295" max="12295" width="9.28515625" style="33" bestFit="1" customWidth="1"/>
    <col min="12296" max="12296" width="10.28515625" style="33" bestFit="1" customWidth="1"/>
    <col min="12297" max="12297" width="45.7109375" style="33" customWidth="1"/>
    <col min="12298" max="12541" width="9.140625" style="33"/>
    <col min="12542" max="12542" width="6.85546875" style="33" customWidth="1"/>
    <col min="12543" max="12543" width="26.28515625" style="33" customWidth="1"/>
    <col min="12544" max="12544" width="94.7109375" style="33" customWidth="1"/>
    <col min="12545" max="12545" width="10.5703125" style="33" customWidth="1"/>
    <col min="12546" max="12546" width="24" style="33" customWidth="1"/>
    <col min="12547" max="12547" width="24.5703125" style="33" bestFit="1" customWidth="1"/>
    <col min="12548" max="12548" width="17.7109375" style="33" bestFit="1" customWidth="1"/>
    <col min="12549" max="12549" width="17.42578125" style="33" bestFit="1" customWidth="1"/>
    <col min="12550" max="12550" width="17.5703125" style="33" bestFit="1" customWidth="1"/>
    <col min="12551" max="12551" width="9.28515625" style="33" bestFit="1" customWidth="1"/>
    <col min="12552" max="12552" width="10.28515625" style="33" bestFit="1" customWidth="1"/>
    <col min="12553" max="12553" width="45.7109375" style="33" customWidth="1"/>
    <col min="12554" max="12797" width="9.140625" style="33"/>
    <col min="12798" max="12798" width="6.85546875" style="33" customWidth="1"/>
    <col min="12799" max="12799" width="26.28515625" style="33" customWidth="1"/>
    <col min="12800" max="12800" width="94.7109375" style="33" customWidth="1"/>
    <col min="12801" max="12801" width="10.5703125" style="33" customWidth="1"/>
    <col min="12802" max="12802" width="24" style="33" customWidth="1"/>
    <col min="12803" max="12803" width="24.5703125" style="33" bestFit="1" customWidth="1"/>
    <col min="12804" max="12804" width="17.7109375" style="33" bestFit="1" customWidth="1"/>
    <col min="12805" max="12805" width="17.42578125" style="33" bestFit="1" customWidth="1"/>
    <col min="12806" max="12806" width="17.5703125" style="33" bestFit="1" customWidth="1"/>
    <col min="12807" max="12807" width="9.28515625" style="33" bestFit="1" customWidth="1"/>
    <col min="12808" max="12808" width="10.28515625" style="33" bestFit="1" customWidth="1"/>
    <col min="12809" max="12809" width="45.7109375" style="33" customWidth="1"/>
    <col min="12810" max="13053" width="9.140625" style="33"/>
    <col min="13054" max="13054" width="6.85546875" style="33" customWidth="1"/>
    <col min="13055" max="13055" width="26.28515625" style="33" customWidth="1"/>
    <col min="13056" max="13056" width="94.7109375" style="33" customWidth="1"/>
    <col min="13057" max="13057" width="10.5703125" style="33" customWidth="1"/>
    <col min="13058" max="13058" width="24" style="33" customWidth="1"/>
    <col min="13059" max="13059" width="24.5703125" style="33" bestFit="1" customWidth="1"/>
    <col min="13060" max="13060" width="17.7109375" style="33" bestFit="1" customWidth="1"/>
    <col min="13061" max="13061" width="17.42578125" style="33" bestFit="1" customWidth="1"/>
    <col min="13062" max="13062" width="17.5703125" style="33" bestFit="1" customWidth="1"/>
    <col min="13063" max="13063" width="9.28515625" style="33" bestFit="1" customWidth="1"/>
    <col min="13064" max="13064" width="10.28515625" style="33" bestFit="1" customWidth="1"/>
    <col min="13065" max="13065" width="45.7109375" style="33" customWidth="1"/>
    <col min="13066" max="13309" width="9.140625" style="33"/>
    <col min="13310" max="13310" width="6.85546875" style="33" customWidth="1"/>
    <col min="13311" max="13311" width="26.28515625" style="33" customWidth="1"/>
    <col min="13312" max="13312" width="94.7109375" style="33" customWidth="1"/>
    <col min="13313" max="13313" width="10.5703125" style="33" customWidth="1"/>
    <col min="13314" max="13314" width="24" style="33" customWidth="1"/>
    <col min="13315" max="13315" width="24.5703125" style="33" bestFit="1" customWidth="1"/>
    <col min="13316" max="13316" width="17.7109375" style="33" bestFit="1" customWidth="1"/>
    <col min="13317" max="13317" width="17.42578125" style="33" bestFit="1" customWidth="1"/>
    <col min="13318" max="13318" width="17.5703125" style="33" bestFit="1" customWidth="1"/>
    <col min="13319" max="13319" width="9.28515625" style="33" bestFit="1" customWidth="1"/>
    <col min="13320" max="13320" width="10.28515625" style="33" bestFit="1" customWidth="1"/>
    <col min="13321" max="13321" width="45.7109375" style="33" customWidth="1"/>
    <col min="13322" max="13565" width="9.140625" style="33"/>
    <col min="13566" max="13566" width="6.85546875" style="33" customWidth="1"/>
    <col min="13567" max="13567" width="26.28515625" style="33" customWidth="1"/>
    <col min="13568" max="13568" width="94.7109375" style="33" customWidth="1"/>
    <col min="13569" max="13569" width="10.5703125" style="33" customWidth="1"/>
    <col min="13570" max="13570" width="24" style="33" customWidth="1"/>
    <col min="13571" max="13571" width="24.5703125" style="33" bestFit="1" customWidth="1"/>
    <col min="13572" max="13572" width="17.7109375" style="33" bestFit="1" customWidth="1"/>
    <col min="13573" max="13573" width="17.42578125" style="33" bestFit="1" customWidth="1"/>
    <col min="13574" max="13574" width="17.5703125" style="33" bestFit="1" customWidth="1"/>
    <col min="13575" max="13575" width="9.28515625" style="33" bestFit="1" customWidth="1"/>
    <col min="13576" max="13576" width="10.28515625" style="33" bestFit="1" customWidth="1"/>
    <col min="13577" max="13577" width="45.7109375" style="33" customWidth="1"/>
    <col min="13578" max="13821" width="9.140625" style="33"/>
    <col min="13822" max="13822" width="6.85546875" style="33" customWidth="1"/>
    <col min="13823" max="13823" width="26.28515625" style="33" customWidth="1"/>
    <col min="13824" max="13824" width="94.7109375" style="33" customWidth="1"/>
    <col min="13825" max="13825" width="10.5703125" style="33" customWidth="1"/>
    <col min="13826" max="13826" width="24" style="33" customWidth="1"/>
    <col min="13827" max="13827" width="24.5703125" style="33" bestFit="1" customWidth="1"/>
    <col min="13828" max="13828" width="17.7109375" style="33" bestFit="1" customWidth="1"/>
    <col min="13829" max="13829" width="17.42578125" style="33" bestFit="1" customWidth="1"/>
    <col min="13830" max="13830" width="17.5703125" style="33" bestFit="1" customWidth="1"/>
    <col min="13831" max="13831" width="9.28515625" style="33" bestFit="1" customWidth="1"/>
    <col min="13832" max="13832" width="10.28515625" style="33" bestFit="1" customWidth="1"/>
    <col min="13833" max="13833" width="45.7109375" style="33" customWidth="1"/>
    <col min="13834" max="14077" width="9.140625" style="33"/>
    <col min="14078" max="14078" width="6.85546875" style="33" customWidth="1"/>
    <col min="14079" max="14079" width="26.28515625" style="33" customWidth="1"/>
    <col min="14080" max="14080" width="94.7109375" style="33" customWidth="1"/>
    <col min="14081" max="14081" width="10.5703125" style="33" customWidth="1"/>
    <col min="14082" max="14082" width="24" style="33" customWidth="1"/>
    <col min="14083" max="14083" width="24.5703125" style="33" bestFit="1" customWidth="1"/>
    <col min="14084" max="14084" width="17.7109375" style="33" bestFit="1" customWidth="1"/>
    <col min="14085" max="14085" width="17.42578125" style="33" bestFit="1" customWidth="1"/>
    <col min="14086" max="14086" width="17.5703125" style="33" bestFit="1" customWidth="1"/>
    <col min="14087" max="14087" width="9.28515625" style="33" bestFit="1" customWidth="1"/>
    <col min="14088" max="14088" width="10.28515625" style="33" bestFit="1" customWidth="1"/>
    <col min="14089" max="14089" width="45.7109375" style="33" customWidth="1"/>
    <col min="14090" max="14333" width="9.140625" style="33"/>
    <col min="14334" max="14334" width="6.85546875" style="33" customWidth="1"/>
    <col min="14335" max="14335" width="26.28515625" style="33" customWidth="1"/>
    <col min="14336" max="14336" width="94.7109375" style="33" customWidth="1"/>
    <col min="14337" max="14337" width="10.5703125" style="33" customWidth="1"/>
    <col min="14338" max="14338" width="24" style="33" customWidth="1"/>
    <col min="14339" max="14339" width="24.5703125" style="33" bestFit="1" customWidth="1"/>
    <col min="14340" max="14340" width="17.7109375" style="33" bestFit="1" customWidth="1"/>
    <col min="14341" max="14341" width="17.42578125" style="33" bestFit="1" customWidth="1"/>
    <col min="14342" max="14342" width="17.5703125" style="33" bestFit="1" customWidth="1"/>
    <col min="14343" max="14343" width="9.28515625" style="33" bestFit="1" customWidth="1"/>
    <col min="14344" max="14344" width="10.28515625" style="33" bestFit="1" customWidth="1"/>
    <col min="14345" max="14345" width="45.7109375" style="33" customWidth="1"/>
    <col min="14346" max="14589" width="9.140625" style="33"/>
    <col min="14590" max="14590" width="6.85546875" style="33" customWidth="1"/>
    <col min="14591" max="14591" width="26.28515625" style="33" customWidth="1"/>
    <col min="14592" max="14592" width="94.7109375" style="33" customWidth="1"/>
    <col min="14593" max="14593" width="10.5703125" style="33" customWidth="1"/>
    <col min="14594" max="14594" width="24" style="33" customWidth="1"/>
    <col min="14595" max="14595" width="24.5703125" style="33" bestFit="1" customWidth="1"/>
    <col min="14596" max="14596" width="17.7109375" style="33" bestFit="1" customWidth="1"/>
    <col min="14597" max="14597" width="17.42578125" style="33" bestFit="1" customWidth="1"/>
    <col min="14598" max="14598" width="17.5703125" style="33" bestFit="1" customWidth="1"/>
    <col min="14599" max="14599" width="9.28515625" style="33" bestFit="1" customWidth="1"/>
    <col min="14600" max="14600" width="10.28515625" style="33" bestFit="1" customWidth="1"/>
    <col min="14601" max="14601" width="45.7109375" style="33" customWidth="1"/>
    <col min="14602" max="14845" width="9.140625" style="33"/>
    <col min="14846" max="14846" width="6.85546875" style="33" customWidth="1"/>
    <col min="14847" max="14847" width="26.28515625" style="33" customWidth="1"/>
    <col min="14848" max="14848" width="94.7109375" style="33" customWidth="1"/>
    <col min="14849" max="14849" width="10.5703125" style="33" customWidth="1"/>
    <col min="14850" max="14850" width="24" style="33" customWidth="1"/>
    <col min="14851" max="14851" width="24.5703125" style="33" bestFit="1" customWidth="1"/>
    <col min="14852" max="14852" width="17.7109375" style="33" bestFit="1" customWidth="1"/>
    <col min="14853" max="14853" width="17.42578125" style="33" bestFit="1" customWidth="1"/>
    <col min="14854" max="14854" width="17.5703125" style="33" bestFit="1" customWidth="1"/>
    <col min="14855" max="14855" width="9.28515625" style="33" bestFit="1" customWidth="1"/>
    <col min="14856" max="14856" width="10.28515625" style="33" bestFit="1" customWidth="1"/>
    <col min="14857" max="14857" width="45.7109375" style="33" customWidth="1"/>
    <col min="14858" max="15101" width="9.140625" style="33"/>
    <col min="15102" max="15102" width="6.85546875" style="33" customWidth="1"/>
    <col min="15103" max="15103" width="26.28515625" style="33" customWidth="1"/>
    <col min="15104" max="15104" width="94.7109375" style="33" customWidth="1"/>
    <col min="15105" max="15105" width="10.5703125" style="33" customWidth="1"/>
    <col min="15106" max="15106" width="24" style="33" customWidth="1"/>
    <col min="15107" max="15107" width="24.5703125" style="33" bestFit="1" customWidth="1"/>
    <col min="15108" max="15108" width="17.7109375" style="33" bestFit="1" customWidth="1"/>
    <col min="15109" max="15109" width="17.42578125" style="33" bestFit="1" customWidth="1"/>
    <col min="15110" max="15110" width="17.5703125" style="33" bestFit="1" customWidth="1"/>
    <col min="15111" max="15111" width="9.28515625" style="33" bestFit="1" customWidth="1"/>
    <col min="15112" max="15112" width="10.28515625" style="33" bestFit="1" customWidth="1"/>
    <col min="15113" max="15113" width="45.7109375" style="33" customWidth="1"/>
    <col min="15114" max="15357" width="9.140625" style="33"/>
    <col min="15358" max="15358" width="6.85546875" style="33" customWidth="1"/>
    <col min="15359" max="15359" width="26.28515625" style="33" customWidth="1"/>
    <col min="15360" max="15360" width="94.7109375" style="33" customWidth="1"/>
    <col min="15361" max="15361" width="10.5703125" style="33" customWidth="1"/>
    <col min="15362" max="15362" width="24" style="33" customWidth="1"/>
    <col min="15363" max="15363" width="24.5703125" style="33" bestFit="1" customWidth="1"/>
    <col min="15364" max="15364" width="17.7109375" style="33" bestFit="1" customWidth="1"/>
    <col min="15365" max="15365" width="17.42578125" style="33" bestFit="1" customWidth="1"/>
    <col min="15366" max="15366" width="17.5703125" style="33" bestFit="1" customWidth="1"/>
    <col min="15367" max="15367" width="9.28515625" style="33" bestFit="1" customWidth="1"/>
    <col min="15368" max="15368" width="10.28515625" style="33" bestFit="1" customWidth="1"/>
    <col min="15369" max="15369" width="45.7109375" style="33" customWidth="1"/>
    <col min="15370" max="15613" width="9.140625" style="33"/>
    <col min="15614" max="15614" width="6.85546875" style="33" customWidth="1"/>
    <col min="15615" max="15615" width="26.28515625" style="33" customWidth="1"/>
    <col min="15616" max="15616" width="94.7109375" style="33" customWidth="1"/>
    <col min="15617" max="15617" width="10.5703125" style="33" customWidth="1"/>
    <col min="15618" max="15618" width="24" style="33" customWidth="1"/>
    <col min="15619" max="15619" width="24.5703125" style="33" bestFit="1" customWidth="1"/>
    <col min="15620" max="15620" width="17.7109375" style="33" bestFit="1" customWidth="1"/>
    <col min="15621" max="15621" width="17.42578125" style="33" bestFit="1" customWidth="1"/>
    <col min="15622" max="15622" width="17.5703125" style="33" bestFit="1" customWidth="1"/>
    <col min="15623" max="15623" width="9.28515625" style="33" bestFit="1" customWidth="1"/>
    <col min="15624" max="15624" width="10.28515625" style="33" bestFit="1" customWidth="1"/>
    <col min="15625" max="15625" width="45.7109375" style="33" customWidth="1"/>
    <col min="15626" max="15869" width="9.140625" style="33"/>
    <col min="15870" max="15870" width="6.85546875" style="33" customWidth="1"/>
    <col min="15871" max="15871" width="26.28515625" style="33" customWidth="1"/>
    <col min="15872" max="15872" width="94.7109375" style="33" customWidth="1"/>
    <col min="15873" max="15873" width="10.5703125" style="33" customWidth="1"/>
    <col min="15874" max="15874" width="24" style="33" customWidth="1"/>
    <col min="15875" max="15875" width="24.5703125" style="33" bestFit="1" customWidth="1"/>
    <col min="15876" max="15876" width="17.7109375" style="33" bestFit="1" customWidth="1"/>
    <col min="15877" max="15877" width="17.42578125" style="33" bestFit="1" customWidth="1"/>
    <col min="15878" max="15878" width="17.5703125" style="33" bestFit="1" customWidth="1"/>
    <col min="15879" max="15879" width="9.28515625" style="33" bestFit="1" customWidth="1"/>
    <col min="15880" max="15880" width="10.28515625" style="33" bestFit="1" customWidth="1"/>
    <col min="15881" max="15881" width="45.7109375" style="33" customWidth="1"/>
    <col min="15882" max="16125" width="9.140625" style="33"/>
    <col min="16126" max="16126" width="6.85546875" style="33" customWidth="1"/>
    <col min="16127" max="16127" width="26.28515625" style="33" customWidth="1"/>
    <col min="16128" max="16128" width="94.7109375" style="33" customWidth="1"/>
    <col min="16129" max="16129" width="10.5703125" style="33" customWidth="1"/>
    <col min="16130" max="16130" width="24" style="33" customWidth="1"/>
    <col min="16131" max="16131" width="24.5703125" style="33" bestFit="1" customWidth="1"/>
    <col min="16132" max="16132" width="17.7109375" style="33" bestFit="1" customWidth="1"/>
    <col min="16133" max="16133" width="17.42578125" style="33" bestFit="1" customWidth="1"/>
    <col min="16134" max="16134" width="17.5703125" style="33" bestFit="1" customWidth="1"/>
    <col min="16135" max="16135" width="9.28515625" style="33" bestFit="1" customWidth="1"/>
    <col min="16136" max="16136" width="10.28515625" style="33" bestFit="1" customWidth="1"/>
    <col min="16137" max="16137" width="45.7109375" style="33" customWidth="1"/>
    <col min="16138" max="16384" width="9.140625" style="33"/>
  </cols>
  <sheetData>
    <row r="1" spans="1:9" s="29" customFormat="1" ht="26.25">
      <c r="A1" s="1"/>
      <c r="B1" s="2"/>
      <c r="C1" s="141" t="s">
        <v>0</v>
      </c>
      <c r="D1" s="141"/>
      <c r="E1" s="142"/>
      <c r="F1" s="3"/>
      <c r="G1" s="4"/>
      <c r="H1" s="27"/>
      <c r="I1" s="28"/>
    </row>
    <row r="2" spans="1:9" s="29" customFormat="1" ht="26.25">
      <c r="A2" s="5"/>
      <c r="B2" s="6"/>
      <c r="C2" s="143" t="s">
        <v>1</v>
      </c>
      <c r="D2" s="143"/>
      <c r="E2" s="144"/>
      <c r="F2" s="7"/>
      <c r="G2" s="8"/>
      <c r="H2" s="30"/>
      <c r="I2" s="31"/>
    </row>
    <row r="3" spans="1:9" s="29" customFormat="1" ht="26.25">
      <c r="A3" s="5"/>
      <c r="B3" s="6"/>
      <c r="C3" s="143" t="s">
        <v>2</v>
      </c>
      <c r="D3" s="143"/>
      <c r="E3" s="144"/>
      <c r="F3" s="145" t="s">
        <v>85</v>
      </c>
      <c r="G3" s="146"/>
      <c r="H3" s="146"/>
      <c r="I3" s="147"/>
    </row>
    <row r="4" spans="1:9" s="29" customFormat="1" ht="39.75" customHeight="1">
      <c r="A4" s="5"/>
      <c r="B4" s="6"/>
      <c r="C4" s="148" t="s">
        <v>82</v>
      </c>
      <c r="D4" s="148"/>
      <c r="E4" s="149"/>
      <c r="F4" s="150" t="s">
        <v>84</v>
      </c>
      <c r="G4" s="151"/>
      <c r="H4" s="151"/>
      <c r="I4" s="152"/>
    </row>
    <row r="5" spans="1:9" s="29" customFormat="1" ht="23.25" customHeight="1">
      <c r="A5" s="5"/>
      <c r="B5" s="6"/>
      <c r="C5" s="148" t="s">
        <v>49</v>
      </c>
      <c r="D5" s="148"/>
      <c r="E5" s="149"/>
      <c r="F5" s="153" t="s">
        <v>61</v>
      </c>
      <c r="G5" s="154"/>
      <c r="H5" s="154"/>
      <c r="I5" s="155"/>
    </row>
    <row r="6" spans="1:9" s="29" customFormat="1" ht="23.25">
      <c r="A6" s="5"/>
      <c r="B6" s="6"/>
      <c r="C6" s="156" t="s">
        <v>83</v>
      </c>
      <c r="D6" s="156"/>
      <c r="E6" s="157"/>
      <c r="F6" s="158" t="s">
        <v>62</v>
      </c>
      <c r="G6" s="159"/>
      <c r="H6" s="159"/>
      <c r="I6" s="160"/>
    </row>
    <row r="7" spans="1:9" s="29" customFormat="1" ht="23.25">
      <c r="A7" s="5"/>
      <c r="B7" s="6"/>
      <c r="C7" s="161"/>
      <c r="D7" s="161"/>
      <c r="E7" s="162"/>
      <c r="F7" s="158" t="s">
        <v>30</v>
      </c>
      <c r="G7" s="159"/>
      <c r="H7" s="159"/>
      <c r="I7" s="160"/>
    </row>
    <row r="8" spans="1:9" s="29" customFormat="1" ht="20.25">
      <c r="A8" s="9"/>
      <c r="B8" s="10"/>
      <c r="C8" s="11"/>
      <c r="D8" s="32"/>
      <c r="E8" s="12"/>
      <c r="F8" s="163" t="s">
        <v>3</v>
      </c>
      <c r="G8" s="164"/>
      <c r="H8" s="164"/>
      <c r="I8" s="165"/>
    </row>
    <row r="9" spans="1:9" s="29" customFormat="1" ht="18" customHeight="1">
      <c r="A9" s="166" t="s">
        <v>50</v>
      </c>
      <c r="B9" s="167"/>
      <c r="C9" s="167"/>
      <c r="D9" s="167"/>
      <c r="E9" s="167"/>
      <c r="F9" s="167"/>
      <c r="G9" s="167"/>
      <c r="H9" s="167"/>
      <c r="I9" s="167"/>
    </row>
    <row r="10" spans="1:9" s="29" customFormat="1" ht="18.75">
      <c r="A10" s="169" t="s">
        <v>4</v>
      </c>
      <c r="B10" s="170" t="s">
        <v>5</v>
      </c>
      <c r="C10" s="171" t="s">
        <v>6</v>
      </c>
      <c r="D10" s="169" t="s">
        <v>7</v>
      </c>
      <c r="E10" s="172" t="s">
        <v>8</v>
      </c>
      <c r="F10" s="168" t="s">
        <v>9</v>
      </c>
      <c r="G10" s="168"/>
      <c r="H10" s="168"/>
      <c r="I10" s="168"/>
    </row>
    <row r="11" spans="1:9" s="29" customFormat="1" ht="18.75">
      <c r="A11" s="169"/>
      <c r="B11" s="170"/>
      <c r="C11" s="171"/>
      <c r="D11" s="169"/>
      <c r="E11" s="172"/>
      <c r="F11" s="62" t="s">
        <v>10</v>
      </c>
      <c r="G11" s="62" t="s">
        <v>11</v>
      </c>
      <c r="H11" s="62" t="s">
        <v>12</v>
      </c>
      <c r="I11" s="61" t="s">
        <v>13</v>
      </c>
    </row>
    <row r="12" spans="1:9" ht="18">
      <c r="A12" s="63" t="s">
        <v>14</v>
      </c>
      <c r="B12" s="64"/>
      <c r="C12" s="140" t="s">
        <v>37</v>
      </c>
      <c r="D12" s="140"/>
      <c r="E12" s="140"/>
      <c r="F12" s="140"/>
      <c r="G12" s="140"/>
      <c r="H12" s="140"/>
      <c r="I12" s="140"/>
    </row>
    <row r="13" spans="1:9" ht="54">
      <c r="A13" s="70" t="s">
        <v>15</v>
      </c>
      <c r="B13" s="71" t="s">
        <v>248</v>
      </c>
      <c r="C13" s="72" t="s">
        <v>249</v>
      </c>
      <c r="D13" s="70" t="s">
        <v>7</v>
      </c>
      <c r="E13" s="73">
        <v>16</v>
      </c>
      <c r="F13" s="73">
        <f>F14</f>
        <v>118.61</v>
      </c>
      <c r="G13" s="74">
        <f>TRUNC(F13*1.2247,2)</f>
        <v>145.26</v>
      </c>
      <c r="H13" s="73">
        <f>TRUNC(F13*E13,2)</f>
        <v>1897.76</v>
      </c>
      <c r="I13" s="73">
        <f>TRUNC(E13*G13,2)</f>
        <v>2324.16</v>
      </c>
    </row>
    <row r="14" spans="1:9" ht="54">
      <c r="A14" s="65"/>
      <c r="B14" s="66" t="s">
        <v>248</v>
      </c>
      <c r="C14" s="67" t="s">
        <v>249</v>
      </c>
      <c r="D14" s="65" t="s">
        <v>7</v>
      </c>
      <c r="E14" s="68">
        <v>1</v>
      </c>
      <c r="F14" s="69">
        <f>G21</f>
        <v>118.61</v>
      </c>
      <c r="G14" s="69">
        <f t="shared" ref="G14:G20" si="0">TRUNC(E14*F14,2)</f>
        <v>118.61</v>
      </c>
      <c r="H14" s="69"/>
      <c r="I14" s="68"/>
    </row>
    <row r="15" spans="1:9" ht="36">
      <c r="A15" s="65"/>
      <c r="B15" s="66" t="s">
        <v>250</v>
      </c>
      <c r="C15" s="67" t="s">
        <v>251</v>
      </c>
      <c r="D15" s="65" t="s">
        <v>7</v>
      </c>
      <c r="E15" s="68">
        <v>1</v>
      </c>
      <c r="F15" s="69">
        <f>TRUNC(17.6,2)</f>
        <v>17.600000000000001</v>
      </c>
      <c r="G15" s="69">
        <f t="shared" si="0"/>
        <v>17.600000000000001</v>
      </c>
      <c r="H15" s="69"/>
      <c r="I15" s="68"/>
    </row>
    <row r="16" spans="1:9" ht="36">
      <c r="A16" s="65"/>
      <c r="B16" s="66" t="s">
        <v>252</v>
      </c>
      <c r="C16" s="67" t="s">
        <v>253</v>
      </c>
      <c r="D16" s="65" t="s">
        <v>7</v>
      </c>
      <c r="E16" s="68">
        <v>2</v>
      </c>
      <c r="F16" s="69">
        <f>TRUNC(16.71,2)</f>
        <v>16.71</v>
      </c>
      <c r="G16" s="69">
        <f t="shared" si="0"/>
        <v>33.42</v>
      </c>
      <c r="H16" s="69"/>
      <c r="I16" s="68"/>
    </row>
    <row r="17" spans="1:9" ht="18">
      <c r="A17" s="65"/>
      <c r="B17" s="66" t="s">
        <v>254</v>
      </c>
      <c r="C17" s="67" t="s">
        <v>255</v>
      </c>
      <c r="D17" s="65" t="s">
        <v>7</v>
      </c>
      <c r="E17" s="68">
        <v>1</v>
      </c>
      <c r="F17" s="69">
        <f>TRUNC(2.87,2)</f>
        <v>2.87</v>
      </c>
      <c r="G17" s="69">
        <f t="shared" si="0"/>
        <v>2.87</v>
      </c>
      <c r="H17" s="69"/>
      <c r="I17" s="68"/>
    </row>
    <row r="18" spans="1:9" ht="18">
      <c r="A18" s="65"/>
      <c r="B18" s="66" t="s">
        <v>256</v>
      </c>
      <c r="C18" s="67" t="s">
        <v>257</v>
      </c>
      <c r="D18" s="65" t="s">
        <v>7</v>
      </c>
      <c r="E18" s="68">
        <v>4</v>
      </c>
      <c r="F18" s="69">
        <f>TRUNC(1.83,2)</f>
        <v>1.83</v>
      </c>
      <c r="G18" s="69">
        <f t="shared" si="0"/>
        <v>7.32</v>
      </c>
      <c r="H18" s="69"/>
      <c r="I18" s="68"/>
    </row>
    <row r="19" spans="1:9" ht="36">
      <c r="A19" s="65"/>
      <c r="B19" s="66" t="s">
        <v>51</v>
      </c>
      <c r="C19" s="67" t="s">
        <v>52</v>
      </c>
      <c r="D19" s="65" t="s">
        <v>31</v>
      </c>
      <c r="E19" s="68">
        <v>1.2463</v>
      </c>
      <c r="F19" s="69">
        <f>TRUNC(19.33,2)</f>
        <v>19.329999999999998</v>
      </c>
      <c r="G19" s="69">
        <f t="shared" si="0"/>
        <v>24.09</v>
      </c>
      <c r="H19" s="69"/>
      <c r="I19" s="68"/>
    </row>
    <row r="20" spans="1:9" ht="36">
      <c r="A20" s="65"/>
      <c r="B20" s="66" t="s">
        <v>53</v>
      </c>
      <c r="C20" s="67" t="s">
        <v>54</v>
      </c>
      <c r="D20" s="65" t="s">
        <v>31</v>
      </c>
      <c r="E20" s="68">
        <v>1.2463</v>
      </c>
      <c r="F20" s="69">
        <f>TRUNC(26.73,2)</f>
        <v>26.73</v>
      </c>
      <c r="G20" s="69">
        <f t="shared" si="0"/>
        <v>33.31</v>
      </c>
      <c r="H20" s="69"/>
      <c r="I20" s="68"/>
    </row>
    <row r="21" spans="1:9" ht="18">
      <c r="A21" s="65"/>
      <c r="B21" s="66"/>
      <c r="C21" s="67"/>
      <c r="D21" s="65"/>
      <c r="E21" s="68" t="s">
        <v>23</v>
      </c>
      <c r="F21" s="69"/>
      <c r="G21" s="69">
        <f>TRUNC(SUM(G15:G20),2)</f>
        <v>118.61</v>
      </c>
      <c r="H21" s="69"/>
      <c r="I21" s="68"/>
    </row>
    <row r="22" spans="1:9" ht="54">
      <c r="A22" s="70" t="s">
        <v>33</v>
      </c>
      <c r="B22" s="71" t="s">
        <v>258</v>
      </c>
      <c r="C22" s="72" t="s">
        <v>259</v>
      </c>
      <c r="D22" s="70" t="s">
        <v>7</v>
      </c>
      <c r="E22" s="73">
        <v>38</v>
      </c>
      <c r="F22" s="73">
        <f>F23</f>
        <v>127.65</v>
      </c>
      <c r="G22" s="74">
        <f>TRUNC(F22*1.2247,2)</f>
        <v>156.33000000000001</v>
      </c>
      <c r="H22" s="73">
        <f>TRUNC(F22*E22,2)</f>
        <v>4850.7</v>
      </c>
      <c r="I22" s="73">
        <f>TRUNC(E22*G22,2)</f>
        <v>5940.54</v>
      </c>
    </row>
    <row r="23" spans="1:9" ht="54">
      <c r="A23" s="65"/>
      <c r="B23" s="66" t="s">
        <v>258</v>
      </c>
      <c r="C23" s="67" t="s">
        <v>259</v>
      </c>
      <c r="D23" s="65" t="s">
        <v>7</v>
      </c>
      <c r="E23" s="68">
        <v>1</v>
      </c>
      <c r="F23" s="69">
        <f>G30</f>
        <v>127.65</v>
      </c>
      <c r="G23" s="69">
        <f t="shared" ref="G23:G29" si="1">TRUNC(E23*F23,2)</f>
        <v>127.65</v>
      </c>
      <c r="H23" s="69"/>
      <c r="I23" s="68"/>
    </row>
    <row r="24" spans="1:9" ht="36">
      <c r="A24" s="65"/>
      <c r="B24" s="66" t="s">
        <v>260</v>
      </c>
      <c r="C24" s="67" t="s">
        <v>261</v>
      </c>
      <c r="D24" s="65" t="s">
        <v>7</v>
      </c>
      <c r="E24" s="68">
        <v>1</v>
      </c>
      <c r="F24" s="69">
        <f>TRUNC(27.3,2)</f>
        <v>27.3</v>
      </c>
      <c r="G24" s="69">
        <f t="shared" si="1"/>
        <v>27.3</v>
      </c>
      <c r="H24" s="69"/>
      <c r="I24" s="68"/>
    </row>
    <row r="25" spans="1:9" ht="36">
      <c r="A25" s="65"/>
      <c r="B25" s="66" t="s">
        <v>262</v>
      </c>
      <c r="C25" s="67" t="s">
        <v>263</v>
      </c>
      <c r="D25" s="65" t="s">
        <v>7</v>
      </c>
      <c r="E25" s="68">
        <v>2</v>
      </c>
      <c r="F25" s="69">
        <f>TRUNC(16.38,2)</f>
        <v>16.38</v>
      </c>
      <c r="G25" s="69">
        <f t="shared" si="1"/>
        <v>32.76</v>
      </c>
      <c r="H25" s="69"/>
      <c r="I25" s="68"/>
    </row>
    <row r="26" spans="1:9" ht="18">
      <c r="A26" s="65"/>
      <c r="B26" s="66" t="s">
        <v>254</v>
      </c>
      <c r="C26" s="67" t="s">
        <v>255</v>
      </c>
      <c r="D26" s="65" t="s">
        <v>7</v>
      </c>
      <c r="E26" s="68">
        <v>1</v>
      </c>
      <c r="F26" s="69">
        <f>TRUNC(2.87,2)</f>
        <v>2.87</v>
      </c>
      <c r="G26" s="69">
        <f t="shared" si="1"/>
        <v>2.87</v>
      </c>
      <c r="H26" s="69"/>
      <c r="I26" s="68"/>
    </row>
    <row r="27" spans="1:9" ht="18">
      <c r="A27" s="65"/>
      <c r="B27" s="66" t="s">
        <v>256</v>
      </c>
      <c r="C27" s="67" t="s">
        <v>257</v>
      </c>
      <c r="D27" s="65" t="s">
        <v>7</v>
      </c>
      <c r="E27" s="68">
        <v>4</v>
      </c>
      <c r="F27" s="69">
        <f>TRUNC(1.83,2)</f>
        <v>1.83</v>
      </c>
      <c r="G27" s="69">
        <f t="shared" si="1"/>
        <v>7.32</v>
      </c>
      <c r="H27" s="69"/>
      <c r="I27" s="68"/>
    </row>
    <row r="28" spans="1:9" ht="36">
      <c r="A28" s="65"/>
      <c r="B28" s="66" t="s">
        <v>51</v>
      </c>
      <c r="C28" s="67" t="s">
        <v>52</v>
      </c>
      <c r="D28" s="65" t="s">
        <v>31</v>
      </c>
      <c r="E28" s="68">
        <v>1.2463</v>
      </c>
      <c r="F28" s="69">
        <f>TRUNC(19.33,2)</f>
        <v>19.329999999999998</v>
      </c>
      <c r="G28" s="69">
        <f t="shared" si="1"/>
        <v>24.09</v>
      </c>
      <c r="H28" s="69"/>
      <c r="I28" s="68"/>
    </row>
    <row r="29" spans="1:9" ht="36">
      <c r="A29" s="65"/>
      <c r="B29" s="66" t="s">
        <v>53</v>
      </c>
      <c r="C29" s="67" t="s">
        <v>54</v>
      </c>
      <c r="D29" s="65" t="s">
        <v>31</v>
      </c>
      <c r="E29" s="68">
        <v>1.2463</v>
      </c>
      <c r="F29" s="69">
        <f>TRUNC(26.73,2)</f>
        <v>26.73</v>
      </c>
      <c r="G29" s="69">
        <f t="shared" si="1"/>
        <v>33.31</v>
      </c>
      <c r="H29" s="69"/>
      <c r="I29" s="68"/>
    </row>
    <row r="30" spans="1:9" ht="18">
      <c r="A30" s="65"/>
      <c r="B30" s="66"/>
      <c r="C30" s="67"/>
      <c r="D30" s="65"/>
      <c r="E30" s="68" t="s">
        <v>23</v>
      </c>
      <c r="F30" s="69"/>
      <c r="G30" s="69">
        <f>TRUNC(SUM(G24:G29),2)</f>
        <v>127.65</v>
      </c>
      <c r="H30" s="69"/>
      <c r="I30" s="68"/>
    </row>
    <row r="31" spans="1:9" ht="54">
      <c r="A31" s="70" t="s">
        <v>34</v>
      </c>
      <c r="B31" s="71" t="s">
        <v>87</v>
      </c>
      <c r="C31" s="72" t="s">
        <v>88</v>
      </c>
      <c r="D31" s="70" t="s">
        <v>7</v>
      </c>
      <c r="E31" s="73">
        <v>5</v>
      </c>
      <c r="F31" s="73">
        <f>TRUNC(F32,2)</f>
        <v>84.21</v>
      </c>
      <c r="G31" s="74">
        <f>TRUNC(F31*1.2247,2)</f>
        <v>103.13</v>
      </c>
      <c r="H31" s="73">
        <f>TRUNC(F31*E31,2)</f>
        <v>421.05</v>
      </c>
      <c r="I31" s="73">
        <f>TRUNC(E31*G31,2)</f>
        <v>515.65</v>
      </c>
    </row>
    <row r="32" spans="1:9" ht="54">
      <c r="A32" s="65"/>
      <c r="B32" s="66" t="s">
        <v>87</v>
      </c>
      <c r="C32" s="67" t="s">
        <v>88</v>
      </c>
      <c r="D32" s="65" t="s">
        <v>7</v>
      </c>
      <c r="E32" s="68">
        <v>1</v>
      </c>
      <c r="F32" s="69">
        <f>G35</f>
        <v>84.21</v>
      </c>
      <c r="G32" s="69">
        <f>TRUNC(E32*F32,2)</f>
        <v>84.21</v>
      </c>
      <c r="H32" s="69"/>
      <c r="I32" s="68"/>
    </row>
    <row r="33" spans="1:9" ht="54">
      <c r="A33" s="65"/>
      <c r="B33" s="66" t="s">
        <v>89</v>
      </c>
      <c r="C33" s="67" t="s">
        <v>90</v>
      </c>
      <c r="D33" s="65" t="s">
        <v>7</v>
      </c>
      <c r="E33" s="68">
        <v>1</v>
      </c>
      <c r="F33" s="69">
        <f>TRUNC(71.37,2)</f>
        <v>71.37</v>
      </c>
      <c r="G33" s="69">
        <f>TRUNC(E33*F33,2)</f>
        <v>71.37</v>
      </c>
      <c r="H33" s="69"/>
      <c r="I33" s="68"/>
    </row>
    <row r="34" spans="1:9" ht="54">
      <c r="A34" s="65"/>
      <c r="B34" s="66" t="s">
        <v>91</v>
      </c>
      <c r="C34" s="67" t="s">
        <v>92</v>
      </c>
      <c r="D34" s="65" t="s">
        <v>7</v>
      </c>
      <c r="E34" s="68">
        <v>1</v>
      </c>
      <c r="F34" s="69">
        <f>TRUNC(12.84,2)</f>
        <v>12.84</v>
      </c>
      <c r="G34" s="69">
        <f>TRUNC(E34*F34,2)</f>
        <v>12.84</v>
      </c>
      <c r="H34" s="69"/>
      <c r="I34" s="68"/>
    </row>
    <row r="35" spans="1:9" ht="30" customHeight="1">
      <c r="A35" s="65"/>
      <c r="B35" s="66"/>
      <c r="C35" s="67"/>
      <c r="D35" s="65"/>
      <c r="E35" s="68" t="s">
        <v>23</v>
      </c>
      <c r="F35" s="69"/>
      <c r="G35" s="69">
        <f>TRUNC(SUM(G33:G34),2)</f>
        <v>84.21</v>
      </c>
      <c r="H35" s="69"/>
      <c r="I35" s="68"/>
    </row>
    <row r="36" spans="1:9" ht="36">
      <c r="A36" s="70" t="s">
        <v>35</v>
      </c>
      <c r="B36" s="71" t="s">
        <v>93</v>
      </c>
      <c r="C36" s="72" t="s">
        <v>94</v>
      </c>
      <c r="D36" s="70" t="s">
        <v>7</v>
      </c>
      <c r="E36" s="73">
        <v>8</v>
      </c>
      <c r="F36" s="73">
        <f>TRUNC(F37,2)</f>
        <v>35.01</v>
      </c>
      <c r="G36" s="74">
        <f>TRUNC(F36*1.2247,2)</f>
        <v>42.87</v>
      </c>
      <c r="H36" s="73">
        <f>TRUNC(F36*E36,2)</f>
        <v>280.08</v>
      </c>
      <c r="I36" s="73">
        <f>TRUNC(E36*G36,2)</f>
        <v>342.96</v>
      </c>
    </row>
    <row r="37" spans="1:9" ht="36">
      <c r="A37" s="65"/>
      <c r="B37" s="66" t="s">
        <v>93</v>
      </c>
      <c r="C37" s="67" t="s">
        <v>94</v>
      </c>
      <c r="D37" s="65" t="s">
        <v>7</v>
      </c>
      <c r="E37" s="68">
        <v>1</v>
      </c>
      <c r="F37" s="69">
        <f>G40</f>
        <v>35.01</v>
      </c>
      <c r="G37" s="69">
        <f>TRUNC(E37*F37,2)</f>
        <v>35.01</v>
      </c>
      <c r="H37" s="69"/>
      <c r="I37" s="68"/>
    </row>
    <row r="38" spans="1:9" ht="54">
      <c r="A38" s="65"/>
      <c r="B38" s="66" t="s">
        <v>95</v>
      </c>
      <c r="C38" s="67" t="s">
        <v>96</v>
      </c>
      <c r="D38" s="65" t="s">
        <v>7</v>
      </c>
      <c r="E38" s="68">
        <v>1</v>
      </c>
      <c r="F38" s="69">
        <f>TRUNC(22.17,2)</f>
        <v>22.17</v>
      </c>
      <c r="G38" s="69">
        <f>TRUNC(E38*F38,2)</f>
        <v>22.17</v>
      </c>
      <c r="H38" s="69"/>
      <c r="I38" s="68"/>
    </row>
    <row r="39" spans="1:9" ht="54">
      <c r="A39" s="65"/>
      <c r="B39" s="66" t="s">
        <v>91</v>
      </c>
      <c r="C39" s="67" t="s">
        <v>92</v>
      </c>
      <c r="D39" s="65" t="s">
        <v>7</v>
      </c>
      <c r="E39" s="68">
        <v>1</v>
      </c>
      <c r="F39" s="69">
        <f>TRUNC(12.84,2)</f>
        <v>12.84</v>
      </c>
      <c r="G39" s="69">
        <f>TRUNC(E39*F39,2)</f>
        <v>12.84</v>
      </c>
      <c r="H39" s="69"/>
      <c r="I39" s="68"/>
    </row>
    <row r="40" spans="1:9" ht="18">
      <c r="A40" s="65"/>
      <c r="B40" s="66"/>
      <c r="C40" s="67"/>
      <c r="D40" s="65"/>
      <c r="E40" s="68" t="s">
        <v>23</v>
      </c>
      <c r="F40" s="69"/>
      <c r="G40" s="69">
        <f>TRUNC(SUM(G38:G39),2)</f>
        <v>35.01</v>
      </c>
      <c r="H40" s="69"/>
      <c r="I40" s="68"/>
    </row>
    <row r="41" spans="1:9" ht="36">
      <c r="A41" s="70" t="s">
        <v>36</v>
      </c>
      <c r="B41" s="71" t="s">
        <v>98</v>
      </c>
      <c r="C41" s="72" t="s">
        <v>99</v>
      </c>
      <c r="D41" s="70" t="s">
        <v>7</v>
      </c>
      <c r="E41" s="73">
        <v>8</v>
      </c>
      <c r="F41" s="73">
        <f>TRUNC(F42,2)</f>
        <v>53.04</v>
      </c>
      <c r="G41" s="74">
        <f>TRUNC(F41*1.2247,2)</f>
        <v>64.95</v>
      </c>
      <c r="H41" s="73">
        <f>TRUNC(F41*E41,2)</f>
        <v>424.32</v>
      </c>
      <c r="I41" s="73">
        <f>TRUNC(E41*G41,2)</f>
        <v>519.6</v>
      </c>
    </row>
    <row r="42" spans="1:9" ht="36">
      <c r="A42" s="65"/>
      <c r="B42" s="66" t="s">
        <v>98</v>
      </c>
      <c r="C42" s="67" t="s">
        <v>99</v>
      </c>
      <c r="D42" s="65" t="s">
        <v>7</v>
      </c>
      <c r="E42" s="68">
        <v>1</v>
      </c>
      <c r="F42" s="69">
        <f>G45</f>
        <v>53.04</v>
      </c>
      <c r="G42" s="69">
        <f>TRUNC(E42*F42,2)</f>
        <v>53.04</v>
      </c>
      <c r="H42" s="69"/>
      <c r="I42" s="68"/>
    </row>
    <row r="43" spans="1:9" ht="54">
      <c r="A43" s="65"/>
      <c r="B43" s="66" t="s">
        <v>97</v>
      </c>
      <c r="C43" s="67" t="s">
        <v>100</v>
      </c>
      <c r="D43" s="65" t="s">
        <v>7</v>
      </c>
      <c r="E43" s="68">
        <v>1</v>
      </c>
      <c r="F43" s="69">
        <f>TRUNC(40.2,2)</f>
        <v>40.200000000000003</v>
      </c>
      <c r="G43" s="69">
        <f>TRUNC(E43*F43,2)</f>
        <v>40.200000000000003</v>
      </c>
      <c r="H43" s="69"/>
      <c r="I43" s="68"/>
    </row>
    <row r="44" spans="1:9" ht="54">
      <c r="A44" s="65"/>
      <c r="B44" s="66" t="s">
        <v>91</v>
      </c>
      <c r="C44" s="67" t="s">
        <v>92</v>
      </c>
      <c r="D44" s="65" t="s">
        <v>7</v>
      </c>
      <c r="E44" s="68">
        <v>1</v>
      </c>
      <c r="F44" s="69">
        <f>TRUNC(12.84,2)</f>
        <v>12.84</v>
      </c>
      <c r="G44" s="69">
        <f>TRUNC(E44*F44,2)</f>
        <v>12.84</v>
      </c>
      <c r="H44" s="69"/>
      <c r="I44" s="68"/>
    </row>
    <row r="45" spans="1:9" ht="18">
      <c r="A45" s="65"/>
      <c r="B45" s="66"/>
      <c r="C45" s="67"/>
      <c r="D45" s="65"/>
      <c r="E45" s="68" t="s">
        <v>23</v>
      </c>
      <c r="F45" s="69"/>
      <c r="G45" s="69">
        <f>TRUNC(SUM(G43:G44),2)</f>
        <v>53.04</v>
      </c>
      <c r="H45" s="69"/>
      <c r="I45" s="68"/>
    </row>
    <row r="46" spans="1:9" ht="36">
      <c r="A46" s="70" t="s">
        <v>86</v>
      </c>
      <c r="B46" s="71" t="s">
        <v>101</v>
      </c>
      <c r="C46" s="72" t="s">
        <v>102</v>
      </c>
      <c r="D46" s="70" t="s">
        <v>7</v>
      </c>
      <c r="E46" s="73">
        <v>1</v>
      </c>
      <c r="F46" s="73">
        <f>TRUNC(F47,2)</f>
        <v>71.09</v>
      </c>
      <c r="G46" s="74">
        <f>TRUNC(F46*1.2247,2)</f>
        <v>87.06</v>
      </c>
      <c r="H46" s="73">
        <f>TRUNC(F46*E46,2)</f>
        <v>71.09</v>
      </c>
      <c r="I46" s="73">
        <f>TRUNC(E46*G46,2)</f>
        <v>87.06</v>
      </c>
    </row>
    <row r="47" spans="1:9" ht="36">
      <c r="A47" s="65"/>
      <c r="B47" s="66" t="s">
        <v>101</v>
      </c>
      <c r="C47" s="67" t="s">
        <v>102</v>
      </c>
      <c r="D47" s="65" t="s">
        <v>7</v>
      </c>
      <c r="E47" s="68">
        <v>1</v>
      </c>
      <c r="F47" s="69">
        <f>G50</f>
        <v>71.09</v>
      </c>
      <c r="G47" s="69">
        <f>TRUNC(E47*F47,2)</f>
        <v>71.09</v>
      </c>
      <c r="H47" s="69"/>
      <c r="I47" s="68"/>
    </row>
    <row r="48" spans="1:9" ht="54">
      <c r="A48" s="65"/>
      <c r="B48" s="66" t="s">
        <v>103</v>
      </c>
      <c r="C48" s="67" t="s">
        <v>104</v>
      </c>
      <c r="D48" s="65" t="s">
        <v>7</v>
      </c>
      <c r="E48" s="68">
        <v>1</v>
      </c>
      <c r="F48" s="69">
        <f>TRUNC(58.25,2)</f>
        <v>58.25</v>
      </c>
      <c r="G48" s="69">
        <f>TRUNC(E48*F48,2)</f>
        <v>58.25</v>
      </c>
      <c r="H48" s="69"/>
      <c r="I48" s="68"/>
    </row>
    <row r="49" spans="1:9" ht="54">
      <c r="A49" s="65"/>
      <c r="B49" s="66" t="s">
        <v>91</v>
      </c>
      <c r="C49" s="67" t="s">
        <v>92</v>
      </c>
      <c r="D49" s="65" t="s">
        <v>7</v>
      </c>
      <c r="E49" s="68">
        <v>1</v>
      </c>
      <c r="F49" s="69">
        <f>TRUNC(12.84,2)</f>
        <v>12.84</v>
      </c>
      <c r="G49" s="69">
        <f>TRUNC(E49*F49,2)</f>
        <v>12.84</v>
      </c>
      <c r="H49" s="69"/>
      <c r="I49" s="68"/>
    </row>
    <row r="50" spans="1:9" ht="18">
      <c r="A50" s="65"/>
      <c r="B50" s="66"/>
      <c r="C50" s="67"/>
      <c r="D50" s="65"/>
      <c r="E50" s="68" t="s">
        <v>23</v>
      </c>
      <c r="F50" s="69"/>
      <c r="G50" s="69">
        <f>TRUNC(SUM(G48:G49),2)</f>
        <v>71.09</v>
      </c>
      <c r="H50" s="69"/>
      <c r="I50" s="68"/>
    </row>
    <row r="51" spans="1:9" ht="36">
      <c r="A51" s="70" t="s">
        <v>105</v>
      </c>
      <c r="B51" s="71" t="s">
        <v>113</v>
      </c>
      <c r="C51" s="72" t="s">
        <v>114</v>
      </c>
      <c r="D51" s="70" t="s">
        <v>7</v>
      </c>
      <c r="E51" s="73">
        <v>77</v>
      </c>
      <c r="F51" s="73">
        <f>TRUNC(F52,2)</f>
        <v>36.6</v>
      </c>
      <c r="G51" s="74">
        <f>TRUNC(F51*1.2247,2)</f>
        <v>44.82</v>
      </c>
      <c r="H51" s="73">
        <f>TRUNC(F51*E51,2)</f>
        <v>2818.2</v>
      </c>
      <c r="I51" s="73">
        <f>TRUNC(E51*G51,2)</f>
        <v>3451.14</v>
      </c>
    </row>
    <row r="52" spans="1:9" ht="36">
      <c r="A52" s="65"/>
      <c r="B52" s="66" t="s">
        <v>113</v>
      </c>
      <c r="C52" s="67" t="s">
        <v>114</v>
      </c>
      <c r="D52" s="65" t="s">
        <v>7</v>
      </c>
      <c r="E52" s="68">
        <v>1</v>
      </c>
      <c r="F52" s="69">
        <f>G55</f>
        <v>36.6</v>
      </c>
      <c r="G52" s="69">
        <f>TRUNC(E52*F52,2)</f>
        <v>36.6</v>
      </c>
      <c r="H52" s="69"/>
      <c r="I52" s="68"/>
    </row>
    <row r="53" spans="1:9" ht="54">
      <c r="A53" s="65"/>
      <c r="B53" s="66" t="s">
        <v>115</v>
      </c>
      <c r="C53" s="67" t="s">
        <v>116</v>
      </c>
      <c r="D53" s="65" t="s">
        <v>7</v>
      </c>
      <c r="E53" s="68">
        <v>1</v>
      </c>
      <c r="F53" s="69">
        <f>TRUNC(23.76,2)</f>
        <v>23.76</v>
      </c>
      <c r="G53" s="69">
        <f>TRUNC(E53*F53,2)</f>
        <v>23.76</v>
      </c>
      <c r="H53" s="69"/>
      <c r="I53" s="68"/>
    </row>
    <row r="54" spans="1:9" ht="54">
      <c r="A54" s="65"/>
      <c r="B54" s="66" t="s">
        <v>91</v>
      </c>
      <c r="C54" s="67" t="s">
        <v>92</v>
      </c>
      <c r="D54" s="65" t="s">
        <v>7</v>
      </c>
      <c r="E54" s="68">
        <v>1</v>
      </c>
      <c r="F54" s="69">
        <f>TRUNC(12.84,2)</f>
        <v>12.84</v>
      </c>
      <c r="G54" s="69">
        <f>TRUNC(E54*F54,2)</f>
        <v>12.84</v>
      </c>
      <c r="H54" s="69"/>
      <c r="I54" s="68"/>
    </row>
    <row r="55" spans="1:9" ht="18">
      <c r="A55" s="65"/>
      <c r="B55" s="66"/>
      <c r="C55" s="67"/>
      <c r="D55" s="65"/>
      <c r="E55" s="68" t="s">
        <v>23</v>
      </c>
      <c r="F55" s="69"/>
      <c r="G55" s="69">
        <f>TRUNC(SUM(G53:G54),2)</f>
        <v>36.6</v>
      </c>
      <c r="H55" s="69"/>
      <c r="I55" s="68"/>
    </row>
    <row r="56" spans="1:9" ht="36">
      <c r="A56" s="70" t="s">
        <v>106</v>
      </c>
      <c r="B56" s="71" t="s">
        <v>117</v>
      </c>
      <c r="C56" s="72" t="s">
        <v>118</v>
      </c>
      <c r="D56" s="70" t="s">
        <v>7</v>
      </c>
      <c r="E56" s="73">
        <v>8</v>
      </c>
      <c r="F56" s="73">
        <f>F57</f>
        <v>38.729999999999997</v>
      </c>
      <c r="G56" s="74">
        <f>TRUNC(F56*1.2247,2)</f>
        <v>47.43</v>
      </c>
      <c r="H56" s="73">
        <f>TRUNC(F56*E56,2)</f>
        <v>309.83999999999997</v>
      </c>
      <c r="I56" s="73">
        <f>TRUNC(E56*G56,2)</f>
        <v>379.44</v>
      </c>
    </row>
    <row r="57" spans="1:9" ht="36">
      <c r="A57" s="65"/>
      <c r="B57" s="66" t="s">
        <v>117</v>
      </c>
      <c r="C57" s="67" t="s">
        <v>118</v>
      </c>
      <c r="D57" s="65" t="s">
        <v>7</v>
      </c>
      <c r="E57" s="68">
        <v>1</v>
      </c>
      <c r="F57" s="69">
        <f>G60</f>
        <v>38.729999999999997</v>
      </c>
      <c r="G57" s="69">
        <f>TRUNC(E57*F57,2)</f>
        <v>38.729999999999997</v>
      </c>
      <c r="H57" s="69"/>
      <c r="I57" s="68"/>
    </row>
    <row r="58" spans="1:9" ht="54">
      <c r="A58" s="65"/>
      <c r="B58" s="66" t="s">
        <v>119</v>
      </c>
      <c r="C58" s="67" t="s">
        <v>120</v>
      </c>
      <c r="D58" s="65" t="s">
        <v>7</v>
      </c>
      <c r="E58" s="68">
        <v>1</v>
      </c>
      <c r="F58" s="69">
        <f>TRUNC(25.89,2)</f>
        <v>25.89</v>
      </c>
      <c r="G58" s="69">
        <f>TRUNC(E58*F58,2)</f>
        <v>25.89</v>
      </c>
      <c r="H58" s="69"/>
      <c r="I58" s="68"/>
    </row>
    <row r="59" spans="1:9" ht="54">
      <c r="A59" s="65"/>
      <c r="B59" s="66" t="s">
        <v>91</v>
      </c>
      <c r="C59" s="67" t="s">
        <v>92</v>
      </c>
      <c r="D59" s="65" t="s">
        <v>7</v>
      </c>
      <c r="E59" s="68">
        <v>1</v>
      </c>
      <c r="F59" s="69">
        <f>TRUNC(12.84,2)</f>
        <v>12.84</v>
      </c>
      <c r="G59" s="69">
        <f>TRUNC(E59*F59,2)</f>
        <v>12.84</v>
      </c>
      <c r="H59" s="69"/>
      <c r="I59" s="68"/>
    </row>
    <row r="60" spans="1:9" ht="18">
      <c r="A60" s="65"/>
      <c r="B60" s="66"/>
      <c r="C60" s="67"/>
      <c r="D60" s="65"/>
      <c r="E60" s="68" t="s">
        <v>23</v>
      </c>
      <c r="F60" s="69"/>
      <c r="G60" s="69">
        <f>TRUNC(SUM(G58:G59),2)</f>
        <v>38.729999999999997</v>
      </c>
      <c r="H60" s="69"/>
      <c r="I60" s="68"/>
    </row>
    <row r="61" spans="1:9" ht="54">
      <c r="A61" s="70" t="s">
        <v>107</v>
      </c>
      <c r="B61" s="71" t="s">
        <v>244</v>
      </c>
      <c r="C61" s="72" t="s">
        <v>264</v>
      </c>
      <c r="D61" s="70" t="s">
        <v>7</v>
      </c>
      <c r="E61" s="73">
        <v>10</v>
      </c>
      <c r="F61" s="73">
        <f>F62</f>
        <v>56.69</v>
      </c>
      <c r="G61" s="74">
        <f>TRUNC(F61*1.2247,2)</f>
        <v>69.42</v>
      </c>
      <c r="H61" s="73">
        <f>TRUNC(F61*E61,2)</f>
        <v>566.9</v>
      </c>
      <c r="I61" s="73">
        <f>TRUNC(E61*G61,2)</f>
        <v>694.2</v>
      </c>
    </row>
    <row r="62" spans="1:9" ht="36">
      <c r="A62" s="65"/>
      <c r="B62" s="66" t="s">
        <v>244</v>
      </c>
      <c r="C62" s="67" t="s">
        <v>245</v>
      </c>
      <c r="D62" s="65" t="s">
        <v>7</v>
      </c>
      <c r="E62" s="68">
        <v>1</v>
      </c>
      <c r="F62" s="69">
        <f>TRUNC(56.69,2)</f>
        <v>56.69</v>
      </c>
      <c r="G62" s="69">
        <f>TRUNC(E62*F62,2)</f>
        <v>56.69</v>
      </c>
      <c r="H62" s="69"/>
      <c r="I62" s="68"/>
    </row>
    <row r="63" spans="1:9" ht="54">
      <c r="A63" s="65"/>
      <c r="B63" s="66" t="s">
        <v>246</v>
      </c>
      <c r="C63" s="67" t="s">
        <v>247</v>
      </c>
      <c r="D63" s="65" t="s">
        <v>7</v>
      </c>
      <c r="E63" s="68">
        <v>1</v>
      </c>
      <c r="F63" s="69">
        <f>TRUNC(43.85,2)</f>
        <v>43.85</v>
      </c>
      <c r="G63" s="69">
        <f>TRUNC(E63*F63,2)</f>
        <v>43.85</v>
      </c>
      <c r="H63" s="69"/>
      <c r="I63" s="68"/>
    </row>
    <row r="64" spans="1:9" ht="54">
      <c r="A64" s="65"/>
      <c r="B64" s="66" t="s">
        <v>91</v>
      </c>
      <c r="C64" s="67" t="s">
        <v>92</v>
      </c>
      <c r="D64" s="65" t="s">
        <v>7</v>
      </c>
      <c r="E64" s="68">
        <v>1</v>
      </c>
      <c r="F64" s="69">
        <f>TRUNC(12.84,2)</f>
        <v>12.84</v>
      </c>
      <c r="G64" s="69">
        <f>TRUNC(E64*F64,2)</f>
        <v>12.84</v>
      </c>
      <c r="H64" s="69"/>
      <c r="I64" s="68"/>
    </row>
    <row r="65" spans="1:9" ht="18">
      <c r="A65" s="65"/>
      <c r="B65" s="66"/>
      <c r="C65" s="67"/>
      <c r="D65" s="65"/>
      <c r="E65" s="68" t="s">
        <v>23</v>
      </c>
      <c r="F65" s="69"/>
      <c r="G65" s="69">
        <f>TRUNC(SUM(G63:G64),2)</f>
        <v>56.69</v>
      </c>
      <c r="H65" s="69"/>
      <c r="I65" s="68"/>
    </row>
    <row r="66" spans="1:9" ht="54">
      <c r="A66" s="70" t="s">
        <v>108</v>
      </c>
      <c r="B66" s="71" t="s">
        <v>244</v>
      </c>
      <c r="C66" s="72" t="s">
        <v>265</v>
      </c>
      <c r="D66" s="70" t="s">
        <v>7</v>
      </c>
      <c r="E66" s="73">
        <v>2</v>
      </c>
      <c r="F66" s="73">
        <f>TRUNC(F67,2)</f>
        <v>56.69</v>
      </c>
      <c r="G66" s="74">
        <f>TRUNC(F66*1.2247,2)</f>
        <v>69.42</v>
      </c>
      <c r="H66" s="73">
        <f>TRUNC(F66*E66,2)</f>
        <v>113.38</v>
      </c>
      <c r="I66" s="73">
        <f>TRUNC(E66*G66,2)</f>
        <v>138.84</v>
      </c>
    </row>
    <row r="67" spans="1:9" ht="36">
      <c r="A67" s="65"/>
      <c r="B67" s="66" t="s">
        <v>244</v>
      </c>
      <c r="C67" s="67" t="s">
        <v>245</v>
      </c>
      <c r="D67" s="65" t="s">
        <v>7</v>
      </c>
      <c r="E67" s="68">
        <v>1</v>
      </c>
      <c r="F67" s="69">
        <f>TRUNC(56.69,2)</f>
        <v>56.69</v>
      </c>
      <c r="G67" s="69">
        <f>TRUNC(E67*F67,2)</f>
        <v>56.69</v>
      </c>
      <c r="H67" s="69"/>
      <c r="I67" s="68"/>
    </row>
    <row r="68" spans="1:9" ht="54">
      <c r="A68" s="65"/>
      <c r="B68" s="66" t="s">
        <v>246</v>
      </c>
      <c r="C68" s="67" t="s">
        <v>247</v>
      </c>
      <c r="D68" s="65" t="s">
        <v>7</v>
      </c>
      <c r="E68" s="68">
        <v>1</v>
      </c>
      <c r="F68" s="69">
        <f>TRUNC(43.85,2)</f>
        <v>43.85</v>
      </c>
      <c r="G68" s="69">
        <f>TRUNC(E68*F68,2)</f>
        <v>43.85</v>
      </c>
      <c r="H68" s="69"/>
      <c r="I68" s="68"/>
    </row>
    <row r="69" spans="1:9" ht="54">
      <c r="A69" s="65"/>
      <c r="B69" s="66" t="s">
        <v>91</v>
      </c>
      <c r="C69" s="67" t="s">
        <v>92</v>
      </c>
      <c r="D69" s="65" t="s">
        <v>7</v>
      </c>
      <c r="E69" s="68">
        <v>1</v>
      </c>
      <c r="F69" s="69">
        <f>TRUNC(12.84,2)</f>
        <v>12.84</v>
      </c>
      <c r="G69" s="69">
        <f>TRUNC(E69*F69,2)</f>
        <v>12.84</v>
      </c>
      <c r="H69" s="69"/>
      <c r="I69" s="68"/>
    </row>
    <row r="70" spans="1:9" ht="18">
      <c r="A70" s="65"/>
      <c r="B70" s="66"/>
      <c r="C70" s="67"/>
      <c r="D70" s="65"/>
      <c r="E70" s="68" t="s">
        <v>23</v>
      </c>
      <c r="F70" s="69"/>
      <c r="G70" s="69">
        <f>TRUNC(SUM(G68:G69),2)</f>
        <v>56.69</v>
      </c>
      <c r="H70" s="69"/>
      <c r="I70" s="68"/>
    </row>
    <row r="71" spans="1:9" ht="36">
      <c r="A71" s="70" t="s">
        <v>109</v>
      </c>
      <c r="B71" s="71" t="s">
        <v>121</v>
      </c>
      <c r="C71" s="72" t="s">
        <v>122</v>
      </c>
      <c r="D71" s="70" t="s">
        <v>7</v>
      </c>
      <c r="E71" s="73">
        <v>13</v>
      </c>
      <c r="F71" s="73">
        <f>TRUNC(F72,2)</f>
        <v>13.17</v>
      </c>
      <c r="G71" s="74">
        <f>TRUNC(F71*1.2247,2)</f>
        <v>16.12</v>
      </c>
      <c r="H71" s="73">
        <f>TRUNC(F71*E71,2)</f>
        <v>171.21</v>
      </c>
      <c r="I71" s="73">
        <f>TRUNC(E71*G71,2)</f>
        <v>209.56</v>
      </c>
    </row>
    <row r="72" spans="1:9" ht="36">
      <c r="A72" s="65"/>
      <c r="B72" s="66" t="s">
        <v>121</v>
      </c>
      <c r="C72" s="67" t="s">
        <v>122</v>
      </c>
      <c r="D72" s="65" t="s">
        <v>7</v>
      </c>
      <c r="E72" s="68">
        <v>1</v>
      </c>
      <c r="F72" s="69">
        <f>G77</f>
        <v>13.17</v>
      </c>
      <c r="G72" s="69">
        <f>TRUNC(E72*F72,2)</f>
        <v>13.17</v>
      </c>
      <c r="H72" s="69"/>
      <c r="I72" s="68"/>
    </row>
    <row r="73" spans="1:9" ht="36">
      <c r="A73" s="65"/>
      <c r="B73" s="66" t="s">
        <v>123</v>
      </c>
      <c r="C73" s="67" t="s">
        <v>124</v>
      </c>
      <c r="D73" s="65" t="s">
        <v>7</v>
      </c>
      <c r="E73" s="68">
        <v>1</v>
      </c>
      <c r="F73" s="69">
        <f>TRUNC(7.46,2)</f>
        <v>7.46</v>
      </c>
      <c r="G73" s="69">
        <f>TRUNC(E73*F73,2)</f>
        <v>7.46</v>
      </c>
      <c r="H73" s="69"/>
      <c r="I73" s="68"/>
    </row>
    <row r="74" spans="1:9" ht="36">
      <c r="A74" s="65"/>
      <c r="B74" s="66" t="s">
        <v>125</v>
      </c>
      <c r="C74" s="67" t="s">
        <v>126</v>
      </c>
      <c r="D74" s="65" t="s">
        <v>7</v>
      </c>
      <c r="E74" s="68">
        <v>1</v>
      </c>
      <c r="F74" s="69">
        <f>TRUNC(1.3,2)</f>
        <v>1.3</v>
      </c>
      <c r="G74" s="69">
        <f>TRUNC(E74*F74,2)</f>
        <v>1.3</v>
      </c>
      <c r="H74" s="69"/>
      <c r="I74" s="68"/>
    </row>
    <row r="75" spans="1:9" ht="18">
      <c r="A75" s="65"/>
      <c r="B75" s="66" t="s">
        <v>55</v>
      </c>
      <c r="C75" s="67" t="s">
        <v>40</v>
      </c>
      <c r="D75" s="65" t="s">
        <v>31</v>
      </c>
      <c r="E75" s="68">
        <v>6.6299999999999998E-2</v>
      </c>
      <c r="F75" s="69">
        <f>TRUNC(36.91,2)</f>
        <v>36.909999999999997</v>
      </c>
      <c r="G75" s="69">
        <f>TRUNC(E75*F75,2)</f>
        <v>2.44</v>
      </c>
      <c r="H75" s="69"/>
      <c r="I75" s="68"/>
    </row>
    <row r="76" spans="1:9" ht="18">
      <c r="A76" s="65"/>
      <c r="B76" s="66" t="s">
        <v>56</v>
      </c>
      <c r="C76" s="67" t="s">
        <v>41</v>
      </c>
      <c r="D76" s="65" t="s">
        <v>31</v>
      </c>
      <c r="E76" s="68">
        <v>6.6299999999999998E-2</v>
      </c>
      <c r="F76" s="69">
        <f>TRUNC(29.85,2)</f>
        <v>29.85</v>
      </c>
      <c r="G76" s="69">
        <f>TRUNC(E76*F76,2)</f>
        <v>1.97</v>
      </c>
      <c r="H76" s="69"/>
      <c r="I76" s="68"/>
    </row>
    <row r="77" spans="1:9" ht="18">
      <c r="A77" s="65"/>
      <c r="B77" s="66"/>
      <c r="C77" s="67"/>
      <c r="D77" s="65"/>
      <c r="E77" s="68" t="s">
        <v>23</v>
      </c>
      <c r="F77" s="69"/>
      <c r="G77" s="69">
        <f>TRUNC(SUM(G73:G76),2)</f>
        <v>13.17</v>
      </c>
      <c r="H77" s="69"/>
      <c r="I77" s="68"/>
    </row>
    <row r="78" spans="1:9" ht="36">
      <c r="A78" s="70" t="s">
        <v>110</v>
      </c>
      <c r="B78" s="71" t="s">
        <v>127</v>
      </c>
      <c r="C78" s="72" t="s">
        <v>128</v>
      </c>
      <c r="D78" s="70" t="s">
        <v>7</v>
      </c>
      <c r="E78" s="73">
        <v>4</v>
      </c>
      <c r="F78" s="73">
        <f>TRUNC(F79,2)</f>
        <v>15.08</v>
      </c>
      <c r="G78" s="74">
        <f>TRUNC(F78*1.2247,2)</f>
        <v>18.46</v>
      </c>
      <c r="H78" s="73">
        <f>TRUNC(F78*E78,2)</f>
        <v>60.32</v>
      </c>
      <c r="I78" s="73">
        <f>TRUNC(E78*G78,2)</f>
        <v>73.84</v>
      </c>
    </row>
    <row r="79" spans="1:9" ht="36">
      <c r="A79" s="65"/>
      <c r="B79" s="66" t="s">
        <v>127</v>
      </c>
      <c r="C79" s="67" t="s">
        <v>128</v>
      </c>
      <c r="D79" s="65" t="s">
        <v>7</v>
      </c>
      <c r="E79" s="68">
        <v>1</v>
      </c>
      <c r="F79" s="69">
        <f>G84</f>
        <v>15.08</v>
      </c>
      <c r="G79" s="69">
        <f>TRUNC(E79*F79,2)</f>
        <v>15.08</v>
      </c>
      <c r="H79" s="69"/>
      <c r="I79" s="68"/>
    </row>
    <row r="80" spans="1:9" ht="36">
      <c r="A80" s="65"/>
      <c r="B80" s="66" t="s">
        <v>123</v>
      </c>
      <c r="C80" s="67" t="s">
        <v>124</v>
      </c>
      <c r="D80" s="65" t="s">
        <v>7</v>
      </c>
      <c r="E80" s="68">
        <v>1</v>
      </c>
      <c r="F80" s="69">
        <f>TRUNC(7.46,2)</f>
        <v>7.46</v>
      </c>
      <c r="G80" s="69">
        <f>TRUNC(E80*F80,2)</f>
        <v>7.46</v>
      </c>
      <c r="H80" s="69"/>
      <c r="I80" s="68"/>
    </row>
    <row r="81" spans="1:9" ht="36">
      <c r="A81" s="65"/>
      <c r="B81" s="66" t="s">
        <v>129</v>
      </c>
      <c r="C81" s="67" t="s">
        <v>130</v>
      </c>
      <c r="D81" s="65" t="s">
        <v>7</v>
      </c>
      <c r="E81" s="68">
        <v>1</v>
      </c>
      <c r="F81" s="69">
        <f>TRUNC(1.55,2)</f>
        <v>1.55</v>
      </c>
      <c r="G81" s="69">
        <f>TRUNC(E81*F81,2)</f>
        <v>1.55</v>
      </c>
      <c r="H81" s="69"/>
      <c r="I81" s="68"/>
    </row>
    <row r="82" spans="1:9" ht="18">
      <c r="A82" s="65"/>
      <c r="B82" s="66" t="s">
        <v>55</v>
      </c>
      <c r="C82" s="67" t="s">
        <v>40</v>
      </c>
      <c r="D82" s="65" t="s">
        <v>31</v>
      </c>
      <c r="E82" s="68">
        <v>9.11E-2</v>
      </c>
      <c r="F82" s="69">
        <f>TRUNC(36.91,2)</f>
        <v>36.909999999999997</v>
      </c>
      <c r="G82" s="69">
        <f>TRUNC(E82*F82,2)</f>
        <v>3.36</v>
      </c>
      <c r="H82" s="69"/>
      <c r="I82" s="68"/>
    </row>
    <row r="83" spans="1:9" ht="18">
      <c r="A83" s="65"/>
      <c r="B83" s="66" t="s">
        <v>56</v>
      </c>
      <c r="C83" s="67" t="s">
        <v>41</v>
      </c>
      <c r="D83" s="65" t="s">
        <v>31</v>
      </c>
      <c r="E83" s="68">
        <v>9.11E-2</v>
      </c>
      <c r="F83" s="69">
        <f>TRUNC(29.85,2)</f>
        <v>29.85</v>
      </c>
      <c r="G83" s="69">
        <f>TRUNC(E83*F83,2)</f>
        <v>2.71</v>
      </c>
      <c r="H83" s="69"/>
      <c r="I83" s="68"/>
    </row>
    <row r="84" spans="1:9" ht="18">
      <c r="A84" s="65"/>
      <c r="B84" s="66"/>
      <c r="C84" s="67"/>
      <c r="D84" s="65"/>
      <c r="E84" s="68" t="s">
        <v>23</v>
      </c>
      <c r="F84" s="69"/>
      <c r="G84" s="69">
        <f>TRUNC(SUM(G80:G83),2)</f>
        <v>15.08</v>
      </c>
      <c r="H84" s="69"/>
      <c r="I84" s="68"/>
    </row>
    <row r="85" spans="1:9" ht="36">
      <c r="A85" s="70" t="s">
        <v>111</v>
      </c>
      <c r="B85" s="71" t="s">
        <v>131</v>
      </c>
      <c r="C85" s="72" t="s">
        <v>132</v>
      </c>
      <c r="D85" s="70" t="s">
        <v>7</v>
      </c>
      <c r="E85" s="73">
        <v>4</v>
      </c>
      <c r="F85" s="73">
        <f>TRUNC(F86,2)</f>
        <v>51.1</v>
      </c>
      <c r="G85" s="74">
        <f>TRUNC(F85*1.2247,2)</f>
        <v>62.58</v>
      </c>
      <c r="H85" s="73">
        <f>TRUNC(F85*E85,2)</f>
        <v>204.4</v>
      </c>
      <c r="I85" s="73">
        <f>TRUNC(E85*G85,2)</f>
        <v>250.32</v>
      </c>
    </row>
    <row r="86" spans="1:9" ht="36">
      <c r="A86" s="65"/>
      <c r="B86" s="66" t="s">
        <v>131</v>
      </c>
      <c r="C86" s="67" t="s">
        <v>132</v>
      </c>
      <c r="D86" s="65" t="s">
        <v>7</v>
      </c>
      <c r="E86" s="68">
        <v>1</v>
      </c>
      <c r="F86" s="69">
        <f>G91</f>
        <v>51.1</v>
      </c>
      <c r="G86" s="69">
        <f>TRUNC(E86*F86,2)</f>
        <v>51.1</v>
      </c>
      <c r="H86" s="69"/>
      <c r="I86" s="68"/>
    </row>
    <row r="87" spans="1:9" ht="36">
      <c r="A87" s="65"/>
      <c r="B87" s="66" t="s">
        <v>133</v>
      </c>
      <c r="C87" s="67" t="s">
        <v>134</v>
      </c>
      <c r="D87" s="65" t="s">
        <v>7</v>
      </c>
      <c r="E87" s="68">
        <v>1</v>
      </c>
      <c r="F87" s="69">
        <f>TRUNC(42.75,2)</f>
        <v>42.75</v>
      </c>
      <c r="G87" s="69">
        <f>TRUNC(E87*F87,2)</f>
        <v>42.75</v>
      </c>
      <c r="H87" s="69"/>
      <c r="I87" s="68"/>
    </row>
    <row r="88" spans="1:9" ht="54">
      <c r="A88" s="65"/>
      <c r="B88" s="66" t="s">
        <v>135</v>
      </c>
      <c r="C88" s="67" t="s">
        <v>136</v>
      </c>
      <c r="D88" s="65" t="s">
        <v>7</v>
      </c>
      <c r="E88" s="68">
        <v>2</v>
      </c>
      <c r="F88" s="69">
        <f>TRUNC(1,2)</f>
        <v>1</v>
      </c>
      <c r="G88" s="69">
        <f>TRUNC(E88*F88,2)</f>
        <v>2</v>
      </c>
      <c r="H88" s="69"/>
      <c r="I88" s="68"/>
    </row>
    <row r="89" spans="1:9" ht="18">
      <c r="A89" s="65"/>
      <c r="B89" s="66" t="s">
        <v>55</v>
      </c>
      <c r="C89" s="67" t="s">
        <v>40</v>
      </c>
      <c r="D89" s="65" t="s">
        <v>31</v>
      </c>
      <c r="E89" s="68">
        <v>9.5200000000000007E-2</v>
      </c>
      <c r="F89" s="69">
        <f>TRUNC(36.91,2)</f>
        <v>36.909999999999997</v>
      </c>
      <c r="G89" s="69">
        <f>TRUNC(E89*F89,2)</f>
        <v>3.51</v>
      </c>
      <c r="H89" s="69"/>
      <c r="I89" s="68"/>
    </row>
    <row r="90" spans="1:9" ht="18">
      <c r="A90" s="65"/>
      <c r="B90" s="66" t="s">
        <v>56</v>
      </c>
      <c r="C90" s="67" t="s">
        <v>41</v>
      </c>
      <c r="D90" s="65" t="s">
        <v>31</v>
      </c>
      <c r="E90" s="68">
        <v>9.5200000000000007E-2</v>
      </c>
      <c r="F90" s="69">
        <f>TRUNC(29.85,2)</f>
        <v>29.85</v>
      </c>
      <c r="G90" s="69">
        <f>TRUNC(E90*F90,2)</f>
        <v>2.84</v>
      </c>
      <c r="H90" s="69"/>
      <c r="I90" s="68"/>
    </row>
    <row r="91" spans="1:9" ht="18">
      <c r="A91" s="65"/>
      <c r="B91" s="66"/>
      <c r="C91" s="67"/>
      <c r="D91" s="65"/>
      <c r="E91" s="68" t="s">
        <v>23</v>
      </c>
      <c r="F91" s="69"/>
      <c r="G91" s="69">
        <f>TRUNC(SUM(G87:G90),2)</f>
        <v>51.1</v>
      </c>
      <c r="H91" s="69"/>
      <c r="I91" s="68"/>
    </row>
    <row r="92" spans="1:9" ht="36">
      <c r="A92" s="70" t="s">
        <v>112</v>
      </c>
      <c r="B92" s="71" t="s">
        <v>137</v>
      </c>
      <c r="C92" s="72" t="s">
        <v>138</v>
      </c>
      <c r="D92" s="70" t="s">
        <v>7</v>
      </c>
      <c r="E92" s="73">
        <v>6</v>
      </c>
      <c r="F92" s="73">
        <f>TRUNC(F93,2)</f>
        <v>54.19</v>
      </c>
      <c r="G92" s="74">
        <f>TRUNC(F92*1.2247,2)</f>
        <v>66.36</v>
      </c>
      <c r="H92" s="73">
        <f>TRUNC(F92*E92,2)</f>
        <v>325.14</v>
      </c>
      <c r="I92" s="73">
        <f>TRUNC(E92*G92,2)</f>
        <v>398.16</v>
      </c>
    </row>
    <row r="93" spans="1:9" ht="36">
      <c r="A93" s="65"/>
      <c r="B93" s="66" t="s">
        <v>137</v>
      </c>
      <c r="C93" s="67" t="s">
        <v>138</v>
      </c>
      <c r="D93" s="65" t="s">
        <v>7</v>
      </c>
      <c r="E93" s="68">
        <v>1</v>
      </c>
      <c r="F93" s="69">
        <f>G98</f>
        <v>54.19</v>
      </c>
      <c r="G93" s="69">
        <f>TRUNC(E93*F93,2)</f>
        <v>54.19</v>
      </c>
      <c r="H93" s="69"/>
      <c r="I93" s="68"/>
    </row>
    <row r="94" spans="1:9" ht="36">
      <c r="A94" s="65"/>
      <c r="B94" s="66" t="s">
        <v>133</v>
      </c>
      <c r="C94" s="67" t="s">
        <v>134</v>
      </c>
      <c r="D94" s="65" t="s">
        <v>7</v>
      </c>
      <c r="E94" s="68">
        <v>1</v>
      </c>
      <c r="F94" s="69">
        <f>TRUNC(42.75,2)</f>
        <v>42.75</v>
      </c>
      <c r="G94" s="69">
        <f>TRUNC(E94*F94,2)</f>
        <v>42.75</v>
      </c>
      <c r="H94" s="69"/>
      <c r="I94" s="68"/>
    </row>
    <row r="95" spans="1:9" ht="36">
      <c r="A95" s="65"/>
      <c r="B95" s="66" t="s">
        <v>125</v>
      </c>
      <c r="C95" s="67" t="s">
        <v>126</v>
      </c>
      <c r="D95" s="65" t="s">
        <v>7</v>
      </c>
      <c r="E95" s="68">
        <v>2</v>
      </c>
      <c r="F95" s="69">
        <f>TRUNC(1.3,2)</f>
        <v>1.3</v>
      </c>
      <c r="G95" s="69">
        <f>TRUNC(E95*F95,2)</f>
        <v>2.6</v>
      </c>
      <c r="H95" s="69"/>
      <c r="I95" s="68"/>
    </row>
    <row r="96" spans="1:9" ht="18">
      <c r="A96" s="65"/>
      <c r="B96" s="66" t="s">
        <v>55</v>
      </c>
      <c r="C96" s="67" t="s">
        <v>40</v>
      </c>
      <c r="D96" s="65" t="s">
        <v>31</v>
      </c>
      <c r="E96" s="68">
        <v>0.13250000000000001</v>
      </c>
      <c r="F96" s="69">
        <f>TRUNC(36.91,2)</f>
        <v>36.909999999999997</v>
      </c>
      <c r="G96" s="69">
        <f>TRUNC(E96*F96,2)</f>
        <v>4.8899999999999997</v>
      </c>
      <c r="H96" s="69"/>
      <c r="I96" s="68"/>
    </row>
    <row r="97" spans="1:9" ht="18">
      <c r="A97" s="65"/>
      <c r="B97" s="66" t="s">
        <v>56</v>
      </c>
      <c r="C97" s="67" t="s">
        <v>41</v>
      </c>
      <c r="D97" s="65" t="s">
        <v>31</v>
      </c>
      <c r="E97" s="68">
        <v>0.13250000000000001</v>
      </c>
      <c r="F97" s="69">
        <f>TRUNC(29.85,2)</f>
        <v>29.85</v>
      </c>
      <c r="G97" s="69">
        <f>TRUNC(E97*F97,2)</f>
        <v>3.95</v>
      </c>
      <c r="H97" s="69"/>
      <c r="I97" s="68"/>
    </row>
    <row r="98" spans="1:9" ht="18">
      <c r="A98" s="65"/>
      <c r="B98" s="66"/>
      <c r="C98" s="67"/>
      <c r="D98" s="65"/>
      <c r="E98" s="68" t="s">
        <v>23</v>
      </c>
      <c r="F98" s="69"/>
      <c r="G98" s="69">
        <f>TRUNC(SUM(G94:G97),2)</f>
        <v>54.19</v>
      </c>
      <c r="H98" s="69"/>
      <c r="I98" s="68"/>
    </row>
    <row r="99" spans="1:9" ht="36">
      <c r="A99" s="70" t="s">
        <v>141</v>
      </c>
      <c r="B99" s="71" t="s">
        <v>139</v>
      </c>
      <c r="C99" s="72" t="s">
        <v>140</v>
      </c>
      <c r="D99" s="70" t="s">
        <v>7</v>
      </c>
      <c r="E99" s="73">
        <v>2</v>
      </c>
      <c r="F99" s="73">
        <f>TRUNC(F100,2)</f>
        <v>58.01</v>
      </c>
      <c r="G99" s="74">
        <f>TRUNC(F99*1.2247,2)</f>
        <v>71.040000000000006</v>
      </c>
      <c r="H99" s="73">
        <f>TRUNC(F99*E99,2)</f>
        <v>116.02</v>
      </c>
      <c r="I99" s="73">
        <f>TRUNC(E99*G99,2)</f>
        <v>142.08000000000001</v>
      </c>
    </row>
    <row r="100" spans="1:9" ht="36">
      <c r="A100" s="65"/>
      <c r="B100" s="66" t="s">
        <v>139</v>
      </c>
      <c r="C100" s="67" t="s">
        <v>140</v>
      </c>
      <c r="D100" s="65" t="s">
        <v>7</v>
      </c>
      <c r="E100" s="68">
        <v>1</v>
      </c>
      <c r="F100" s="69">
        <f>G105</f>
        <v>58.01</v>
      </c>
      <c r="G100" s="69">
        <f>TRUNC(E100*F100,2)</f>
        <v>58.01</v>
      </c>
      <c r="H100" s="69"/>
      <c r="I100" s="68"/>
    </row>
    <row r="101" spans="1:9" ht="36">
      <c r="A101" s="65"/>
      <c r="B101" s="66" t="s">
        <v>133</v>
      </c>
      <c r="C101" s="67" t="s">
        <v>134</v>
      </c>
      <c r="D101" s="65" t="s">
        <v>7</v>
      </c>
      <c r="E101" s="68">
        <v>1</v>
      </c>
      <c r="F101" s="69">
        <f>TRUNC(42.75,2)</f>
        <v>42.75</v>
      </c>
      <c r="G101" s="69">
        <f>TRUNC(E101*F101,2)</f>
        <v>42.75</v>
      </c>
      <c r="H101" s="69"/>
      <c r="I101" s="68"/>
    </row>
    <row r="102" spans="1:9" ht="36">
      <c r="A102" s="65"/>
      <c r="B102" s="66" t="s">
        <v>129</v>
      </c>
      <c r="C102" s="67" t="s">
        <v>130</v>
      </c>
      <c r="D102" s="65" t="s">
        <v>7</v>
      </c>
      <c r="E102" s="68">
        <v>2</v>
      </c>
      <c r="F102" s="69">
        <f>TRUNC(1.55,2)</f>
        <v>1.55</v>
      </c>
      <c r="G102" s="69">
        <f>TRUNC(E102*F102,2)</f>
        <v>3.1</v>
      </c>
      <c r="H102" s="69"/>
      <c r="I102" s="68"/>
    </row>
    <row r="103" spans="1:9" ht="18">
      <c r="A103" s="65"/>
      <c r="B103" s="66" t="s">
        <v>55</v>
      </c>
      <c r="C103" s="67" t="s">
        <v>40</v>
      </c>
      <c r="D103" s="65" t="s">
        <v>31</v>
      </c>
      <c r="E103" s="68">
        <v>0.18229999999999999</v>
      </c>
      <c r="F103" s="69">
        <f>TRUNC(36.91,2)</f>
        <v>36.909999999999997</v>
      </c>
      <c r="G103" s="69">
        <f>TRUNC(E103*F103,2)</f>
        <v>6.72</v>
      </c>
      <c r="H103" s="69"/>
      <c r="I103" s="68"/>
    </row>
    <row r="104" spans="1:9" ht="18">
      <c r="A104" s="65"/>
      <c r="B104" s="66" t="s">
        <v>56</v>
      </c>
      <c r="C104" s="67" t="s">
        <v>41</v>
      </c>
      <c r="D104" s="65" t="s">
        <v>31</v>
      </c>
      <c r="E104" s="68">
        <v>0.18229999999999999</v>
      </c>
      <c r="F104" s="69">
        <f>TRUNC(29.85,2)</f>
        <v>29.85</v>
      </c>
      <c r="G104" s="69">
        <f>TRUNC(E104*F104,2)</f>
        <v>5.44</v>
      </c>
      <c r="H104" s="69"/>
      <c r="I104" s="68"/>
    </row>
    <row r="105" spans="1:9" ht="18">
      <c r="A105" s="65"/>
      <c r="B105" s="66"/>
      <c r="C105" s="67"/>
      <c r="D105" s="65"/>
      <c r="E105" s="68" t="s">
        <v>23</v>
      </c>
      <c r="F105" s="69"/>
      <c r="G105" s="69">
        <f>TRUNC(SUM(G101:G104),2)</f>
        <v>58.01</v>
      </c>
      <c r="H105" s="69"/>
      <c r="I105" s="68"/>
    </row>
    <row r="106" spans="1:9" ht="36">
      <c r="A106" s="70" t="s">
        <v>142</v>
      </c>
      <c r="B106" s="71" t="s">
        <v>149</v>
      </c>
      <c r="C106" s="72" t="s">
        <v>150</v>
      </c>
      <c r="D106" s="70" t="s">
        <v>7</v>
      </c>
      <c r="E106" s="73">
        <v>4</v>
      </c>
      <c r="F106" s="73">
        <f>F107</f>
        <v>52.63</v>
      </c>
      <c r="G106" s="74">
        <f>TRUNC(F106*1.2247,2)</f>
        <v>64.45</v>
      </c>
      <c r="H106" s="73">
        <f>TRUNC(F106*E106,2)</f>
        <v>210.52</v>
      </c>
      <c r="I106" s="73">
        <f>TRUNC(E106*G106,2)</f>
        <v>257.8</v>
      </c>
    </row>
    <row r="107" spans="1:9" ht="36">
      <c r="A107" s="65"/>
      <c r="B107" s="66" t="s">
        <v>149</v>
      </c>
      <c r="C107" s="67" t="s">
        <v>150</v>
      </c>
      <c r="D107" s="65" t="s">
        <v>7</v>
      </c>
      <c r="E107" s="68">
        <v>1</v>
      </c>
      <c r="F107" s="69">
        <f>TRUNC(52.63627,2)</f>
        <v>52.63</v>
      </c>
      <c r="G107" s="69">
        <f>TRUNC(E107*F107,2)</f>
        <v>52.63</v>
      </c>
      <c r="H107" s="69"/>
      <c r="I107" s="68"/>
    </row>
    <row r="108" spans="1:9" ht="18">
      <c r="A108" s="65"/>
      <c r="B108" s="66" t="s">
        <v>151</v>
      </c>
      <c r="C108" s="67" t="s">
        <v>152</v>
      </c>
      <c r="D108" s="65" t="s">
        <v>7</v>
      </c>
      <c r="E108" s="68">
        <v>1</v>
      </c>
      <c r="F108" s="69">
        <f>TRUNC(45.52,2)</f>
        <v>45.52</v>
      </c>
      <c r="G108" s="69">
        <f>TRUNC(E108*F108,2)</f>
        <v>45.52</v>
      </c>
      <c r="H108" s="69"/>
      <c r="I108" s="68"/>
    </row>
    <row r="109" spans="1:9" ht="36">
      <c r="A109" s="65"/>
      <c r="B109" s="66" t="s">
        <v>51</v>
      </c>
      <c r="C109" s="67" t="s">
        <v>52</v>
      </c>
      <c r="D109" s="65" t="s">
        <v>31</v>
      </c>
      <c r="E109" s="68">
        <v>0.1545</v>
      </c>
      <c r="F109" s="69">
        <f>TRUNC(19.33,2)</f>
        <v>19.329999999999998</v>
      </c>
      <c r="G109" s="69">
        <f>TRUNC(E109*F109,2)</f>
        <v>2.98</v>
      </c>
      <c r="H109" s="69"/>
      <c r="I109" s="68"/>
    </row>
    <row r="110" spans="1:9" ht="36">
      <c r="A110" s="65"/>
      <c r="B110" s="66" t="s">
        <v>53</v>
      </c>
      <c r="C110" s="67" t="s">
        <v>54</v>
      </c>
      <c r="D110" s="65" t="s">
        <v>31</v>
      </c>
      <c r="E110" s="68">
        <v>0.1545</v>
      </c>
      <c r="F110" s="69">
        <f>TRUNC(26.73,2)</f>
        <v>26.73</v>
      </c>
      <c r="G110" s="69">
        <f>TRUNC(E110*F110,2)</f>
        <v>4.12</v>
      </c>
      <c r="H110" s="69"/>
      <c r="I110" s="68"/>
    </row>
    <row r="111" spans="1:9" ht="18">
      <c r="A111" s="65"/>
      <c r="B111" s="66"/>
      <c r="C111" s="67"/>
      <c r="D111" s="65"/>
      <c r="E111" s="68" t="s">
        <v>23</v>
      </c>
      <c r="F111" s="69"/>
      <c r="G111" s="69">
        <f>TRUNC(SUM(G108:G110),2)</f>
        <v>52.62</v>
      </c>
      <c r="H111" s="69"/>
      <c r="I111" s="68"/>
    </row>
    <row r="112" spans="1:9" ht="54">
      <c r="A112" s="70" t="s">
        <v>143</v>
      </c>
      <c r="B112" s="71" t="s">
        <v>153</v>
      </c>
      <c r="C112" s="72" t="s">
        <v>154</v>
      </c>
      <c r="D112" s="70" t="s">
        <v>7</v>
      </c>
      <c r="E112" s="73">
        <v>2</v>
      </c>
      <c r="F112" s="73">
        <f>F113</f>
        <v>359.25</v>
      </c>
      <c r="G112" s="74">
        <f>TRUNC(F112*1.2247,2)</f>
        <v>439.97</v>
      </c>
      <c r="H112" s="73">
        <f>TRUNC(F112*E112,2)</f>
        <v>718.5</v>
      </c>
      <c r="I112" s="73">
        <f>TRUNC(E112*G112,2)</f>
        <v>879.94</v>
      </c>
    </row>
    <row r="113" spans="1:9" ht="54">
      <c r="A113" s="65"/>
      <c r="B113" s="66" t="s">
        <v>153</v>
      </c>
      <c r="C113" s="67" t="s">
        <v>154</v>
      </c>
      <c r="D113" s="65" t="s">
        <v>7</v>
      </c>
      <c r="E113" s="68">
        <v>1</v>
      </c>
      <c r="F113" s="69">
        <f>TRUNC(359.25627,2)</f>
        <v>359.25</v>
      </c>
      <c r="G113" s="69">
        <f>TRUNC(E113*F113,2)</f>
        <v>359.25</v>
      </c>
      <c r="H113" s="69"/>
      <c r="I113" s="68"/>
    </row>
    <row r="114" spans="1:9" ht="36">
      <c r="A114" s="65"/>
      <c r="B114" s="66" t="s">
        <v>155</v>
      </c>
      <c r="C114" s="67" t="s">
        <v>156</v>
      </c>
      <c r="D114" s="65" t="s">
        <v>7</v>
      </c>
      <c r="E114" s="68">
        <v>1</v>
      </c>
      <c r="F114" s="69">
        <f>TRUNC(352.14,2)</f>
        <v>352.14</v>
      </c>
      <c r="G114" s="69">
        <f>TRUNC(E114*F114,2)</f>
        <v>352.14</v>
      </c>
      <c r="H114" s="69"/>
      <c r="I114" s="68"/>
    </row>
    <row r="115" spans="1:9" ht="36">
      <c r="A115" s="65"/>
      <c r="B115" s="66" t="s">
        <v>51</v>
      </c>
      <c r="C115" s="67" t="s">
        <v>52</v>
      </c>
      <c r="D115" s="65" t="s">
        <v>31</v>
      </c>
      <c r="E115" s="68">
        <v>0.1545</v>
      </c>
      <c r="F115" s="69">
        <f>TRUNC(19.33,2)</f>
        <v>19.329999999999998</v>
      </c>
      <c r="G115" s="69">
        <f>TRUNC(E115*F115,2)</f>
        <v>2.98</v>
      </c>
      <c r="H115" s="69"/>
      <c r="I115" s="68"/>
    </row>
    <row r="116" spans="1:9" ht="36">
      <c r="A116" s="65"/>
      <c r="B116" s="66" t="s">
        <v>53</v>
      </c>
      <c r="C116" s="67" t="s">
        <v>54</v>
      </c>
      <c r="D116" s="65" t="s">
        <v>31</v>
      </c>
      <c r="E116" s="68">
        <v>0.1545</v>
      </c>
      <c r="F116" s="69">
        <f>TRUNC(26.73,2)</f>
        <v>26.73</v>
      </c>
      <c r="G116" s="69">
        <f>TRUNC(E116*F116,2)</f>
        <v>4.12</v>
      </c>
      <c r="H116" s="69"/>
      <c r="I116" s="68"/>
    </row>
    <row r="117" spans="1:9" ht="18">
      <c r="A117" s="65"/>
      <c r="B117" s="66"/>
      <c r="C117" s="67"/>
      <c r="D117" s="65"/>
      <c r="E117" s="68" t="s">
        <v>23</v>
      </c>
      <c r="F117" s="69"/>
      <c r="G117" s="69">
        <f>TRUNC(SUM(G114:G116),2)</f>
        <v>359.24</v>
      </c>
      <c r="H117" s="69"/>
      <c r="I117" s="68"/>
    </row>
    <row r="118" spans="1:9" ht="72">
      <c r="A118" s="70" t="s">
        <v>144</v>
      </c>
      <c r="B118" s="71" t="s">
        <v>266</v>
      </c>
      <c r="C118" s="72" t="s">
        <v>267</v>
      </c>
      <c r="D118" s="70" t="s">
        <v>7</v>
      </c>
      <c r="E118" s="73">
        <v>2</v>
      </c>
      <c r="F118" s="73">
        <f>TRUNC(F119,2)</f>
        <v>127.41</v>
      </c>
      <c r="G118" s="74">
        <f>TRUNC(F118*1.2247,2)</f>
        <v>156.03</v>
      </c>
      <c r="H118" s="73">
        <f>TRUNC(F118*E118,2)</f>
        <v>254.82</v>
      </c>
      <c r="I118" s="73">
        <f>TRUNC(E118*G118,2)</f>
        <v>312.06</v>
      </c>
    </row>
    <row r="119" spans="1:9" ht="72">
      <c r="A119" s="65"/>
      <c r="B119" s="66" t="s">
        <v>266</v>
      </c>
      <c r="C119" s="67" t="s">
        <v>267</v>
      </c>
      <c r="D119" s="65" t="s">
        <v>7</v>
      </c>
      <c r="E119" s="68">
        <v>1</v>
      </c>
      <c r="F119" s="69">
        <f>G123</f>
        <v>127.41</v>
      </c>
      <c r="G119" s="69">
        <f>TRUNC(E119*F119,2)</f>
        <v>127.41</v>
      </c>
      <c r="H119" s="69"/>
      <c r="I119" s="68"/>
    </row>
    <row r="120" spans="1:9" ht="54">
      <c r="A120" s="65"/>
      <c r="B120" s="66" t="s">
        <v>268</v>
      </c>
      <c r="C120" s="67" t="s">
        <v>269</v>
      </c>
      <c r="D120" s="65" t="s">
        <v>7</v>
      </c>
      <c r="E120" s="68">
        <v>1</v>
      </c>
      <c r="F120" s="69">
        <f>TRUNC(119.71,2)</f>
        <v>119.71</v>
      </c>
      <c r="G120" s="69">
        <f>TRUNC(E120*F120,2)</f>
        <v>119.71</v>
      </c>
      <c r="H120" s="69"/>
      <c r="I120" s="68"/>
    </row>
    <row r="121" spans="1:9" ht="36">
      <c r="A121" s="65"/>
      <c r="B121" s="66" t="s">
        <v>51</v>
      </c>
      <c r="C121" s="67" t="s">
        <v>52</v>
      </c>
      <c r="D121" s="65" t="s">
        <v>31</v>
      </c>
      <c r="E121" s="68">
        <v>0.16737500000000002</v>
      </c>
      <c r="F121" s="69">
        <f>TRUNC(19.33,2)</f>
        <v>19.329999999999998</v>
      </c>
      <c r="G121" s="69">
        <f>TRUNC(E121*F121,2)</f>
        <v>3.23</v>
      </c>
      <c r="H121" s="69"/>
      <c r="I121" s="68"/>
    </row>
    <row r="122" spans="1:9" ht="36">
      <c r="A122" s="65"/>
      <c r="B122" s="66" t="s">
        <v>53</v>
      </c>
      <c r="C122" s="67" t="s">
        <v>54</v>
      </c>
      <c r="D122" s="65" t="s">
        <v>31</v>
      </c>
      <c r="E122" s="68">
        <v>0.16737500000000002</v>
      </c>
      <c r="F122" s="69">
        <f>TRUNC(26.73,2)</f>
        <v>26.73</v>
      </c>
      <c r="G122" s="69">
        <f>TRUNC(E122*F122,2)</f>
        <v>4.47</v>
      </c>
      <c r="H122" s="69"/>
      <c r="I122" s="68"/>
    </row>
    <row r="123" spans="1:9" ht="18">
      <c r="A123" s="65"/>
      <c r="B123" s="66"/>
      <c r="C123" s="67"/>
      <c r="D123" s="65"/>
      <c r="E123" s="68" t="s">
        <v>23</v>
      </c>
      <c r="F123" s="69"/>
      <c r="G123" s="69">
        <f>TRUNC(SUM(G120:G122),2)</f>
        <v>127.41</v>
      </c>
      <c r="H123" s="69"/>
      <c r="I123" s="68"/>
    </row>
    <row r="124" spans="1:9" ht="72">
      <c r="A124" s="70" t="s">
        <v>145</v>
      </c>
      <c r="B124" s="71" t="s">
        <v>157</v>
      </c>
      <c r="C124" s="72" t="s">
        <v>158</v>
      </c>
      <c r="D124" s="70" t="s">
        <v>7</v>
      </c>
      <c r="E124" s="73">
        <v>2</v>
      </c>
      <c r="F124" s="73">
        <f>TRUNC(F125,2)</f>
        <v>61.44</v>
      </c>
      <c r="G124" s="74">
        <f>TRUNC(F124*1.2247,2)</f>
        <v>75.239999999999995</v>
      </c>
      <c r="H124" s="73">
        <f>TRUNC(F124*E124,2)</f>
        <v>122.88</v>
      </c>
      <c r="I124" s="73">
        <f>TRUNC(E124*G124,2)</f>
        <v>150.47999999999999</v>
      </c>
    </row>
    <row r="125" spans="1:9" ht="72">
      <c r="A125" s="65"/>
      <c r="B125" s="66" t="s">
        <v>157</v>
      </c>
      <c r="C125" s="67" t="s">
        <v>158</v>
      </c>
      <c r="D125" s="65" t="s">
        <v>7</v>
      </c>
      <c r="E125" s="68">
        <v>1</v>
      </c>
      <c r="F125" s="69">
        <f>G129</f>
        <v>61.44</v>
      </c>
      <c r="G125" s="69">
        <f>TRUNC(E125*F125,2)</f>
        <v>61.44</v>
      </c>
      <c r="H125" s="69"/>
      <c r="I125" s="68"/>
    </row>
    <row r="126" spans="1:9" ht="54">
      <c r="A126" s="65"/>
      <c r="B126" s="66" t="s">
        <v>159</v>
      </c>
      <c r="C126" s="67" t="s">
        <v>160</v>
      </c>
      <c r="D126" s="65" t="s">
        <v>7</v>
      </c>
      <c r="E126" s="68">
        <v>1</v>
      </c>
      <c r="F126" s="69">
        <f>TRUNC(55.52,2)</f>
        <v>55.52</v>
      </c>
      <c r="G126" s="69">
        <f>TRUNC(E126*F126,2)</f>
        <v>55.52</v>
      </c>
      <c r="H126" s="69"/>
      <c r="I126" s="68"/>
    </row>
    <row r="127" spans="1:9" ht="36">
      <c r="A127" s="65"/>
      <c r="B127" s="66" t="s">
        <v>51</v>
      </c>
      <c r="C127" s="67" t="s">
        <v>52</v>
      </c>
      <c r="D127" s="65" t="s">
        <v>31</v>
      </c>
      <c r="E127" s="68">
        <v>0.12875</v>
      </c>
      <c r="F127" s="69">
        <f>TRUNC(19.33,2)</f>
        <v>19.329999999999998</v>
      </c>
      <c r="G127" s="69">
        <f>TRUNC(E127*F127,2)</f>
        <v>2.48</v>
      </c>
      <c r="H127" s="69"/>
      <c r="I127" s="68"/>
    </row>
    <row r="128" spans="1:9" ht="36">
      <c r="A128" s="65"/>
      <c r="B128" s="66" t="s">
        <v>53</v>
      </c>
      <c r="C128" s="67" t="s">
        <v>54</v>
      </c>
      <c r="D128" s="65" t="s">
        <v>31</v>
      </c>
      <c r="E128" s="68">
        <v>0.12875</v>
      </c>
      <c r="F128" s="69">
        <f>TRUNC(26.73,2)</f>
        <v>26.73</v>
      </c>
      <c r="G128" s="69">
        <f>TRUNC(E128*F128,2)</f>
        <v>3.44</v>
      </c>
      <c r="H128" s="69"/>
      <c r="I128" s="68"/>
    </row>
    <row r="129" spans="1:9" ht="18">
      <c r="A129" s="65"/>
      <c r="B129" s="66"/>
      <c r="C129" s="67"/>
      <c r="D129" s="65"/>
      <c r="E129" s="68" t="s">
        <v>23</v>
      </c>
      <c r="F129" s="69"/>
      <c r="G129" s="69">
        <f>TRUNC(SUM(G126:G128),2)</f>
        <v>61.44</v>
      </c>
      <c r="H129" s="69"/>
      <c r="I129" s="68"/>
    </row>
    <row r="130" spans="1:9" ht="90">
      <c r="A130" s="70" t="s">
        <v>146</v>
      </c>
      <c r="B130" s="71" t="s">
        <v>175</v>
      </c>
      <c r="C130" s="72" t="s">
        <v>176</v>
      </c>
      <c r="D130" s="70" t="s">
        <v>7</v>
      </c>
      <c r="E130" s="73">
        <v>1</v>
      </c>
      <c r="F130" s="73">
        <v>1</v>
      </c>
      <c r="G130" s="74">
        <f>TRUNC(F130*1.2247,2)</f>
        <v>1.22</v>
      </c>
      <c r="H130" s="73">
        <f>TRUNC(F130*E130,2)</f>
        <v>1</v>
      </c>
      <c r="I130" s="73">
        <f>TRUNC(E130*G130,2)</f>
        <v>1.22</v>
      </c>
    </row>
    <row r="131" spans="1:9" ht="90">
      <c r="A131" s="65"/>
      <c r="B131" s="66" t="s">
        <v>175</v>
      </c>
      <c r="C131" s="67" t="s">
        <v>176</v>
      </c>
      <c r="D131" s="65" t="s">
        <v>7</v>
      </c>
      <c r="E131" s="68">
        <v>1</v>
      </c>
      <c r="F131" s="69">
        <f>G135</f>
        <v>896.37</v>
      </c>
      <c r="G131" s="69">
        <f>TRUNC(E131*F131,2)</f>
        <v>896.37</v>
      </c>
      <c r="H131" s="69"/>
      <c r="I131" s="68"/>
    </row>
    <row r="132" spans="1:9" ht="54">
      <c r="A132" s="65"/>
      <c r="B132" s="66" t="s">
        <v>177</v>
      </c>
      <c r="C132" s="67" t="s">
        <v>178</v>
      </c>
      <c r="D132" s="65" t="s">
        <v>7</v>
      </c>
      <c r="E132" s="68">
        <v>1</v>
      </c>
      <c r="F132" s="69">
        <f>TRUNC(682.89,2)</f>
        <v>682.89</v>
      </c>
      <c r="G132" s="69">
        <f>TRUNC(E132*F132,2)</f>
        <v>682.89</v>
      </c>
      <c r="H132" s="69"/>
      <c r="I132" s="68"/>
    </row>
    <row r="133" spans="1:9" ht="36">
      <c r="A133" s="65"/>
      <c r="B133" s="66" t="s">
        <v>51</v>
      </c>
      <c r="C133" s="67" t="s">
        <v>52</v>
      </c>
      <c r="D133" s="65" t="s">
        <v>31</v>
      </c>
      <c r="E133" s="68">
        <v>4.6349999999999998</v>
      </c>
      <c r="F133" s="69">
        <f>TRUNC(19.33,2)</f>
        <v>19.329999999999998</v>
      </c>
      <c r="G133" s="69">
        <f>TRUNC(E133*F133,2)</f>
        <v>89.59</v>
      </c>
      <c r="H133" s="69"/>
      <c r="I133" s="68"/>
    </row>
    <row r="134" spans="1:9" ht="36">
      <c r="A134" s="65"/>
      <c r="B134" s="66" t="s">
        <v>53</v>
      </c>
      <c r="C134" s="67" t="s">
        <v>54</v>
      </c>
      <c r="D134" s="65" t="s">
        <v>31</v>
      </c>
      <c r="E134" s="68">
        <v>4.6349999999999998</v>
      </c>
      <c r="F134" s="69">
        <f>TRUNC(26.73,2)</f>
        <v>26.73</v>
      </c>
      <c r="G134" s="69">
        <f>TRUNC(E134*F134,2)</f>
        <v>123.89</v>
      </c>
      <c r="H134" s="69"/>
      <c r="I134" s="68"/>
    </row>
    <row r="135" spans="1:9" ht="18">
      <c r="A135" s="65"/>
      <c r="B135" s="66"/>
      <c r="C135" s="67"/>
      <c r="D135" s="65"/>
      <c r="E135" s="68" t="s">
        <v>23</v>
      </c>
      <c r="F135" s="69"/>
      <c r="G135" s="69">
        <f>TRUNC(SUM(G132:G134),2)</f>
        <v>896.37</v>
      </c>
      <c r="H135" s="69"/>
      <c r="I135" s="68"/>
    </row>
    <row r="136" spans="1:9" ht="90">
      <c r="A136" s="70" t="s">
        <v>147</v>
      </c>
      <c r="B136" s="71" t="s">
        <v>171</v>
      </c>
      <c r="C136" s="72" t="s">
        <v>172</v>
      </c>
      <c r="D136" s="70" t="s">
        <v>7</v>
      </c>
      <c r="E136" s="73">
        <v>1</v>
      </c>
      <c r="F136" s="73">
        <f>TRUNC(F137,2)</f>
        <v>592.72</v>
      </c>
      <c r="G136" s="74">
        <f>TRUNC(F136*1.2247,2)</f>
        <v>725.9</v>
      </c>
      <c r="H136" s="73">
        <f>TRUNC(F136*E136,2)</f>
        <v>592.72</v>
      </c>
      <c r="I136" s="73">
        <f>TRUNC(E136*G136,2)</f>
        <v>725.9</v>
      </c>
    </row>
    <row r="137" spans="1:9" ht="90">
      <c r="A137" s="65"/>
      <c r="B137" s="66" t="s">
        <v>171</v>
      </c>
      <c r="C137" s="67" t="s">
        <v>172</v>
      </c>
      <c r="D137" s="65" t="s">
        <v>7</v>
      </c>
      <c r="E137" s="68">
        <v>1</v>
      </c>
      <c r="F137" s="69">
        <f>G141</f>
        <v>592.72</v>
      </c>
      <c r="G137" s="69">
        <f>TRUNC(E137*F137,2)</f>
        <v>592.72</v>
      </c>
      <c r="H137" s="69"/>
      <c r="I137" s="68"/>
    </row>
    <row r="138" spans="1:9" ht="54">
      <c r="A138" s="65"/>
      <c r="B138" s="66" t="s">
        <v>173</v>
      </c>
      <c r="C138" s="67" t="s">
        <v>174</v>
      </c>
      <c r="D138" s="65" t="s">
        <v>7</v>
      </c>
      <c r="E138" s="68">
        <v>1</v>
      </c>
      <c r="F138" s="69">
        <f>TRUNC(481.01,2)</f>
        <v>481.01</v>
      </c>
      <c r="G138" s="69">
        <f>TRUNC(E138*F138,2)</f>
        <v>481.01</v>
      </c>
      <c r="H138" s="69"/>
      <c r="I138" s="68"/>
    </row>
    <row r="139" spans="1:9" ht="36">
      <c r="A139" s="65"/>
      <c r="B139" s="66" t="s">
        <v>51</v>
      </c>
      <c r="C139" s="67" t="s">
        <v>52</v>
      </c>
      <c r="D139" s="65" t="s">
        <v>31</v>
      </c>
      <c r="E139" s="68">
        <v>2.5750000000000002</v>
      </c>
      <c r="F139" s="69">
        <f>TRUNC(19.33,2)</f>
        <v>19.329999999999998</v>
      </c>
      <c r="G139" s="69">
        <f>TRUNC(E139*F139,2)</f>
        <v>49.77</v>
      </c>
      <c r="H139" s="69"/>
      <c r="I139" s="68"/>
    </row>
    <row r="140" spans="1:9" ht="36">
      <c r="A140" s="65"/>
      <c r="B140" s="66" t="s">
        <v>53</v>
      </c>
      <c r="C140" s="67" t="s">
        <v>54</v>
      </c>
      <c r="D140" s="65" t="s">
        <v>31</v>
      </c>
      <c r="E140" s="68">
        <v>2.3174999999999999</v>
      </c>
      <c r="F140" s="69">
        <f>TRUNC(26.73,2)</f>
        <v>26.73</v>
      </c>
      <c r="G140" s="69">
        <f>TRUNC(E140*F140,2)</f>
        <v>61.94</v>
      </c>
      <c r="H140" s="69"/>
      <c r="I140" s="68"/>
    </row>
    <row r="141" spans="1:9" ht="18">
      <c r="A141" s="65"/>
      <c r="B141" s="66"/>
      <c r="C141" s="67"/>
      <c r="D141" s="65"/>
      <c r="E141" s="68" t="s">
        <v>23</v>
      </c>
      <c r="F141" s="69"/>
      <c r="G141" s="69">
        <f>TRUNC(SUM(G138:G140),2)</f>
        <v>592.72</v>
      </c>
      <c r="H141" s="69"/>
      <c r="I141" s="68"/>
    </row>
    <row r="142" spans="1:9" ht="72">
      <c r="A142" s="70" t="s">
        <v>148</v>
      </c>
      <c r="B142" s="71" t="s">
        <v>161</v>
      </c>
      <c r="C142" s="72" t="s">
        <v>162</v>
      </c>
      <c r="D142" s="70" t="s">
        <v>7</v>
      </c>
      <c r="E142" s="73">
        <v>1</v>
      </c>
      <c r="F142" s="73">
        <f>TRUNC(F143,2)</f>
        <v>574.97</v>
      </c>
      <c r="G142" s="74">
        <f>TRUNC(F142*1.2247,2)</f>
        <v>704.16</v>
      </c>
      <c r="H142" s="73">
        <f>TRUNC(F142*E142,2)</f>
        <v>574.97</v>
      </c>
      <c r="I142" s="73">
        <f>TRUNC(E142*G142,2)</f>
        <v>704.16</v>
      </c>
    </row>
    <row r="143" spans="1:9" ht="72">
      <c r="A143" s="65"/>
      <c r="B143" s="66" t="s">
        <v>161</v>
      </c>
      <c r="C143" s="67" t="s">
        <v>162</v>
      </c>
      <c r="D143" s="65" t="s">
        <v>7</v>
      </c>
      <c r="E143" s="68">
        <v>1</v>
      </c>
      <c r="F143" s="69">
        <f>G147</f>
        <v>574.97</v>
      </c>
      <c r="G143" s="69">
        <f>TRUNC(E143*F143,2)</f>
        <v>574.97</v>
      </c>
      <c r="H143" s="69"/>
      <c r="I143" s="68"/>
    </row>
    <row r="144" spans="1:9" ht="54">
      <c r="A144" s="65"/>
      <c r="B144" s="66" t="s">
        <v>163</v>
      </c>
      <c r="C144" s="67" t="s">
        <v>164</v>
      </c>
      <c r="D144" s="65" t="s">
        <v>7</v>
      </c>
      <c r="E144" s="68">
        <v>1</v>
      </c>
      <c r="F144" s="69">
        <f>TRUNC(473.28,2)</f>
        <v>473.28</v>
      </c>
      <c r="G144" s="69">
        <f>TRUNC(E144*F144,2)</f>
        <v>473.28</v>
      </c>
      <c r="H144" s="69"/>
      <c r="I144" s="68"/>
    </row>
    <row r="145" spans="1:9" ht="18">
      <c r="A145" s="65"/>
      <c r="B145" s="66" t="s">
        <v>55</v>
      </c>
      <c r="C145" s="67" t="s">
        <v>40</v>
      </c>
      <c r="D145" s="65" t="s">
        <v>31</v>
      </c>
      <c r="E145" s="68">
        <v>1.5233000000000001</v>
      </c>
      <c r="F145" s="69">
        <f>TRUNC(36.91,2)</f>
        <v>36.909999999999997</v>
      </c>
      <c r="G145" s="69">
        <f>TRUNC(E145*F145,2)</f>
        <v>56.22</v>
      </c>
      <c r="H145" s="69"/>
      <c r="I145" s="68"/>
    </row>
    <row r="146" spans="1:9" ht="18">
      <c r="A146" s="65"/>
      <c r="B146" s="66" t="s">
        <v>56</v>
      </c>
      <c r="C146" s="67" t="s">
        <v>41</v>
      </c>
      <c r="D146" s="65" t="s">
        <v>31</v>
      </c>
      <c r="E146" s="68">
        <v>1.5233000000000001</v>
      </c>
      <c r="F146" s="69">
        <f>TRUNC(29.85,2)</f>
        <v>29.85</v>
      </c>
      <c r="G146" s="69">
        <f>TRUNC(E146*F146,2)</f>
        <v>45.47</v>
      </c>
      <c r="H146" s="69"/>
      <c r="I146" s="68"/>
    </row>
    <row r="147" spans="1:9" ht="18">
      <c r="A147" s="65"/>
      <c r="B147" s="66"/>
      <c r="C147" s="67"/>
      <c r="D147" s="65"/>
      <c r="E147" s="68" t="s">
        <v>23</v>
      </c>
      <c r="F147" s="69"/>
      <c r="G147" s="69">
        <f>TRUNC(SUM(G144:G146),2)</f>
        <v>574.97</v>
      </c>
      <c r="H147" s="69"/>
      <c r="I147" s="68"/>
    </row>
    <row r="148" spans="1:9" ht="54">
      <c r="A148" s="70" t="s">
        <v>165</v>
      </c>
      <c r="B148" s="71" t="s">
        <v>180</v>
      </c>
      <c r="C148" s="72" t="s">
        <v>181</v>
      </c>
      <c r="D148" s="70" t="s">
        <v>17</v>
      </c>
      <c r="E148" s="73">
        <v>180</v>
      </c>
      <c r="F148" s="73">
        <f>TRUNC(F149,2)</f>
        <v>117.27</v>
      </c>
      <c r="G148" s="74">
        <f>TRUNC(F148*1.2247,2)</f>
        <v>143.62</v>
      </c>
      <c r="H148" s="73">
        <f>TRUNC(F148*E148,2)</f>
        <v>21108.6</v>
      </c>
      <c r="I148" s="73">
        <f>TRUNC(E148*G148,2)</f>
        <v>25851.599999999999</v>
      </c>
    </row>
    <row r="149" spans="1:9" ht="54">
      <c r="A149" s="65"/>
      <c r="B149" s="66" t="s">
        <v>180</v>
      </c>
      <c r="C149" s="67" t="s">
        <v>181</v>
      </c>
      <c r="D149" s="65" t="s">
        <v>17</v>
      </c>
      <c r="E149" s="68">
        <v>1</v>
      </c>
      <c r="F149" s="69">
        <f>G154</f>
        <v>117.27</v>
      </c>
      <c r="G149" s="69">
        <f>TRUNC(E149*F149,2)</f>
        <v>117.27</v>
      </c>
      <c r="H149" s="69"/>
      <c r="I149" s="68"/>
    </row>
    <row r="150" spans="1:9" ht="36">
      <c r="A150" s="65"/>
      <c r="B150" s="66" t="s">
        <v>182</v>
      </c>
      <c r="C150" s="67" t="s">
        <v>183</v>
      </c>
      <c r="D150" s="65" t="s">
        <v>7</v>
      </c>
      <c r="E150" s="68">
        <v>8.9999999999999993E-3</v>
      </c>
      <c r="F150" s="69">
        <f>TRUNC(9.45,2)</f>
        <v>9.4499999999999993</v>
      </c>
      <c r="G150" s="69">
        <f>TRUNC(E150*F150,2)</f>
        <v>0.08</v>
      </c>
      <c r="H150" s="69"/>
      <c r="I150" s="68"/>
    </row>
    <row r="151" spans="1:9" ht="54">
      <c r="A151" s="65"/>
      <c r="B151" s="66" t="s">
        <v>184</v>
      </c>
      <c r="C151" s="67" t="s">
        <v>185</v>
      </c>
      <c r="D151" s="65" t="s">
        <v>17</v>
      </c>
      <c r="E151" s="68">
        <v>1.0149999999999999</v>
      </c>
      <c r="F151" s="69">
        <f>TRUNC(105.94,2)</f>
        <v>105.94</v>
      </c>
      <c r="G151" s="69">
        <f>TRUNC(E151*F151,2)</f>
        <v>107.52</v>
      </c>
      <c r="H151" s="69"/>
      <c r="I151" s="68"/>
    </row>
    <row r="152" spans="1:9" ht="18">
      <c r="A152" s="65"/>
      <c r="B152" s="66" t="s">
        <v>55</v>
      </c>
      <c r="C152" s="67" t="s">
        <v>40</v>
      </c>
      <c r="D152" s="65" t="s">
        <v>31</v>
      </c>
      <c r="E152" s="68">
        <v>0.14499999999999999</v>
      </c>
      <c r="F152" s="69">
        <f>TRUNC(36.91,2)</f>
        <v>36.909999999999997</v>
      </c>
      <c r="G152" s="69">
        <f>TRUNC(E152*F152,2)</f>
        <v>5.35</v>
      </c>
      <c r="H152" s="69"/>
      <c r="I152" s="68"/>
    </row>
    <row r="153" spans="1:9" ht="18">
      <c r="A153" s="65"/>
      <c r="B153" s="66" t="s">
        <v>56</v>
      </c>
      <c r="C153" s="67" t="s">
        <v>41</v>
      </c>
      <c r="D153" s="65" t="s">
        <v>31</v>
      </c>
      <c r="E153" s="68">
        <v>0.14499999999999999</v>
      </c>
      <c r="F153" s="69">
        <f>TRUNC(29.85,2)</f>
        <v>29.85</v>
      </c>
      <c r="G153" s="69">
        <f>TRUNC(E153*F153,2)</f>
        <v>4.32</v>
      </c>
      <c r="H153" s="69"/>
      <c r="I153" s="68"/>
    </row>
    <row r="154" spans="1:9" ht="18">
      <c r="A154" s="65"/>
      <c r="B154" s="66"/>
      <c r="C154" s="67"/>
      <c r="D154" s="65"/>
      <c r="E154" s="68" t="s">
        <v>23</v>
      </c>
      <c r="F154" s="69"/>
      <c r="G154" s="69">
        <f>TRUNC(SUM(G150:G153),2)</f>
        <v>117.27</v>
      </c>
      <c r="H154" s="69"/>
      <c r="I154" s="68"/>
    </row>
    <row r="155" spans="1:9" ht="54">
      <c r="A155" s="70" t="s">
        <v>166</v>
      </c>
      <c r="B155" s="71" t="s">
        <v>186</v>
      </c>
      <c r="C155" s="72" t="s">
        <v>187</v>
      </c>
      <c r="D155" s="70" t="s">
        <v>17</v>
      </c>
      <c r="E155" s="73">
        <v>16</v>
      </c>
      <c r="F155" s="73">
        <f>TRUNC(F156,2)</f>
        <v>70.11</v>
      </c>
      <c r="G155" s="74">
        <f>TRUNC(F155*1.2247,2)</f>
        <v>85.86</v>
      </c>
      <c r="H155" s="73">
        <f>TRUNC(F155*E155,2)</f>
        <v>1121.76</v>
      </c>
      <c r="I155" s="73">
        <f>TRUNC(E155*G155,2)</f>
        <v>1373.76</v>
      </c>
    </row>
    <row r="156" spans="1:9" ht="54">
      <c r="A156" s="65"/>
      <c r="B156" s="66" t="s">
        <v>186</v>
      </c>
      <c r="C156" s="67" t="s">
        <v>187</v>
      </c>
      <c r="D156" s="65" t="s">
        <v>17</v>
      </c>
      <c r="E156" s="68">
        <v>1</v>
      </c>
      <c r="F156" s="69">
        <f>G161</f>
        <v>70.11</v>
      </c>
      <c r="G156" s="69">
        <f>TRUNC(E156*F156,2)</f>
        <v>70.11</v>
      </c>
      <c r="H156" s="69"/>
      <c r="I156" s="68"/>
    </row>
    <row r="157" spans="1:9" ht="36">
      <c r="A157" s="65"/>
      <c r="B157" s="66" t="s">
        <v>182</v>
      </c>
      <c r="C157" s="67" t="s">
        <v>183</v>
      </c>
      <c r="D157" s="65" t="s">
        <v>7</v>
      </c>
      <c r="E157" s="68">
        <v>8.9999999999999993E-3</v>
      </c>
      <c r="F157" s="69">
        <f>TRUNC(9.45,2)</f>
        <v>9.4499999999999993</v>
      </c>
      <c r="G157" s="69">
        <f>TRUNC(E157*F157,2)</f>
        <v>0.08</v>
      </c>
      <c r="H157" s="69"/>
      <c r="I157" s="68"/>
    </row>
    <row r="158" spans="1:9" ht="54">
      <c r="A158" s="65"/>
      <c r="B158" s="66" t="s">
        <v>188</v>
      </c>
      <c r="C158" s="67" t="s">
        <v>189</v>
      </c>
      <c r="D158" s="65" t="s">
        <v>17</v>
      </c>
      <c r="E158" s="68">
        <v>1.0149999999999999</v>
      </c>
      <c r="F158" s="69">
        <f>TRUNC(62.39,2)</f>
        <v>62.39</v>
      </c>
      <c r="G158" s="69">
        <f>TRUNC(E158*F158,2)</f>
        <v>63.32</v>
      </c>
      <c r="H158" s="69"/>
      <c r="I158" s="68"/>
    </row>
    <row r="159" spans="1:9" ht="18">
      <c r="A159" s="65"/>
      <c r="B159" s="66" t="s">
        <v>55</v>
      </c>
      <c r="C159" s="67" t="s">
        <v>40</v>
      </c>
      <c r="D159" s="65" t="s">
        <v>31</v>
      </c>
      <c r="E159" s="68">
        <v>0.1007</v>
      </c>
      <c r="F159" s="69">
        <f>TRUNC(36.91,2)</f>
        <v>36.909999999999997</v>
      </c>
      <c r="G159" s="69">
        <f>TRUNC(E159*F159,2)</f>
        <v>3.71</v>
      </c>
      <c r="H159" s="69"/>
      <c r="I159" s="68"/>
    </row>
    <row r="160" spans="1:9" ht="18">
      <c r="A160" s="65"/>
      <c r="B160" s="66" t="s">
        <v>56</v>
      </c>
      <c r="C160" s="67" t="s">
        <v>41</v>
      </c>
      <c r="D160" s="65" t="s">
        <v>31</v>
      </c>
      <c r="E160" s="68">
        <v>0.1007</v>
      </c>
      <c r="F160" s="69">
        <f>TRUNC(29.85,2)</f>
        <v>29.85</v>
      </c>
      <c r="G160" s="69">
        <f>TRUNC(E160*F160,2)</f>
        <v>3</v>
      </c>
      <c r="H160" s="69"/>
      <c r="I160" s="68"/>
    </row>
    <row r="161" spans="1:9" ht="18">
      <c r="A161" s="65"/>
      <c r="B161" s="66"/>
      <c r="C161" s="67"/>
      <c r="D161" s="65"/>
      <c r="E161" s="68" t="s">
        <v>23</v>
      </c>
      <c r="F161" s="69"/>
      <c r="G161" s="69">
        <f>TRUNC(SUM(G157:G160),2)</f>
        <v>70.11</v>
      </c>
      <c r="H161" s="69"/>
      <c r="I161" s="68"/>
    </row>
    <row r="162" spans="1:9" ht="54">
      <c r="A162" s="70" t="s">
        <v>167</v>
      </c>
      <c r="B162" s="71" t="s">
        <v>190</v>
      </c>
      <c r="C162" s="72" t="s">
        <v>191</v>
      </c>
      <c r="D162" s="70" t="s">
        <v>17</v>
      </c>
      <c r="E162" s="73">
        <v>80</v>
      </c>
      <c r="F162" s="73">
        <f>TRUNC(F163,2)</f>
        <v>14.23</v>
      </c>
      <c r="G162" s="74">
        <f>TRUNC(F162*1.2247,2)</f>
        <v>17.420000000000002</v>
      </c>
      <c r="H162" s="73">
        <f>TRUNC(F162*E162,2)</f>
        <v>1138.4000000000001</v>
      </c>
      <c r="I162" s="73">
        <f>TRUNC(E162*G162,2)</f>
        <v>1393.6</v>
      </c>
    </row>
    <row r="163" spans="1:9" ht="54">
      <c r="A163" s="65"/>
      <c r="B163" s="66" t="s">
        <v>190</v>
      </c>
      <c r="C163" s="67" t="s">
        <v>191</v>
      </c>
      <c r="D163" s="65" t="s">
        <v>17</v>
      </c>
      <c r="E163" s="68">
        <v>1</v>
      </c>
      <c r="F163" s="69">
        <f>G168</f>
        <v>14.23</v>
      </c>
      <c r="G163" s="69">
        <f>TRUNC(E163*F163,2)</f>
        <v>14.23</v>
      </c>
      <c r="H163" s="69"/>
      <c r="I163" s="68"/>
    </row>
    <row r="164" spans="1:9" ht="36">
      <c r="A164" s="65"/>
      <c r="B164" s="66" t="s">
        <v>182</v>
      </c>
      <c r="C164" s="67" t="s">
        <v>183</v>
      </c>
      <c r="D164" s="65" t="s">
        <v>7</v>
      </c>
      <c r="E164" s="68">
        <v>0.01</v>
      </c>
      <c r="F164" s="69">
        <f>TRUNC(9.45,2)</f>
        <v>9.4499999999999993</v>
      </c>
      <c r="G164" s="69">
        <f>TRUNC(E164*F164,2)</f>
        <v>0.09</v>
      </c>
      <c r="H164" s="69"/>
      <c r="I164" s="68"/>
    </row>
    <row r="165" spans="1:9" ht="54">
      <c r="A165" s="65"/>
      <c r="B165" s="66" t="s">
        <v>192</v>
      </c>
      <c r="C165" s="67" t="s">
        <v>193</v>
      </c>
      <c r="D165" s="65" t="s">
        <v>17</v>
      </c>
      <c r="E165" s="68">
        <v>1.0269999999999999</v>
      </c>
      <c r="F165" s="69">
        <f>TRUNC(12.95,2)</f>
        <v>12.95</v>
      </c>
      <c r="G165" s="69">
        <f>TRUNC(E165*F165,2)</f>
        <v>13.29</v>
      </c>
      <c r="H165" s="69"/>
      <c r="I165" s="68"/>
    </row>
    <row r="166" spans="1:9" ht="18">
      <c r="A166" s="65"/>
      <c r="B166" s="66" t="s">
        <v>55</v>
      </c>
      <c r="C166" s="67" t="s">
        <v>40</v>
      </c>
      <c r="D166" s="65" t="s">
        <v>31</v>
      </c>
      <c r="E166" s="68">
        <v>1.2999999999999999E-2</v>
      </c>
      <c r="F166" s="69">
        <f>TRUNC(36.91,2)</f>
        <v>36.909999999999997</v>
      </c>
      <c r="G166" s="69">
        <f>TRUNC(E166*F166,2)</f>
        <v>0.47</v>
      </c>
      <c r="H166" s="69"/>
      <c r="I166" s="68"/>
    </row>
    <row r="167" spans="1:9" ht="18">
      <c r="A167" s="65"/>
      <c r="B167" s="66" t="s">
        <v>56</v>
      </c>
      <c r="C167" s="67" t="s">
        <v>41</v>
      </c>
      <c r="D167" s="65" t="s">
        <v>31</v>
      </c>
      <c r="E167" s="68">
        <v>1.2999999999999999E-2</v>
      </c>
      <c r="F167" s="69">
        <f>TRUNC(29.85,2)</f>
        <v>29.85</v>
      </c>
      <c r="G167" s="69">
        <f>TRUNC(E167*F167,2)</f>
        <v>0.38</v>
      </c>
      <c r="H167" s="69"/>
      <c r="I167" s="68"/>
    </row>
    <row r="168" spans="1:9" ht="18">
      <c r="A168" s="65"/>
      <c r="B168" s="66"/>
      <c r="C168" s="67"/>
      <c r="D168" s="65"/>
      <c r="E168" s="68" t="s">
        <v>23</v>
      </c>
      <c r="F168" s="69"/>
      <c r="G168" s="69">
        <f>TRUNC(SUM(G164:G167),2)</f>
        <v>14.23</v>
      </c>
      <c r="H168" s="69"/>
      <c r="I168" s="68"/>
    </row>
    <row r="169" spans="1:9" ht="54">
      <c r="A169" s="70" t="s">
        <v>168</v>
      </c>
      <c r="B169" s="71" t="s">
        <v>194</v>
      </c>
      <c r="C169" s="72" t="s">
        <v>195</v>
      </c>
      <c r="D169" s="70" t="s">
        <v>17</v>
      </c>
      <c r="E169" s="73">
        <v>580</v>
      </c>
      <c r="F169" s="73">
        <f>TRUNC(F170,2)</f>
        <v>6.77</v>
      </c>
      <c r="G169" s="74">
        <f>TRUNC(F169*1.2247,2)</f>
        <v>8.2899999999999991</v>
      </c>
      <c r="H169" s="73">
        <f>TRUNC(F169*E169,2)</f>
        <v>3926.6</v>
      </c>
      <c r="I169" s="73">
        <f>TRUNC(E169*G169,2)</f>
        <v>4808.2</v>
      </c>
    </row>
    <row r="170" spans="1:9" ht="54">
      <c r="A170" s="65"/>
      <c r="B170" s="66" t="s">
        <v>194</v>
      </c>
      <c r="C170" s="67" t="s">
        <v>195</v>
      </c>
      <c r="D170" s="65" t="s">
        <v>17</v>
      </c>
      <c r="E170" s="68">
        <v>1</v>
      </c>
      <c r="F170" s="69">
        <f>G175</f>
        <v>6.77</v>
      </c>
      <c r="G170" s="69">
        <f>TRUNC(E170*F170,2)</f>
        <v>6.77</v>
      </c>
      <c r="H170" s="69"/>
      <c r="I170" s="68"/>
    </row>
    <row r="171" spans="1:9" ht="36">
      <c r="A171" s="65"/>
      <c r="B171" s="66" t="s">
        <v>182</v>
      </c>
      <c r="C171" s="67" t="s">
        <v>183</v>
      </c>
      <c r="D171" s="65" t="s">
        <v>7</v>
      </c>
      <c r="E171" s="68">
        <v>9.4000000000000004E-3</v>
      </c>
      <c r="F171" s="69">
        <f>TRUNC(9.45,2)</f>
        <v>9.4499999999999993</v>
      </c>
      <c r="G171" s="69">
        <f>TRUNC(E171*F171,2)</f>
        <v>0.08</v>
      </c>
      <c r="H171" s="69"/>
      <c r="I171" s="68"/>
    </row>
    <row r="172" spans="1:9" ht="54">
      <c r="A172" s="65"/>
      <c r="B172" s="66" t="s">
        <v>196</v>
      </c>
      <c r="C172" s="67" t="s">
        <v>197</v>
      </c>
      <c r="D172" s="65" t="s">
        <v>17</v>
      </c>
      <c r="E172" s="68">
        <v>1.2434000000000001</v>
      </c>
      <c r="F172" s="69">
        <f>TRUNC(3.3,2)</f>
        <v>3.3</v>
      </c>
      <c r="G172" s="69">
        <f>TRUNC(E172*F172,2)</f>
        <v>4.0999999999999996</v>
      </c>
      <c r="H172" s="69"/>
      <c r="I172" s="68"/>
    </row>
    <row r="173" spans="1:9" ht="18">
      <c r="A173" s="65"/>
      <c r="B173" s="66" t="s">
        <v>55</v>
      </c>
      <c r="C173" s="67" t="s">
        <v>40</v>
      </c>
      <c r="D173" s="65" t="s">
        <v>31</v>
      </c>
      <c r="E173" s="68">
        <v>3.9E-2</v>
      </c>
      <c r="F173" s="69">
        <f>TRUNC(36.91,2)</f>
        <v>36.909999999999997</v>
      </c>
      <c r="G173" s="69">
        <f>TRUNC(E173*F173,2)</f>
        <v>1.43</v>
      </c>
      <c r="H173" s="69"/>
      <c r="I173" s="68"/>
    </row>
    <row r="174" spans="1:9" ht="18">
      <c r="A174" s="65"/>
      <c r="B174" s="66" t="s">
        <v>56</v>
      </c>
      <c r="C174" s="67" t="s">
        <v>41</v>
      </c>
      <c r="D174" s="65" t="s">
        <v>31</v>
      </c>
      <c r="E174" s="68">
        <v>3.9E-2</v>
      </c>
      <c r="F174" s="69">
        <f>TRUNC(29.85,2)</f>
        <v>29.85</v>
      </c>
      <c r="G174" s="69">
        <f>TRUNC(E174*F174,2)</f>
        <v>1.1599999999999999</v>
      </c>
      <c r="H174" s="69"/>
      <c r="I174" s="68"/>
    </row>
    <row r="175" spans="1:9" ht="18">
      <c r="A175" s="65"/>
      <c r="B175" s="66"/>
      <c r="C175" s="67"/>
      <c r="D175" s="65"/>
      <c r="E175" s="68" t="s">
        <v>23</v>
      </c>
      <c r="F175" s="69"/>
      <c r="G175" s="69">
        <f>TRUNC(SUM(G171:G174),2)</f>
        <v>6.77</v>
      </c>
      <c r="H175" s="69"/>
      <c r="I175" s="68"/>
    </row>
    <row r="176" spans="1:9" ht="54">
      <c r="A176" s="70" t="s">
        <v>169</v>
      </c>
      <c r="B176" s="71" t="s">
        <v>198</v>
      </c>
      <c r="C176" s="72" t="s">
        <v>199</v>
      </c>
      <c r="D176" s="70" t="s">
        <v>17</v>
      </c>
      <c r="E176" s="73">
        <v>2200</v>
      </c>
      <c r="F176" s="73">
        <f>TRUNC(F177,2)</f>
        <v>4.4800000000000004</v>
      </c>
      <c r="G176" s="74">
        <f>TRUNC(F176*1.2247,2)</f>
        <v>5.48</v>
      </c>
      <c r="H176" s="73">
        <f>TRUNC(F176*E176,2)</f>
        <v>9856</v>
      </c>
      <c r="I176" s="73">
        <f>TRUNC(E176*G176,2)</f>
        <v>12056</v>
      </c>
    </row>
    <row r="177" spans="1:9" ht="54">
      <c r="A177" s="65"/>
      <c r="B177" s="66" t="s">
        <v>198</v>
      </c>
      <c r="C177" s="67" t="s">
        <v>199</v>
      </c>
      <c r="D177" s="65" t="s">
        <v>17</v>
      </c>
      <c r="E177" s="68">
        <v>1</v>
      </c>
      <c r="F177" s="69">
        <f>G182</f>
        <v>4.4800000000000004</v>
      </c>
      <c r="G177" s="69">
        <f>TRUNC(E177*F177,2)</f>
        <v>4.4800000000000004</v>
      </c>
      <c r="H177" s="69"/>
      <c r="I177" s="68"/>
    </row>
    <row r="178" spans="1:9" ht="36">
      <c r="A178" s="65"/>
      <c r="B178" s="66" t="s">
        <v>182</v>
      </c>
      <c r="C178" s="67" t="s">
        <v>183</v>
      </c>
      <c r="D178" s="65" t="s">
        <v>7</v>
      </c>
      <c r="E178" s="68">
        <v>9.4000000000000004E-3</v>
      </c>
      <c r="F178" s="69">
        <f>TRUNC(9.45,2)</f>
        <v>9.4499999999999993</v>
      </c>
      <c r="G178" s="69">
        <f>TRUNC(E178*F178,2)</f>
        <v>0.08</v>
      </c>
      <c r="H178" s="69"/>
      <c r="I178" s="68"/>
    </row>
    <row r="179" spans="1:9" ht="54">
      <c r="A179" s="65"/>
      <c r="B179" s="66" t="s">
        <v>200</v>
      </c>
      <c r="C179" s="67" t="s">
        <v>201</v>
      </c>
      <c r="D179" s="65" t="s">
        <v>17</v>
      </c>
      <c r="E179" s="68">
        <v>1.2434000000000001</v>
      </c>
      <c r="F179" s="69">
        <f>TRUNC(1.99,2)</f>
        <v>1.99</v>
      </c>
      <c r="G179" s="69">
        <f>TRUNC(E179*F179,2)</f>
        <v>2.4700000000000002</v>
      </c>
      <c r="H179" s="69"/>
      <c r="I179" s="68"/>
    </row>
    <row r="180" spans="1:9" ht="18">
      <c r="A180" s="65"/>
      <c r="B180" s="66" t="s">
        <v>55</v>
      </c>
      <c r="C180" s="67" t="s">
        <v>40</v>
      </c>
      <c r="D180" s="65" t="s">
        <v>31</v>
      </c>
      <c r="E180" s="68">
        <v>2.9000000000000001E-2</v>
      </c>
      <c r="F180" s="69">
        <f>TRUNC(36.91,2)</f>
        <v>36.909999999999997</v>
      </c>
      <c r="G180" s="69">
        <f>TRUNC(E180*F180,2)</f>
        <v>1.07</v>
      </c>
      <c r="H180" s="69"/>
      <c r="I180" s="68"/>
    </row>
    <row r="181" spans="1:9" ht="18">
      <c r="A181" s="65"/>
      <c r="B181" s="66" t="s">
        <v>56</v>
      </c>
      <c r="C181" s="67" t="s">
        <v>41</v>
      </c>
      <c r="D181" s="65" t="s">
        <v>31</v>
      </c>
      <c r="E181" s="68">
        <v>2.9000000000000001E-2</v>
      </c>
      <c r="F181" s="69">
        <f>TRUNC(29.85,2)</f>
        <v>29.85</v>
      </c>
      <c r="G181" s="69">
        <f>TRUNC(E181*F181,2)</f>
        <v>0.86</v>
      </c>
      <c r="H181" s="69"/>
      <c r="I181" s="68"/>
    </row>
    <row r="182" spans="1:9" ht="18">
      <c r="A182" s="65"/>
      <c r="B182" s="66"/>
      <c r="C182" s="67"/>
      <c r="D182" s="65"/>
      <c r="E182" s="68" t="s">
        <v>23</v>
      </c>
      <c r="F182" s="69"/>
      <c r="G182" s="69">
        <f>TRUNC(SUM(G178:G181),2)</f>
        <v>4.4800000000000004</v>
      </c>
      <c r="H182" s="69"/>
      <c r="I182" s="68"/>
    </row>
    <row r="183" spans="1:9" ht="54">
      <c r="A183" s="70" t="s">
        <v>170</v>
      </c>
      <c r="B183" s="71" t="s">
        <v>212</v>
      </c>
      <c r="C183" s="72" t="s">
        <v>213</v>
      </c>
      <c r="D183" s="70" t="s">
        <v>17</v>
      </c>
      <c r="E183" s="73">
        <v>35</v>
      </c>
      <c r="F183" s="73">
        <f>TRUNC(F184,2)</f>
        <v>24.56</v>
      </c>
      <c r="G183" s="74">
        <f>TRUNC(F183*1.2247,2)</f>
        <v>30.07</v>
      </c>
      <c r="H183" s="73">
        <f>TRUNC(F183*E183,2)</f>
        <v>859.6</v>
      </c>
      <c r="I183" s="73">
        <f>TRUNC(E183*G183,2)</f>
        <v>1052.45</v>
      </c>
    </row>
    <row r="184" spans="1:9" ht="54">
      <c r="A184" s="65"/>
      <c r="B184" s="66" t="s">
        <v>212</v>
      </c>
      <c r="C184" s="67" t="s">
        <v>213</v>
      </c>
      <c r="D184" s="65" t="s">
        <v>17</v>
      </c>
      <c r="E184" s="68">
        <v>1</v>
      </c>
      <c r="F184" s="69">
        <f>G188</f>
        <v>24.56</v>
      </c>
      <c r="G184" s="69">
        <f>TRUNC(E184*F184,2)</f>
        <v>24.56</v>
      </c>
      <c r="H184" s="69"/>
      <c r="I184" s="68"/>
    </row>
    <row r="185" spans="1:9" ht="54">
      <c r="A185" s="65"/>
      <c r="B185" s="66" t="s">
        <v>214</v>
      </c>
      <c r="C185" s="67" t="s">
        <v>215</v>
      </c>
      <c r="D185" s="65" t="s">
        <v>17</v>
      </c>
      <c r="E185" s="68">
        <v>1.1000000000000001</v>
      </c>
      <c r="F185" s="69">
        <f>TRUNC(13.17,2)</f>
        <v>13.17</v>
      </c>
      <c r="G185" s="69">
        <f>TRUNC(E185*F185,2)</f>
        <v>14.48</v>
      </c>
      <c r="H185" s="69"/>
      <c r="I185" s="68"/>
    </row>
    <row r="186" spans="1:9" ht="18">
      <c r="A186" s="65"/>
      <c r="B186" s="66" t="s">
        <v>55</v>
      </c>
      <c r="C186" s="67" t="s">
        <v>40</v>
      </c>
      <c r="D186" s="65" t="s">
        <v>31</v>
      </c>
      <c r="E186" s="68">
        <v>0.15110000000000001</v>
      </c>
      <c r="F186" s="69">
        <f>TRUNC(36.91,2)</f>
        <v>36.909999999999997</v>
      </c>
      <c r="G186" s="69">
        <f>TRUNC(E186*F186,2)</f>
        <v>5.57</v>
      </c>
      <c r="H186" s="69"/>
      <c r="I186" s="68"/>
    </row>
    <row r="187" spans="1:9" ht="18">
      <c r="A187" s="65"/>
      <c r="B187" s="66" t="s">
        <v>56</v>
      </c>
      <c r="C187" s="67" t="s">
        <v>41</v>
      </c>
      <c r="D187" s="65" t="s">
        <v>31</v>
      </c>
      <c r="E187" s="68">
        <v>0.15110000000000001</v>
      </c>
      <c r="F187" s="69">
        <f>TRUNC(29.85,2)</f>
        <v>29.85</v>
      </c>
      <c r="G187" s="69">
        <f>TRUNC(E187*F187,2)</f>
        <v>4.51</v>
      </c>
      <c r="H187" s="69"/>
      <c r="I187" s="68"/>
    </row>
    <row r="188" spans="1:9" ht="18">
      <c r="A188" s="65"/>
      <c r="B188" s="66"/>
      <c r="C188" s="67"/>
      <c r="D188" s="65"/>
      <c r="E188" s="68" t="s">
        <v>23</v>
      </c>
      <c r="F188" s="69"/>
      <c r="G188" s="69">
        <f>TRUNC(SUM(G185:G187),2)</f>
        <v>24.56</v>
      </c>
      <c r="H188" s="69"/>
      <c r="I188" s="68"/>
    </row>
    <row r="189" spans="1:9" ht="54">
      <c r="A189" s="70" t="s">
        <v>179</v>
      </c>
      <c r="B189" s="71" t="s">
        <v>205</v>
      </c>
      <c r="C189" s="72" t="s">
        <v>206</v>
      </c>
      <c r="D189" s="70" t="s">
        <v>17</v>
      </c>
      <c r="E189" s="73">
        <v>700</v>
      </c>
      <c r="F189" s="73">
        <f>TRUNC(F190,2)</f>
        <v>9.18</v>
      </c>
      <c r="G189" s="74">
        <f>TRUNC(F189*1.2247,2)</f>
        <v>11.24</v>
      </c>
      <c r="H189" s="73">
        <f>TRUNC(F189*E189,2)</f>
        <v>6426</v>
      </c>
      <c r="I189" s="73">
        <f>TRUNC(E189*G189,2)</f>
        <v>7868</v>
      </c>
    </row>
    <row r="190" spans="1:9" ht="54">
      <c r="A190" s="65"/>
      <c r="B190" s="66" t="s">
        <v>205</v>
      </c>
      <c r="C190" s="67" t="s">
        <v>206</v>
      </c>
      <c r="D190" s="65" t="s">
        <v>17</v>
      </c>
      <c r="E190" s="68">
        <v>1</v>
      </c>
      <c r="F190" s="69">
        <f>G195</f>
        <v>9.18</v>
      </c>
      <c r="G190" s="69">
        <f>TRUNC(E190*F190,2)</f>
        <v>9.18</v>
      </c>
      <c r="H190" s="69"/>
      <c r="I190" s="68"/>
    </row>
    <row r="191" spans="1:9" ht="36">
      <c r="A191" s="65"/>
      <c r="B191" s="66" t="s">
        <v>207</v>
      </c>
      <c r="C191" s="67" t="s">
        <v>208</v>
      </c>
      <c r="D191" s="65" t="s">
        <v>209</v>
      </c>
      <c r="E191" s="68">
        <v>1.8E-3</v>
      </c>
      <c r="F191" s="69">
        <f>TRUNC(26.5,2)</f>
        <v>26.5</v>
      </c>
      <c r="G191" s="69">
        <f>TRUNC(E191*F191,2)</f>
        <v>0.04</v>
      </c>
      <c r="H191" s="69"/>
      <c r="I191" s="68"/>
    </row>
    <row r="192" spans="1:9" ht="36">
      <c r="A192" s="65"/>
      <c r="B192" s="66" t="s">
        <v>210</v>
      </c>
      <c r="C192" s="67" t="s">
        <v>211</v>
      </c>
      <c r="D192" s="65" t="s">
        <v>17</v>
      </c>
      <c r="E192" s="68">
        <v>1.1000000000000001</v>
      </c>
      <c r="F192" s="69">
        <f>TRUNC(4.01,2)</f>
        <v>4.01</v>
      </c>
      <c r="G192" s="69">
        <f>TRUNC(E192*F192,2)</f>
        <v>4.41</v>
      </c>
      <c r="H192" s="69"/>
      <c r="I192" s="68"/>
    </row>
    <row r="193" spans="1:9" ht="18">
      <c r="A193" s="65"/>
      <c r="B193" s="66" t="s">
        <v>55</v>
      </c>
      <c r="C193" s="67" t="s">
        <v>40</v>
      </c>
      <c r="D193" s="65" t="s">
        <v>31</v>
      </c>
      <c r="E193" s="68">
        <v>7.0999999999999994E-2</v>
      </c>
      <c r="F193" s="69">
        <f>TRUNC(36.91,2)</f>
        <v>36.909999999999997</v>
      </c>
      <c r="G193" s="69">
        <f>TRUNC(E193*F193,2)</f>
        <v>2.62</v>
      </c>
      <c r="H193" s="69"/>
      <c r="I193" s="68"/>
    </row>
    <row r="194" spans="1:9" ht="18">
      <c r="A194" s="65"/>
      <c r="B194" s="66" t="s">
        <v>56</v>
      </c>
      <c r="C194" s="67" t="s">
        <v>41</v>
      </c>
      <c r="D194" s="65" t="s">
        <v>31</v>
      </c>
      <c r="E194" s="68">
        <v>7.0999999999999994E-2</v>
      </c>
      <c r="F194" s="69">
        <f>TRUNC(29.85,2)</f>
        <v>29.85</v>
      </c>
      <c r="G194" s="69">
        <f>TRUNC(E194*F194,2)</f>
        <v>2.11</v>
      </c>
      <c r="H194" s="69"/>
      <c r="I194" s="68"/>
    </row>
    <row r="195" spans="1:9" ht="18">
      <c r="A195" s="65"/>
      <c r="B195" s="66"/>
      <c r="C195" s="67"/>
      <c r="D195" s="65"/>
      <c r="E195" s="68" t="s">
        <v>23</v>
      </c>
      <c r="F195" s="69"/>
      <c r="G195" s="69">
        <f>TRUNC(SUM(G191:G194),2)</f>
        <v>9.18</v>
      </c>
      <c r="H195" s="69"/>
      <c r="I195" s="68"/>
    </row>
    <row r="196" spans="1:9" ht="54">
      <c r="A196" s="70" t="s">
        <v>202</v>
      </c>
      <c r="B196" s="71" t="s">
        <v>216</v>
      </c>
      <c r="C196" s="72" t="s">
        <v>217</v>
      </c>
      <c r="D196" s="70" t="s">
        <v>17</v>
      </c>
      <c r="E196" s="73">
        <v>800</v>
      </c>
      <c r="F196" s="73">
        <f>TRUNC(F197,2)</f>
        <v>11.38</v>
      </c>
      <c r="G196" s="74">
        <f>TRUNC(F196*1.2247,2)</f>
        <v>13.93</v>
      </c>
      <c r="H196" s="73">
        <f>TRUNC(F196*E196,2)</f>
        <v>9104</v>
      </c>
      <c r="I196" s="73">
        <f>TRUNC(E196*G196,2)</f>
        <v>11144</v>
      </c>
    </row>
    <row r="197" spans="1:9" ht="54">
      <c r="A197" s="65"/>
      <c r="B197" s="66" t="s">
        <v>216</v>
      </c>
      <c r="C197" s="67" t="s">
        <v>217</v>
      </c>
      <c r="D197" s="65" t="s">
        <v>17</v>
      </c>
      <c r="E197" s="68">
        <v>1</v>
      </c>
      <c r="F197" s="69">
        <f>G202</f>
        <v>11.38</v>
      </c>
      <c r="G197" s="69">
        <f>TRUNC(E197*F197,2)</f>
        <v>11.38</v>
      </c>
      <c r="H197" s="69"/>
      <c r="I197" s="68"/>
    </row>
    <row r="198" spans="1:9" ht="36">
      <c r="A198" s="65"/>
      <c r="B198" s="66" t="s">
        <v>207</v>
      </c>
      <c r="C198" s="67" t="s">
        <v>208</v>
      </c>
      <c r="D198" s="65" t="s">
        <v>209</v>
      </c>
      <c r="E198" s="68">
        <v>1.8E-3</v>
      </c>
      <c r="F198" s="69">
        <f>TRUNC(26.5,2)</f>
        <v>26.5</v>
      </c>
      <c r="G198" s="69">
        <f>TRUNC(E198*F198,2)</f>
        <v>0.04</v>
      </c>
      <c r="H198" s="69"/>
      <c r="I198" s="68"/>
    </row>
    <row r="199" spans="1:9" ht="18">
      <c r="A199" s="65"/>
      <c r="B199" s="66" t="s">
        <v>218</v>
      </c>
      <c r="C199" s="67" t="s">
        <v>219</v>
      </c>
      <c r="D199" s="65" t="s">
        <v>17</v>
      </c>
      <c r="E199" s="68">
        <v>1.0169999999999999</v>
      </c>
      <c r="F199" s="69">
        <f>TRUNC(5,2)</f>
        <v>5</v>
      </c>
      <c r="G199" s="69">
        <f>TRUNC(E199*F199,2)</f>
        <v>5.08</v>
      </c>
      <c r="H199" s="69"/>
      <c r="I199" s="68"/>
    </row>
    <row r="200" spans="1:9" ht="18">
      <c r="A200" s="65"/>
      <c r="B200" s="66" t="s">
        <v>55</v>
      </c>
      <c r="C200" s="67" t="s">
        <v>40</v>
      </c>
      <c r="D200" s="65" t="s">
        <v>31</v>
      </c>
      <c r="E200" s="68">
        <v>9.4E-2</v>
      </c>
      <c r="F200" s="69">
        <f>TRUNC(36.91,2)</f>
        <v>36.909999999999997</v>
      </c>
      <c r="G200" s="69">
        <f>TRUNC(E200*F200,2)</f>
        <v>3.46</v>
      </c>
      <c r="H200" s="69"/>
      <c r="I200" s="68"/>
    </row>
    <row r="201" spans="1:9" ht="18">
      <c r="A201" s="65"/>
      <c r="B201" s="66" t="s">
        <v>56</v>
      </c>
      <c r="C201" s="67" t="s">
        <v>41</v>
      </c>
      <c r="D201" s="65" t="s">
        <v>31</v>
      </c>
      <c r="E201" s="68">
        <v>9.4E-2</v>
      </c>
      <c r="F201" s="69">
        <f>TRUNC(29.85,2)</f>
        <v>29.85</v>
      </c>
      <c r="G201" s="69">
        <f>TRUNC(E201*F201,2)</f>
        <v>2.8</v>
      </c>
      <c r="H201" s="69"/>
      <c r="I201" s="68"/>
    </row>
    <row r="202" spans="1:9" ht="18">
      <c r="A202" s="65"/>
      <c r="B202" s="66"/>
      <c r="C202" s="67"/>
      <c r="D202" s="65"/>
      <c r="E202" s="68" t="s">
        <v>23</v>
      </c>
      <c r="F202" s="69"/>
      <c r="G202" s="69">
        <f>TRUNC(SUM(G198:G201),2)</f>
        <v>11.38</v>
      </c>
      <c r="H202" s="69"/>
      <c r="I202" s="68"/>
    </row>
    <row r="203" spans="1:9" ht="72">
      <c r="A203" s="70" t="s">
        <v>203</v>
      </c>
      <c r="B203" s="71" t="s">
        <v>238</v>
      </c>
      <c r="C203" s="72" t="s">
        <v>239</v>
      </c>
      <c r="D203" s="70" t="s">
        <v>7</v>
      </c>
      <c r="E203" s="73">
        <v>3</v>
      </c>
      <c r="F203" s="73">
        <f>TRUNC(F204,2)</f>
        <v>745.31</v>
      </c>
      <c r="G203" s="74">
        <f>TRUNC(F203*1.2247,2)</f>
        <v>912.78</v>
      </c>
      <c r="H203" s="73">
        <f>TRUNC(F203*E203,2)</f>
        <v>2235.9299999999998</v>
      </c>
      <c r="I203" s="73">
        <f>TRUNC(E203*G203,2)</f>
        <v>2738.34</v>
      </c>
    </row>
    <row r="204" spans="1:9" ht="72">
      <c r="A204" s="65"/>
      <c r="B204" s="66" t="s">
        <v>270</v>
      </c>
      <c r="C204" s="67" t="s">
        <v>271</v>
      </c>
      <c r="D204" s="65" t="s">
        <v>7</v>
      </c>
      <c r="E204" s="68">
        <v>1</v>
      </c>
      <c r="F204" s="69">
        <f>G211</f>
        <v>745.31</v>
      </c>
      <c r="G204" s="69">
        <f t="shared" ref="G204:G210" si="2">TRUNC(E204*F204,2)</f>
        <v>745.31</v>
      </c>
      <c r="H204" s="69"/>
      <c r="I204" s="68"/>
    </row>
    <row r="205" spans="1:9" ht="36">
      <c r="A205" s="65"/>
      <c r="B205" s="66" t="s">
        <v>272</v>
      </c>
      <c r="C205" s="67" t="s">
        <v>273</v>
      </c>
      <c r="D205" s="65" t="s">
        <v>7</v>
      </c>
      <c r="E205" s="68">
        <v>1</v>
      </c>
      <c r="F205" s="69">
        <f>TRUNC(501.4,2)</f>
        <v>501.4</v>
      </c>
      <c r="G205" s="69">
        <f t="shared" si="2"/>
        <v>501.4</v>
      </c>
      <c r="H205" s="69"/>
      <c r="I205" s="68"/>
    </row>
    <row r="206" spans="1:9" ht="36">
      <c r="A206" s="65"/>
      <c r="B206" s="66" t="s">
        <v>51</v>
      </c>
      <c r="C206" s="67" t="s">
        <v>52</v>
      </c>
      <c r="D206" s="65" t="s">
        <v>31</v>
      </c>
      <c r="E206" s="68">
        <v>4.12</v>
      </c>
      <c r="F206" s="69">
        <f>TRUNC(19.33,2)</f>
        <v>19.329999999999998</v>
      </c>
      <c r="G206" s="69">
        <f t="shared" si="2"/>
        <v>79.63</v>
      </c>
      <c r="H206" s="69"/>
      <c r="I206" s="68"/>
    </row>
    <row r="207" spans="1:9" ht="18">
      <c r="A207" s="65"/>
      <c r="B207" s="66" t="s">
        <v>222</v>
      </c>
      <c r="C207" s="67" t="s">
        <v>223</v>
      </c>
      <c r="D207" s="65" t="s">
        <v>31</v>
      </c>
      <c r="E207" s="68">
        <v>1</v>
      </c>
      <c r="F207" s="69">
        <f>TRUNC(58.9477,2)</f>
        <v>58.94</v>
      </c>
      <c r="G207" s="69">
        <f t="shared" si="2"/>
        <v>58.94</v>
      </c>
      <c r="H207" s="69"/>
      <c r="I207" s="68"/>
    </row>
    <row r="208" spans="1:9" ht="18">
      <c r="A208" s="65"/>
      <c r="B208" s="66" t="s">
        <v>240</v>
      </c>
      <c r="C208" s="67" t="s">
        <v>241</v>
      </c>
      <c r="D208" s="65" t="s">
        <v>32</v>
      </c>
      <c r="E208" s="68">
        <v>0.05</v>
      </c>
      <c r="F208" s="69">
        <f>TRUNC(87.246,2)</f>
        <v>87.24</v>
      </c>
      <c r="G208" s="69">
        <f t="shared" si="2"/>
        <v>4.3600000000000003</v>
      </c>
      <c r="H208" s="69"/>
      <c r="I208" s="68"/>
    </row>
    <row r="209" spans="1:9" ht="18">
      <c r="A209" s="65"/>
      <c r="B209" s="66" t="s">
        <v>242</v>
      </c>
      <c r="C209" s="67" t="s">
        <v>243</v>
      </c>
      <c r="D209" s="65" t="s">
        <v>32</v>
      </c>
      <c r="E209" s="68">
        <v>0.05</v>
      </c>
      <c r="F209" s="69">
        <f>TRUNC(375.766,2)</f>
        <v>375.76</v>
      </c>
      <c r="G209" s="69">
        <f t="shared" si="2"/>
        <v>18.78</v>
      </c>
      <c r="H209" s="69"/>
      <c r="I209" s="68"/>
    </row>
    <row r="210" spans="1:9" ht="18">
      <c r="A210" s="65"/>
      <c r="B210" s="66" t="s">
        <v>224</v>
      </c>
      <c r="C210" s="67" t="s">
        <v>225</v>
      </c>
      <c r="D210" s="65" t="s">
        <v>31</v>
      </c>
      <c r="E210" s="68">
        <v>1</v>
      </c>
      <c r="F210" s="69">
        <f>TRUNC(82.2031,2)</f>
        <v>82.2</v>
      </c>
      <c r="G210" s="69">
        <f t="shared" si="2"/>
        <v>82.2</v>
      </c>
      <c r="H210" s="69"/>
      <c r="I210" s="68"/>
    </row>
    <row r="211" spans="1:9" ht="18">
      <c r="A211" s="65"/>
      <c r="B211" s="66"/>
      <c r="C211" s="67"/>
      <c r="D211" s="65"/>
      <c r="E211" s="68" t="s">
        <v>23</v>
      </c>
      <c r="F211" s="69"/>
      <c r="G211" s="69">
        <f>TRUNC(SUM(G205:G210),2)</f>
        <v>745.31</v>
      </c>
      <c r="H211" s="69"/>
      <c r="I211" s="68"/>
    </row>
    <row r="212" spans="1:9" ht="144">
      <c r="A212" s="75" t="s">
        <v>204</v>
      </c>
      <c r="B212" s="76" t="s">
        <v>236</v>
      </c>
      <c r="C212" s="77" t="s">
        <v>237</v>
      </c>
      <c r="D212" s="75" t="s">
        <v>7</v>
      </c>
      <c r="E212" s="78">
        <v>1</v>
      </c>
      <c r="F212" s="78">
        <f>TRUNC(F213,2)</f>
        <v>2132.1999999999998</v>
      </c>
      <c r="G212" s="79">
        <f>TRUNC(F212*1.2247,2)</f>
        <v>2611.3000000000002</v>
      </c>
      <c r="H212" s="78">
        <f>TRUNC(F212*E212,2)</f>
        <v>2132.1999999999998</v>
      </c>
      <c r="I212" s="78">
        <f>TRUNC(E212*G212,2)</f>
        <v>2611.3000000000002</v>
      </c>
    </row>
    <row r="213" spans="1:9" ht="144">
      <c r="A213" s="86"/>
      <c r="B213" s="87" t="s">
        <v>220</v>
      </c>
      <c r="C213" s="88" t="s">
        <v>221</v>
      </c>
      <c r="D213" s="89" t="s">
        <v>7</v>
      </c>
      <c r="E213" s="90">
        <v>1</v>
      </c>
      <c r="F213" s="90">
        <f>G235</f>
        <v>2132.1999999999998</v>
      </c>
      <c r="G213" s="91">
        <f t="shared" ref="G213:G234" si="3">TRUNC(E213*F213,2)</f>
        <v>2132.1999999999998</v>
      </c>
      <c r="H213" s="90"/>
      <c r="I213" s="92"/>
    </row>
    <row r="214" spans="1:9" ht="18">
      <c r="A214" s="93"/>
      <c r="B214" s="66" t="s">
        <v>44</v>
      </c>
      <c r="C214" s="67" t="s">
        <v>45</v>
      </c>
      <c r="D214" s="65" t="s">
        <v>7</v>
      </c>
      <c r="E214" s="68">
        <v>1</v>
      </c>
      <c r="F214" s="68">
        <f>TRUNC(6.07,2)</f>
        <v>6.07</v>
      </c>
      <c r="G214" s="85">
        <f t="shared" si="3"/>
        <v>6.07</v>
      </c>
      <c r="H214" s="68"/>
      <c r="I214" s="94"/>
    </row>
    <row r="215" spans="1:9" ht="36">
      <c r="A215" s="93"/>
      <c r="B215" s="66" t="s">
        <v>42</v>
      </c>
      <c r="C215" s="67" t="s">
        <v>43</v>
      </c>
      <c r="D215" s="65" t="s">
        <v>7</v>
      </c>
      <c r="E215" s="68">
        <v>0.71860000000000002</v>
      </c>
      <c r="F215" s="68">
        <f>TRUNC(8.3643,2)</f>
        <v>8.36</v>
      </c>
      <c r="G215" s="85">
        <f t="shared" si="3"/>
        <v>6</v>
      </c>
      <c r="H215" s="68"/>
      <c r="I215" s="94"/>
    </row>
    <row r="216" spans="1:9" ht="36">
      <c r="A216" s="93"/>
      <c r="B216" s="66" t="s">
        <v>226</v>
      </c>
      <c r="C216" s="67" t="s">
        <v>227</v>
      </c>
      <c r="D216" s="65" t="s">
        <v>7</v>
      </c>
      <c r="E216" s="68">
        <v>1.7966</v>
      </c>
      <c r="F216" s="68">
        <f>TRUNC(48.8325,2)</f>
        <v>48.83</v>
      </c>
      <c r="G216" s="85">
        <f t="shared" si="3"/>
        <v>87.72</v>
      </c>
      <c r="H216" s="68"/>
      <c r="I216" s="94"/>
    </row>
    <row r="217" spans="1:9" ht="18">
      <c r="A217" s="93"/>
      <c r="B217" s="66" t="s">
        <v>63</v>
      </c>
      <c r="C217" s="67" t="s">
        <v>64</v>
      </c>
      <c r="D217" s="65" t="s">
        <v>7</v>
      </c>
      <c r="E217" s="68">
        <v>2</v>
      </c>
      <c r="F217" s="68">
        <f>TRUNC(0.86,2)</f>
        <v>0.86</v>
      </c>
      <c r="G217" s="85">
        <f t="shared" si="3"/>
        <v>1.72</v>
      </c>
      <c r="H217" s="68"/>
      <c r="I217" s="94"/>
    </row>
    <row r="218" spans="1:9" ht="36">
      <c r="A218" s="93"/>
      <c r="B218" s="66" t="s">
        <v>228</v>
      </c>
      <c r="C218" s="67" t="s">
        <v>229</v>
      </c>
      <c r="D218" s="65" t="s">
        <v>7</v>
      </c>
      <c r="E218" s="68">
        <v>2</v>
      </c>
      <c r="F218" s="68">
        <f>TRUNC(17.4738,2)</f>
        <v>17.47</v>
      </c>
      <c r="G218" s="85">
        <f t="shared" si="3"/>
        <v>34.94</v>
      </c>
      <c r="H218" s="68"/>
      <c r="I218" s="94"/>
    </row>
    <row r="219" spans="1:9" ht="36">
      <c r="A219" s="93"/>
      <c r="B219" s="66" t="s">
        <v>80</v>
      </c>
      <c r="C219" s="67" t="s">
        <v>81</v>
      </c>
      <c r="D219" s="65" t="s">
        <v>7</v>
      </c>
      <c r="E219" s="68">
        <v>1</v>
      </c>
      <c r="F219" s="68">
        <f>TRUNC(1.8337,2)</f>
        <v>1.83</v>
      </c>
      <c r="G219" s="85">
        <f t="shared" si="3"/>
        <v>1.83</v>
      </c>
      <c r="H219" s="68"/>
      <c r="I219" s="94"/>
    </row>
    <row r="220" spans="1:9" ht="18">
      <c r="A220" s="93"/>
      <c r="B220" s="66" t="s">
        <v>46</v>
      </c>
      <c r="C220" s="67" t="s">
        <v>47</v>
      </c>
      <c r="D220" s="65" t="s">
        <v>7</v>
      </c>
      <c r="E220" s="68">
        <v>2</v>
      </c>
      <c r="F220" s="68">
        <f>TRUNC(1.7,2)</f>
        <v>1.7</v>
      </c>
      <c r="G220" s="85">
        <f t="shared" si="3"/>
        <v>3.4</v>
      </c>
      <c r="H220" s="68"/>
      <c r="I220" s="94"/>
    </row>
    <row r="221" spans="1:9" ht="36">
      <c r="A221" s="93"/>
      <c r="B221" s="66" t="s">
        <v>57</v>
      </c>
      <c r="C221" s="67" t="s">
        <v>58</v>
      </c>
      <c r="D221" s="65" t="s">
        <v>7</v>
      </c>
      <c r="E221" s="68">
        <v>1</v>
      </c>
      <c r="F221" s="68">
        <f>TRUNC(42.83,2)</f>
        <v>42.83</v>
      </c>
      <c r="G221" s="85">
        <f t="shared" si="3"/>
        <v>42.83</v>
      </c>
      <c r="H221" s="68"/>
      <c r="I221" s="94"/>
    </row>
    <row r="222" spans="1:9" ht="36">
      <c r="A222" s="93"/>
      <c r="B222" s="66" t="s">
        <v>65</v>
      </c>
      <c r="C222" s="67" t="s">
        <v>66</v>
      </c>
      <c r="D222" s="65" t="s">
        <v>7</v>
      </c>
      <c r="E222" s="68">
        <v>1</v>
      </c>
      <c r="F222" s="68">
        <f>TRUNC(25.8773,2)</f>
        <v>25.87</v>
      </c>
      <c r="G222" s="85">
        <f t="shared" si="3"/>
        <v>25.87</v>
      </c>
      <c r="H222" s="68"/>
      <c r="I222" s="94"/>
    </row>
    <row r="223" spans="1:9" ht="18">
      <c r="A223" s="93"/>
      <c r="B223" s="66" t="s">
        <v>230</v>
      </c>
      <c r="C223" s="67" t="s">
        <v>231</v>
      </c>
      <c r="D223" s="65" t="s">
        <v>7</v>
      </c>
      <c r="E223" s="68">
        <v>4</v>
      </c>
      <c r="F223" s="68">
        <f>TRUNC(9.98,2)</f>
        <v>9.98</v>
      </c>
      <c r="G223" s="85">
        <f t="shared" si="3"/>
        <v>39.92</v>
      </c>
      <c r="H223" s="68"/>
      <c r="I223" s="94"/>
    </row>
    <row r="224" spans="1:9" ht="18">
      <c r="A224" s="93"/>
      <c r="B224" s="66" t="s">
        <v>67</v>
      </c>
      <c r="C224" s="67" t="s">
        <v>68</v>
      </c>
      <c r="D224" s="65" t="s">
        <v>7</v>
      </c>
      <c r="E224" s="68">
        <v>1</v>
      </c>
      <c r="F224" s="68">
        <f>TRUNC(12.71,2)</f>
        <v>12.71</v>
      </c>
      <c r="G224" s="85">
        <f t="shared" si="3"/>
        <v>12.71</v>
      </c>
      <c r="H224" s="68"/>
      <c r="I224" s="94"/>
    </row>
    <row r="225" spans="1:9" ht="18">
      <c r="A225" s="93"/>
      <c r="B225" s="66" t="s">
        <v>69</v>
      </c>
      <c r="C225" s="67" t="s">
        <v>70</v>
      </c>
      <c r="D225" s="65" t="s">
        <v>7</v>
      </c>
      <c r="E225" s="68">
        <v>3</v>
      </c>
      <c r="F225" s="68">
        <f>TRUNC(4.36,2)</f>
        <v>4.3600000000000003</v>
      </c>
      <c r="G225" s="85">
        <f t="shared" si="3"/>
        <v>13.08</v>
      </c>
      <c r="H225" s="68"/>
      <c r="I225" s="94"/>
    </row>
    <row r="226" spans="1:9" ht="36">
      <c r="A226" s="93"/>
      <c r="B226" s="66" t="s">
        <v>71</v>
      </c>
      <c r="C226" s="67" t="s">
        <v>72</v>
      </c>
      <c r="D226" s="65" t="s">
        <v>7</v>
      </c>
      <c r="E226" s="68">
        <v>3</v>
      </c>
      <c r="F226" s="68">
        <f>TRUNC(41.36,2)</f>
        <v>41.36</v>
      </c>
      <c r="G226" s="85">
        <f t="shared" si="3"/>
        <v>124.08</v>
      </c>
      <c r="H226" s="68"/>
      <c r="I226" s="94"/>
    </row>
    <row r="227" spans="1:9" ht="54">
      <c r="A227" s="93"/>
      <c r="B227" s="66" t="s">
        <v>73</v>
      </c>
      <c r="C227" s="67" t="s">
        <v>74</v>
      </c>
      <c r="D227" s="65" t="s">
        <v>7</v>
      </c>
      <c r="E227" s="68">
        <v>1</v>
      </c>
      <c r="F227" s="68">
        <f>TRUNC(10.96,2)</f>
        <v>10.96</v>
      </c>
      <c r="G227" s="85">
        <f t="shared" si="3"/>
        <v>10.96</v>
      </c>
      <c r="H227" s="68"/>
      <c r="I227" s="94"/>
    </row>
    <row r="228" spans="1:9" ht="18">
      <c r="A228" s="93"/>
      <c r="B228" s="66" t="s">
        <v>75</v>
      </c>
      <c r="C228" s="67" t="s">
        <v>76</v>
      </c>
      <c r="D228" s="65" t="s">
        <v>77</v>
      </c>
      <c r="E228" s="68">
        <v>9.2999999999999992E-3</v>
      </c>
      <c r="F228" s="68">
        <f>TRUNC(95,2)</f>
        <v>95</v>
      </c>
      <c r="G228" s="85">
        <f t="shared" si="3"/>
        <v>0.88</v>
      </c>
      <c r="H228" s="68"/>
      <c r="I228" s="94"/>
    </row>
    <row r="229" spans="1:9" ht="54">
      <c r="A229" s="93"/>
      <c r="B229" s="66" t="s">
        <v>78</v>
      </c>
      <c r="C229" s="67" t="s">
        <v>79</v>
      </c>
      <c r="D229" s="65" t="s">
        <v>7</v>
      </c>
      <c r="E229" s="68">
        <v>1</v>
      </c>
      <c r="F229" s="68">
        <f>TRUNC(379.14,2)</f>
        <v>379.14</v>
      </c>
      <c r="G229" s="85">
        <f t="shared" si="3"/>
        <v>379.14</v>
      </c>
      <c r="H229" s="68"/>
      <c r="I229" s="94"/>
    </row>
    <row r="230" spans="1:9" s="109" customFormat="1" ht="18">
      <c r="A230" s="102"/>
      <c r="B230" s="103" t="s">
        <v>234</v>
      </c>
      <c r="C230" s="104" t="s">
        <v>235</v>
      </c>
      <c r="D230" s="105" t="s">
        <v>7</v>
      </c>
      <c r="E230" s="106">
        <v>1</v>
      </c>
      <c r="F230" s="106">
        <v>1100</v>
      </c>
      <c r="G230" s="107">
        <f t="shared" si="3"/>
        <v>1100</v>
      </c>
      <c r="H230" s="106"/>
      <c r="I230" s="108"/>
    </row>
    <row r="231" spans="1:9" ht="18">
      <c r="A231" s="93"/>
      <c r="B231" s="66" t="s">
        <v>232</v>
      </c>
      <c r="C231" s="67" t="s">
        <v>233</v>
      </c>
      <c r="D231" s="65" t="s">
        <v>7</v>
      </c>
      <c r="E231" s="68">
        <v>2</v>
      </c>
      <c r="F231" s="68">
        <f>TRUNC(6.7627,2)</f>
        <v>6.76</v>
      </c>
      <c r="G231" s="85">
        <f t="shared" si="3"/>
        <v>13.52</v>
      </c>
      <c r="H231" s="68"/>
      <c r="I231" s="94"/>
    </row>
    <row r="232" spans="1:9" ht="36">
      <c r="A232" s="93"/>
      <c r="B232" s="66" t="s">
        <v>51</v>
      </c>
      <c r="C232" s="67" t="s">
        <v>52</v>
      </c>
      <c r="D232" s="65" t="s">
        <v>31</v>
      </c>
      <c r="E232" s="68">
        <v>5.2319880000000003</v>
      </c>
      <c r="F232" s="68">
        <f>TRUNC(19.33,2)</f>
        <v>19.329999999999998</v>
      </c>
      <c r="G232" s="85">
        <f t="shared" si="3"/>
        <v>101.13</v>
      </c>
      <c r="H232" s="68"/>
      <c r="I232" s="94"/>
    </row>
    <row r="233" spans="1:9" ht="36">
      <c r="A233" s="93"/>
      <c r="B233" s="66" t="s">
        <v>53</v>
      </c>
      <c r="C233" s="67" t="s">
        <v>54</v>
      </c>
      <c r="D233" s="65" t="s">
        <v>31</v>
      </c>
      <c r="E233" s="68">
        <v>3.7586759999999999</v>
      </c>
      <c r="F233" s="68">
        <f>TRUNC(26.73,2)</f>
        <v>26.73</v>
      </c>
      <c r="G233" s="85">
        <f t="shared" si="3"/>
        <v>100.46</v>
      </c>
      <c r="H233" s="68"/>
      <c r="I233" s="94"/>
    </row>
    <row r="234" spans="1:9" ht="36">
      <c r="A234" s="93"/>
      <c r="B234" s="66" t="s">
        <v>59</v>
      </c>
      <c r="C234" s="67" t="s">
        <v>60</v>
      </c>
      <c r="D234" s="65" t="s">
        <v>32</v>
      </c>
      <c r="E234" s="68">
        <v>5.62E-2</v>
      </c>
      <c r="F234" s="68">
        <f>TRUNC(461.747,2)</f>
        <v>461.74</v>
      </c>
      <c r="G234" s="85">
        <f t="shared" si="3"/>
        <v>25.94</v>
      </c>
      <c r="H234" s="68"/>
      <c r="I234" s="94"/>
    </row>
    <row r="235" spans="1:9" ht="18">
      <c r="A235" s="95"/>
      <c r="B235" s="96"/>
      <c r="C235" s="97"/>
      <c r="D235" s="98"/>
      <c r="E235" s="99" t="s">
        <v>23</v>
      </c>
      <c r="F235" s="99"/>
      <c r="G235" s="100">
        <f>TRUNC(SUM(G214:G234),2)</f>
        <v>2132.1999999999998</v>
      </c>
      <c r="H235" s="99"/>
      <c r="I235" s="101"/>
    </row>
    <row r="236" spans="1:9" s="60" customFormat="1" ht="18">
      <c r="A236" s="80" t="s">
        <v>16</v>
      </c>
      <c r="B236" s="81"/>
      <c r="C236" s="82"/>
      <c r="D236" s="80"/>
      <c r="E236" s="83"/>
      <c r="F236" s="84"/>
      <c r="G236" s="110" t="s">
        <v>39</v>
      </c>
      <c r="H236" s="84">
        <f>H13+H22+H31+H36+H41+H46+H51+H56+H61+H66+H71+H78+H85+H92+H99+H106+H112+H118+H124+H130+H136+H142+H148+H155+H162+H169+H176+H183+H189+H196+H203+H212</f>
        <v>73014.909999999989</v>
      </c>
      <c r="I236" s="84">
        <f>I13+I22+I31+I36+I41+I46+I51+I56+I61+I66+I71+I78+I85+I92+I99+I106+I112+I118+I124+I130+I136+I142+I148+I155+I162+I169+I176+I183+I189+I196+I203+I212</f>
        <v>89396.36</v>
      </c>
    </row>
    <row r="237" spans="1:9" ht="15">
      <c r="A237" s="34"/>
      <c r="B237" s="35"/>
      <c r="C237" s="36"/>
      <c r="D237" s="37"/>
      <c r="E237" s="36"/>
      <c r="F237" s="36"/>
      <c r="G237" s="36"/>
      <c r="H237" s="36"/>
      <c r="I237" s="38"/>
    </row>
    <row r="238" spans="1:9" ht="15">
      <c r="A238" s="34"/>
      <c r="B238" s="35"/>
      <c r="C238" s="36"/>
      <c r="D238" s="37"/>
      <c r="E238" s="36"/>
      <c r="F238" s="36"/>
      <c r="G238" s="36"/>
      <c r="H238" s="36"/>
      <c r="I238" s="38"/>
    </row>
    <row r="239" spans="1:9" ht="15">
      <c r="A239" s="34"/>
      <c r="B239" s="35"/>
      <c r="C239" s="36"/>
      <c r="D239" s="37"/>
      <c r="E239" s="36"/>
      <c r="F239" s="36"/>
      <c r="G239" s="36"/>
      <c r="H239" s="36"/>
      <c r="I239" s="38"/>
    </row>
    <row r="240" spans="1:9" ht="15">
      <c r="A240" s="34"/>
      <c r="B240" s="35"/>
      <c r="C240" s="36"/>
      <c r="D240" s="37"/>
      <c r="E240" s="36"/>
      <c r="F240" s="36"/>
      <c r="G240" s="36"/>
      <c r="H240" s="36"/>
      <c r="I240" s="38"/>
    </row>
    <row r="241" spans="1:9" ht="15">
      <c r="A241" s="34"/>
      <c r="B241" s="35"/>
      <c r="C241" s="36"/>
      <c r="D241" s="37"/>
      <c r="E241" s="36"/>
      <c r="F241" s="36"/>
      <c r="G241" s="36"/>
      <c r="H241" s="36"/>
      <c r="I241" s="38"/>
    </row>
    <row r="242" spans="1:9" ht="15">
      <c r="A242" s="34"/>
      <c r="B242" s="35"/>
      <c r="C242" s="36"/>
      <c r="D242" s="37"/>
      <c r="E242" s="36"/>
      <c r="F242" s="36"/>
      <c r="G242" s="36"/>
      <c r="H242" s="36"/>
      <c r="I242" s="38"/>
    </row>
    <row r="243" spans="1:9" ht="15">
      <c r="A243" s="34"/>
      <c r="B243" s="35"/>
      <c r="C243" s="36"/>
      <c r="D243" s="37"/>
      <c r="E243" s="36"/>
      <c r="F243" s="36"/>
      <c r="G243" s="36"/>
      <c r="H243" s="36"/>
      <c r="I243" s="38"/>
    </row>
    <row r="244" spans="1:9" ht="15">
      <c r="A244" s="34"/>
      <c r="B244" s="35"/>
      <c r="C244" s="36"/>
      <c r="D244" s="37"/>
      <c r="E244" s="36"/>
      <c r="F244" s="36"/>
      <c r="G244" s="36"/>
      <c r="H244" s="36"/>
      <c r="I244" s="38"/>
    </row>
    <row r="245" spans="1:9" ht="15">
      <c r="A245" s="34"/>
      <c r="B245" s="35"/>
      <c r="C245" s="36"/>
      <c r="D245" s="37"/>
      <c r="E245" s="36"/>
      <c r="F245" s="36"/>
      <c r="G245" s="36"/>
      <c r="H245" s="36"/>
      <c r="I245" s="38"/>
    </row>
    <row r="246" spans="1:9" ht="15">
      <c r="A246" s="34"/>
      <c r="B246" s="35"/>
      <c r="C246" s="36"/>
      <c r="D246" s="37"/>
      <c r="E246" s="36"/>
      <c r="F246" s="36"/>
      <c r="G246" s="36"/>
      <c r="H246" s="36"/>
      <c r="I246" s="38"/>
    </row>
    <row r="247" spans="1:9" ht="15">
      <c r="A247" s="34"/>
      <c r="B247" s="35"/>
      <c r="C247" s="36"/>
      <c r="D247" s="37"/>
      <c r="E247" s="36"/>
      <c r="F247" s="36"/>
      <c r="G247" s="36"/>
      <c r="H247" s="36"/>
      <c r="I247" s="38"/>
    </row>
    <row r="248" spans="1:9" ht="15">
      <c r="A248" s="34"/>
      <c r="B248" s="35"/>
      <c r="C248" s="36"/>
      <c r="D248" s="37"/>
      <c r="E248" s="36"/>
      <c r="F248" s="36"/>
      <c r="G248" s="36"/>
      <c r="H248" s="36"/>
      <c r="I248" s="38"/>
    </row>
    <row r="249" spans="1:9" ht="15">
      <c r="A249" s="34"/>
      <c r="B249" s="35"/>
      <c r="C249" s="36"/>
      <c r="D249" s="37"/>
      <c r="E249" s="36"/>
      <c r="F249" s="36"/>
      <c r="G249" s="36"/>
      <c r="H249" s="36"/>
      <c r="I249" s="38"/>
    </row>
    <row r="250" spans="1:9" ht="15">
      <c r="A250" s="34"/>
      <c r="B250" s="35"/>
      <c r="C250" s="36"/>
      <c r="D250" s="37"/>
      <c r="E250" s="36"/>
      <c r="F250" s="36"/>
      <c r="G250" s="36"/>
      <c r="H250" s="36"/>
      <c r="I250" s="38"/>
    </row>
    <row r="251" spans="1:9" ht="15">
      <c r="A251" s="34"/>
      <c r="B251" s="35"/>
      <c r="C251" s="36"/>
      <c r="D251" s="37"/>
      <c r="E251" s="36"/>
      <c r="F251" s="36"/>
      <c r="G251" s="36"/>
      <c r="H251" s="36"/>
      <c r="I251" s="38"/>
    </row>
    <row r="252" spans="1:9" ht="15">
      <c r="A252" s="34"/>
      <c r="B252" s="35"/>
      <c r="C252" s="36"/>
      <c r="D252" s="37"/>
      <c r="E252" s="36"/>
      <c r="F252" s="36"/>
      <c r="G252" s="36"/>
      <c r="H252" s="36"/>
      <c r="I252" s="38"/>
    </row>
    <row r="253" spans="1:9" ht="15">
      <c r="A253" s="34"/>
      <c r="B253" s="35"/>
      <c r="C253" s="36"/>
      <c r="D253" s="37"/>
      <c r="E253" s="36"/>
      <c r="F253" s="36"/>
      <c r="G253" s="36"/>
      <c r="H253" s="36"/>
      <c r="I253" s="38"/>
    </row>
    <row r="254" spans="1:9" ht="15">
      <c r="A254" s="34"/>
      <c r="B254" s="35"/>
      <c r="C254" s="36"/>
      <c r="D254" s="37"/>
      <c r="E254" s="36"/>
      <c r="F254" s="36"/>
      <c r="G254" s="36"/>
      <c r="H254" s="36"/>
      <c r="I254" s="38"/>
    </row>
    <row r="255" spans="1:9" ht="15">
      <c r="A255" s="34"/>
      <c r="B255" s="35"/>
      <c r="C255" s="36"/>
      <c r="D255" s="37"/>
      <c r="E255" s="36"/>
      <c r="F255" s="36"/>
      <c r="G255" s="36"/>
      <c r="H255" s="36"/>
      <c r="I255" s="38"/>
    </row>
    <row r="256" spans="1:9" ht="15">
      <c r="A256" s="34"/>
      <c r="B256" s="35"/>
      <c r="C256" s="36"/>
      <c r="D256" s="37"/>
      <c r="E256" s="36"/>
      <c r="F256" s="36"/>
      <c r="G256" s="36"/>
      <c r="H256" s="36"/>
      <c r="I256" s="38"/>
    </row>
    <row r="257" spans="1:9" ht="15">
      <c r="A257" s="34"/>
      <c r="B257" s="35"/>
      <c r="C257" s="36"/>
      <c r="D257" s="37"/>
      <c r="E257" s="36"/>
      <c r="F257" s="36"/>
      <c r="G257" s="36"/>
      <c r="H257" s="36"/>
      <c r="I257" s="38"/>
    </row>
    <row r="258" spans="1:9" ht="15">
      <c r="A258" s="34"/>
      <c r="B258" s="35"/>
      <c r="C258" s="36"/>
      <c r="D258" s="37"/>
      <c r="E258" s="36"/>
      <c r="F258" s="36"/>
      <c r="G258" s="36"/>
      <c r="H258" s="36"/>
      <c r="I258" s="38"/>
    </row>
    <row r="259" spans="1:9" ht="15">
      <c r="A259" s="34"/>
      <c r="B259" s="35"/>
      <c r="C259" s="36"/>
      <c r="D259" s="37"/>
      <c r="E259" s="36"/>
      <c r="F259" s="36"/>
      <c r="G259" s="36"/>
      <c r="H259" s="36"/>
      <c r="I259" s="38"/>
    </row>
    <row r="260" spans="1:9" ht="15">
      <c r="A260" s="34"/>
      <c r="B260" s="35"/>
      <c r="C260" s="36"/>
      <c r="D260" s="37"/>
      <c r="E260" s="36"/>
      <c r="F260" s="36"/>
      <c r="G260" s="36"/>
      <c r="H260" s="36"/>
      <c r="I260" s="38"/>
    </row>
    <row r="261" spans="1:9" ht="15">
      <c r="A261" s="34"/>
      <c r="B261" s="35"/>
      <c r="C261" s="36"/>
      <c r="D261" s="37"/>
      <c r="E261" s="36"/>
      <c r="F261" s="36"/>
      <c r="G261" s="36"/>
      <c r="H261" s="36"/>
      <c r="I261" s="38"/>
    </row>
    <row r="262" spans="1:9" ht="15">
      <c r="A262" s="34"/>
      <c r="B262" s="35"/>
      <c r="C262" s="36"/>
      <c r="D262" s="37"/>
      <c r="E262" s="36"/>
      <c r="F262" s="36"/>
      <c r="G262" s="36"/>
      <c r="H262" s="36"/>
      <c r="I262" s="38"/>
    </row>
    <row r="263" spans="1:9" ht="15">
      <c r="A263" s="34"/>
      <c r="B263" s="35"/>
      <c r="C263" s="36"/>
      <c r="D263" s="37"/>
      <c r="E263" s="36"/>
      <c r="F263" s="36"/>
      <c r="G263" s="36"/>
      <c r="H263" s="36"/>
      <c r="I263" s="38"/>
    </row>
    <row r="264" spans="1:9" ht="15">
      <c r="A264" s="34"/>
      <c r="B264" s="35"/>
      <c r="C264" s="36"/>
      <c r="D264" s="37"/>
      <c r="E264" s="36"/>
      <c r="F264" s="36"/>
      <c r="G264" s="36"/>
      <c r="H264" s="36"/>
      <c r="I264" s="38"/>
    </row>
    <row r="265" spans="1:9" ht="15">
      <c r="A265" s="34"/>
      <c r="B265" s="35"/>
      <c r="C265" s="36"/>
      <c r="D265" s="37"/>
      <c r="E265" s="36"/>
      <c r="F265" s="36"/>
      <c r="G265" s="36"/>
      <c r="H265" s="36"/>
      <c r="I265" s="38"/>
    </row>
    <row r="266" spans="1:9" ht="15">
      <c r="A266" s="34"/>
      <c r="B266" s="35"/>
      <c r="C266" s="36"/>
      <c r="D266" s="37"/>
      <c r="E266" s="36"/>
      <c r="F266" s="36"/>
      <c r="G266" s="36"/>
      <c r="H266" s="36"/>
      <c r="I266" s="38"/>
    </row>
    <row r="267" spans="1:9" ht="15">
      <c r="A267" s="34"/>
      <c r="B267" s="35"/>
      <c r="C267" s="36"/>
      <c r="D267" s="37"/>
      <c r="E267" s="36"/>
      <c r="F267" s="36"/>
      <c r="G267" s="36"/>
      <c r="H267" s="36"/>
      <c r="I267" s="38"/>
    </row>
    <row r="268" spans="1:9" ht="15">
      <c r="A268" s="34"/>
      <c r="B268" s="35"/>
      <c r="C268" s="36"/>
      <c r="D268" s="37"/>
      <c r="E268" s="36"/>
      <c r="F268" s="36"/>
      <c r="G268" s="36"/>
      <c r="H268" s="36"/>
      <c r="I268" s="38"/>
    </row>
    <row r="269" spans="1:9">
      <c r="A269" s="39"/>
      <c r="B269" s="40"/>
      <c r="C269" s="41"/>
      <c r="D269" s="42"/>
      <c r="E269" s="41"/>
      <c r="F269" s="41"/>
      <c r="G269" s="41"/>
      <c r="H269" s="41"/>
      <c r="I269" s="43"/>
    </row>
    <row r="270" spans="1:9">
      <c r="A270" s="39"/>
      <c r="B270" s="40"/>
      <c r="C270" s="41"/>
      <c r="D270" s="42"/>
      <c r="E270" s="41"/>
      <c r="F270" s="41"/>
      <c r="G270" s="41"/>
      <c r="H270" s="41"/>
      <c r="I270" s="43"/>
    </row>
    <row r="271" spans="1:9">
      <c r="A271" s="39"/>
      <c r="B271" s="40"/>
      <c r="C271" s="41"/>
      <c r="D271" s="42"/>
      <c r="E271" s="41"/>
      <c r="F271" s="41"/>
      <c r="G271" s="41"/>
      <c r="H271" s="41"/>
      <c r="I271" s="43"/>
    </row>
    <row r="272" spans="1:9">
      <c r="A272" s="39"/>
      <c r="B272" s="40"/>
      <c r="C272" s="41"/>
      <c r="D272" s="42"/>
      <c r="E272" s="41"/>
      <c r="F272" s="41"/>
      <c r="G272" s="41"/>
      <c r="H272" s="41"/>
      <c r="I272" s="43"/>
    </row>
    <row r="273" spans="1:9">
      <c r="A273" s="39"/>
      <c r="B273" s="40"/>
      <c r="C273" s="41"/>
      <c r="D273" s="42"/>
      <c r="E273" s="41"/>
      <c r="F273" s="41"/>
      <c r="G273" s="41"/>
      <c r="H273" s="41"/>
      <c r="I273" s="43"/>
    </row>
    <row r="274" spans="1:9">
      <c r="A274" s="39"/>
      <c r="B274" s="40"/>
      <c r="C274" s="41"/>
      <c r="D274" s="42"/>
      <c r="E274" s="41"/>
      <c r="F274" s="41"/>
      <c r="G274" s="41"/>
      <c r="H274" s="41"/>
      <c r="I274" s="43"/>
    </row>
    <row r="275" spans="1:9">
      <c r="A275" s="39"/>
      <c r="B275" s="40"/>
      <c r="C275" s="41"/>
      <c r="D275" s="42"/>
      <c r="E275" s="41"/>
      <c r="F275" s="41"/>
      <c r="G275" s="41"/>
      <c r="H275" s="41"/>
      <c r="I275" s="43"/>
    </row>
    <row r="276" spans="1:9">
      <c r="A276" s="39"/>
      <c r="B276" s="40"/>
      <c r="C276" s="41"/>
      <c r="D276" s="42"/>
      <c r="E276" s="41"/>
      <c r="F276" s="41"/>
      <c r="G276" s="41"/>
      <c r="H276" s="41"/>
      <c r="I276" s="43"/>
    </row>
    <row r="277" spans="1:9">
      <c r="A277" s="39"/>
      <c r="B277" s="40"/>
      <c r="C277" s="41"/>
      <c r="D277" s="42"/>
      <c r="E277" s="41"/>
      <c r="F277" s="41"/>
      <c r="G277" s="41"/>
      <c r="H277" s="41"/>
      <c r="I277" s="43"/>
    </row>
    <row r="278" spans="1:9">
      <c r="A278" s="39"/>
      <c r="B278" s="40"/>
      <c r="C278" s="41"/>
      <c r="D278" s="42"/>
      <c r="E278" s="41"/>
      <c r="F278" s="41"/>
      <c r="G278" s="41"/>
      <c r="H278" s="41"/>
      <c r="I278" s="43"/>
    </row>
    <row r="279" spans="1:9">
      <c r="A279" s="39"/>
      <c r="B279" s="40"/>
      <c r="C279" s="41"/>
      <c r="D279" s="42"/>
      <c r="E279" s="41"/>
      <c r="F279" s="41"/>
      <c r="G279" s="41"/>
      <c r="H279" s="41"/>
      <c r="I279" s="43"/>
    </row>
    <row r="280" spans="1:9">
      <c r="A280" s="39"/>
      <c r="B280" s="40"/>
      <c r="C280" s="41"/>
      <c r="D280" s="42"/>
      <c r="E280" s="41"/>
      <c r="F280" s="41"/>
      <c r="G280" s="41"/>
      <c r="H280" s="41"/>
      <c r="I280" s="43"/>
    </row>
    <row r="281" spans="1:9">
      <c r="A281" s="39"/>
      <c r="B281" s="40"/>
      <c r="C281" s="41"/>
      <c r="D281" s="42"/>
      <c r="E281" s="41"/>
      <c r="F281" s="41"/>
      <c r="G281" s="41"/>
      <c r="H281" s="41"/>
      <c r="I281" s="43"/>
    </row>
    <row r="282" spans="1:9">
      <c r="A282" s="39"/>
      <c r="B282" s="40"/>
      <c r="C282" s="41"/>
      <c r="D282" s="42"/>
      <c r="E282" s="41"/>
      <c r="F282" s="41"/>
      <c r="G282" s="41"/>
      <c r="H282" s="41"/>
      <c r="I282" s="43"/>
    </row>
    <row r="283" spans="1:9">
      <c r="A283" s="39"/>
      <c r="B283" s="40"/>
      <c r="C283" s="41"/>
      <c r="D283" s="42"/>
      <c r="E283" s="41"/>
      <c r="F283" s="41"/>
      <c r="G283" s="41"/>
      <c r="H283" s="41"/>
      <c r="I283" s="43"/>
    </row>
    <row r="284" spans="1:9">
      <c r="A284" s="39"/>
      <c r="B284" s="40"/>
      <c r="C284" s="41"/>
      <c r="D284" s="42"/>
      <c r="E284" s="41"/>
      <c r="F284" s="41"/>
      <c r="G284" s="41"/>
      <c r="H284" s="41"/>
      <c r="I284" s="43"/>
    </row>
    <row r="285" spans="1:9">
      <c r="A285" s="39"/>
      <c r="B285" s="40"/>
      <c r="C285" s="41"/>
      <c r="D285" s="42"/>
      <c r="E285" s="41"/>
      <c r="F285" s="41"/>
      <c r="G285" s="41"/>
      <c r="H285" s="41"/>
      <c r="I285" s="43"/>
    </row>
    <row r="286" spans="1:9">
      <c r="A286" s="39"/>
      <c r="B286" s="40"/>
      <c r="C286" s="41"/>
      <c r="D286" s="42"/>
      <c r="E286" s="41"/>
      <c r="F286" s="41"/>
      <c r="G286" s="41"/>
      <c r="H286" s="41"/>
      <c r="I286" s="43"/>
    </row>
    <row r="287" spans="1:9">
      <c r="A287" s="39"/>
      <c r="B287" s="40"/>
      <c r="C287" s="41"/>
      <c r="D287" s="42"/>
      <c r="E287" s="41"/>
      <c r="F287" s="41"/>
      <c r="G287" s="41"/>
      <c r="H287" s="41"/>
      <c r="I287" s="43"/>
    </row>
    <row r="288" spans="1:9">
      <c r="A288" s="39"/>
      <c r="B288" s="40"/>
      <c r="C288" s="41"/>
      <c r="D288" s="42"/>
      <c r="E288" s="41"/>
      <c r="F288" s="41"/>
      <c r="G288" s="41"/>
      <c r="H288" s="41"/>
      <c r="I288" s="43"/>
    </row>
    <row r="289" spans="1:9">
      <c r="A289" s="39"/>
      <c r="B289" s="40"/>
      <c r="C289" s="41"/>
      <c r="D289" s="42"/>
      <c r="E289" s="41"/>
      <c r="F289" s="41"/>
      <c r="G289" s="41"/>
      <c r="H289" s="41"/>
      <c r="I289" s="43"/>
    </row>
    <row r="290" spans="1:9">
      <c r="A290" s="39"/>
      <c r="B290" s="40"/>
      <c r="C290" s="41"/>
      <c r="D290" s="42"/>
      <c r="E290" s="41"/>
      <c r="F290" s="41"/>
      <c r="G290" s="41"/>
      <c r="H290" s="41"/>
      <c r="I290" s="43"/>
    </row>
    <row r="291" spans="1:9">
      <c r="A291" s="39"/>
      <c r="B291" s="40"/>
      <c r="C291" s="41"/>
      <c r="D291" s="42"/>
      <c r="E291" s="41"/>
      <c r="F291" s="41"/>
      <c r="G291" s="41"/>
      <c r="H291" s="41"/>
      <c r="I291" s="43"/>
    </row>
    <row r="292" spans="1:9">
      <c r="A292" s="39"/>
      <c r="B292" s="40"/>
      <c r="C292" s="41"/>
      <c r="D292" s="42"/>
      <c r="E292" s="41"/>
      <c r="F292" s="41"/>
      <c r="G292" s="41"/>
      <c r="H292" s="41"/>
      <c r="I292" s="43"/>
    </row>
    <row r="293" spans="1:9">
      <c r="A293" s="39"/>
      <c r="B293" s="40"/>
      <c r="C293" s="41"/>
      <c r="D293" s="42"/>
      <c r="E293" s="41"/>
      <c r="F293" s="41"/>
      <c r="G293" s="41"/>
      <c r="H293" s="41"/>
      <c r="I293" s="43"/>
    </row>
    <row r="294" spans="1:9">
      <c r="A294" s="39"/>
      <c r="B294" s="40"/>
      <c r="C294" s="41"/>
      <c r="D294" s="42"/>
      <c r="E294" s="41"/>
      <c r="F294" s="41"/>
      <c r="G294" s="41"/>
      <c r="H294" s="41"/>
      <c r="I294" s="43"/>
    </row>
    <row r="295" spans="1:9">
      <c r="A295" s="39"/>
      <c r="B295" s="40"/>
      <c r="C295" s="41"/>
      <c r="D295" s="42"/>
      <c r="E295" s="41"/>
      <c r="F295" s="41"/>
      <c r="G295" s="41"/>
      <c r="H295" s="41"/>
      <c r="I295" s="43"/>
    </row>
    <row r="296" spans="1:9">
      <c r="A296" s="39"/>
      <c r="B296" s="40"/>
      <c r="C296" s="41"/>
      <c r="D296" s="42"/>
      <c r="E296" s="41"/>
      <c r="F296" s="41"/>
      <c r="G296" s="41"/>
      <c r="H296" s="41"/>
      <c r="I296" s="43"/>
    </row>
    <row r="297" spans="1:9">
      <c r="A297" s="39"/>
      <c r="B297" s="40"/>
      <c r="C297" s="41"/>
      <c r="D297" s="42"/>
      <c r="E297" s="41"/>
      <c r="F297" s="41"/>
      <c r="G297" s="41"/>
      <c r="H297" s="41"/>
      <c r="I297" s="43"/>
    </row>
    <row r="298" spans="1:9">
      <c r="A298" s="39"/>
      <c r="B298" s="40"/>
      <c r="C298" s="41"/>
      <c r="D298" s="42"/>
      <c r="E298" s="41"/>
      <c r="F298" s="41"/>
      <c r="G298" s="41"/>
      <c r="H298" s="41"/>
      <c r="I298" s="43"/>
    </row>
    <row r="299" spans="1:9">
      <c r="A299" s="39"/>
      <c r="B299" s="40"/>
      <c r="C299" s="41"/>
      <c r="D299" s="42"/>
      <c r="E299" s="41"/>
      <c r="F299" s="41"/>
      <c r="G299" s="41"/>
      <c r="H299" s="41"/>
      <c r="I299" s="43"/>
    </row>
    <row r="300" spans="1:9">
      <c r="A300" s="39"/>
      <c r="B300" s="40"/>
      <c r="C300" s="41"/>
      <c r="D300" s="42"/>
      <c r="E300" s="41"/>
      <c r="F300" s="41"/>
      <c r="G300" s="41"/>
      <c r="H300" s="41"/>
      <c r="I300" s="43"/>
    </row>
    <row r="301" spans="1:9">
      <c r="A301" s="39"/>
      <c r="B301" s="40"/>
      <c r="C301" s="41"/>
      <c r="D301" s="42"/>
      <c r="E301" s="41"/>
      <c r="F301" s="41"/>
      <c r="G301" s="41"/>
      <c r="H301" s="41"/>
      <c r="I301" s="43"/>
    </row>
    <row r="302" spans="1:9">
      <c r="A302" s="39"/>
      <c r="B302" s="40"/>
      <c r="C302" s="41"/>
      <c r="D302" s="42"/>
      <c r="E302" s="41"/>
      <c r="F302" s="41"/>
      <c r="G302" s="41"/>
      <c r="H302" s="41"/>
      <c r="I302" s="43"/>
    </row>
    <row r="303" spans="1:9">
      <c r="A303" s="39"/>
      <c r="B303" s="40"/>
      <c r="C303" s="41"/>
      <c r="D303" s="42"/>
      <c r="E303" s="41"/>
      <c r="F303" s="41"/>
      <c r="G303" s="41"/>
      <c r="H303" s="41"/>
      <c r="I303" s="43"/>
    </row>
    <row r="304" spans="1:9">
      <c r="A304" s="39"/>
      <c r="B304" s="40"/>
      <c r="C304" s="41"/>
      <c r="D304" s="42"/>
      <c r="E304" s="41"/>
      <c r="F304" s="41"/>
      <c r="G304" s="41"/>
      <c r="H304" s="41"/>
      <c r="I304" s="43"/>
    </row>
    <row r="305" spans="1:9">
      <c r="A305" s="39"/>
      <c r="B305" s="40"/>
      <c r="C305" s="41"/>
      <c r="D305" s="42"/>
      <c r="E305" s="41"/>
      <c r="F305" s="41"/>
      <c r="G305" s="41"/>
      <c r="H305" s="41"/>
      <c r="I305" s="43"/>
    </row>
    <row r="306" spans="1:9">
      <c r="A306" s="39"/>
      <c r="B306" s="40"/>
      <c r="C306" s="41"/>
      <c r="D306" s="42"/>
      <c r="E306" s="41"/>
      <c r="F306" s="41"/>
      <c r="G306" s="41"/>
      <c r="H306" s="41"/>
      <c r="I306" s="43"/>
    </row>
    <row r="307" spans="1:9">
      <c r="A307" s="39"/>
      <c r="B307" s="40"/>
      <c r="C307" s="41"/>
      <c r="D307" s="42"/>
      <c r="E307" s="41"/>
      <c r="F307" s="41"/>
      <c r="G307" s="41"/>
      <c r="H307" s="41"/>
      <c r="I307" s="43"/>
    </row>
    <row r="308" spans="1:9">
      <c r="A308" s="39"/>
      <c r="B308" s="40"/>
      <c r="C308" s="41"/>
      <c r="D308" s="42"/>
      <c r="E308" s="41"/>
      <c r="F308" s="41"/>
      <c r="G308" s="41"/>
      <c r="H308" s="41"/>
      <c r="I308" s="43"/>
    </row>
    <row r="309" spans="1:9">
      <c r="A309" s="39"/>
      <c r="B309" s="40"/>
      <c r="C309" s="41"/>
      <c r="D309" s="42"/>
      <c r="E309" s="41"/>
      <c r="F309" s="41"/>
      <c r="G309" s="41"/>
      <c r="H309" s="41"/>
      <c r="I309" s="43"/>
    </row>
    <row r="310" spans="1:9">
      <c r="A310" s="39"/>
      <c r="B310" s="40"/>
      <c r="C310" s="41"/>
      <c r="D310" s="42"/>
      <c r="E310" s="41"/>
      <c r="F310" s="41"/>
      <c r="G310" s="41"/>
      <c r="H310" s="41"/>
      <c r="I310" s="43"/>
    </row>
    <row r="311" spans="1:9">
      <c r="A311" s="39"/>
      <c r="B311" s="40"/>
      <c r="C311" s="41"/>
      <c r="D311" s="42"/>
      <c r="E311" s="41"/>
      <c r="F311" s="41"/>
      <c r="G311" s="41"/>
      <c r="H311" s="41"/>
      <c r="I311" s="43"/>
    </row>
    <row r="312" spans="1:9">
      <c r="A312" s="39"/>
      <c r="B312" s="40"/>
      <c r="C312" s="41"/>
      <c r="D312" s="42"/>
      <c r="E312" s="41"/>
      <c r="F312" s="41"/>
      <c r="G312" s="41"/>
      <c r="H312" s="41"/>
      <c r="I312" s="43"/>
    </row>
    <row r="313" spans="1:9">
      <c r="A313" s="39"/>
      <c r="B313" s="40"/>
      <c r="C313" s="41"/>
      <c r="D313" s="42"/>
      <c r="E313" s="41"/>
      <c r="F313" s="41"/>
      <c r="G313" s="41"/>
      <c r="H313" s="41"/>
      <c r="I313" s="43"/>
    </row>
    <row r="314" spans="1:9">
      <c r="A314" s="39"/>
      <c r="B314" s="40"/>
      <c r="C314" s="41"/>
      <c r="D314" s="42"/>
      <c r="E314" s="41"/>
      <c r="F314" s="41"/>
      <c r="G314" s="41"/>
      <c r="H314" s="41"/>
      <c r="I314" s="43"/>
    </row>
    <row r="315" spans="1:9">
      <c r="A315" s="39"/>
      <c r="B315" s="40"/>
      <c r="C315" s="41"/>
      <c r="D315" s="42"/>
      <c r="E315" s="41"/>
      <c r="F315" s="41"/>
      <c r="G315" s="41"/>
      <c r="H315" s="41"/>
      <c r="I315" s="43"/>
    </row>
    <row r="316" spans="1:9">
      <c r="A316" s="39"/>
      <c r="B316" s="40"/>
      <c r="C316" s="41"/>
      <c r="D316" s="42"/>
      <c r="E316" s="41"/>
      <c r="F316" s="41"/>
      <c r="G316" s="41"/>
      <c r="H316" s="41"/>
      <c r="I316" s="43"/>
    </row>
    <row r="317" spans="1:9">
      <c r="A317" s="39"/>
      <c r="B317" s="40"/>
      <c r="C317" s="41"/>
      <c r="D317" s="42"/>
      <c r="E317" s="41"/>
      <c r="F317" s="41"/>
      <c r="G317" s="41"/>
      <c r="H317" s="41"/>
      <c r="I317" s="43"/>
    </row>
    <row r="318" spans="1:9">
      <c r="A318" s="39"/>
      <c r="B318" s="40"/>
      <c r="C318" s="41"/>
      <c r="D318" s="42"/>
      <c r="E318" s="41"/>
      <c r="F318" s="41"/>
      <c r="G318" s="41"/>
      <c r="H318" s="41"/>
      <c r="I318" s="43"/>
    </row>
    <row r="319" spans="1:9">
      <c r="A319" s="39"/>
      <c r="B319" s="40"/>
      <c r="C319" s="41"/>
      <c r="D319" s="42"/>
      <c r="E319" s="41"/>
      <c r="F319" s="41"/>
      <c r="G319" s="41"/>
      <c r="H319" s="41"/>
      <c r="I319" s="43"/>
    </row>
    <row r="320" spans="1:9">
      <c r="A320" s="39"/>
      <c r="B320" s="40"/>
      <c r="C320" s="41"/>
      <c r="D320" s="42"/>
      <c r="E320" s="41"/>
      <c r="F320" s="41"/>
      <c r="G320" s="41"/>
      <c r="H320" s="41"/>
      <c r="I320" s="43"/>
    </row>
    <row r="321" spans="1:9">
      <c r="A321" s="39"/>
      <c r="B321" s="40"/>
      <c r="C321" s="41"/>
      <c r="D321" s="42"/>
      <c r="E321" s="41"/>
      <c r="F321" s="41"/>
      <c r="G321" s="41"/>
      <c r="H321" s="41"/>
      <c r="I321" s="43"/>
    </row>
    <row r="322" spans="1:9">
      <c r="A322" s="39"/>
      <c r="B322" s="40"/>
      <c r="C322" s="41"/>
      <c r="D322" s="42"/>
      <c r="E322" s="41"/>
      <c r="F322" s="41"/>
      <c r="G322" s="41"/>
      <c r="H322" s="41"/>
      <c r="I322" s="43"/>
    </row>
    <row r="323" spans="1:9">
      <c r="A323" s="39"/>
      <c r="B323" s="40"/>
      <c r="C323" s="41"/>
      <c r="D323" s="42"/>
      <c r="E323" s="41"/>
      <c r="F323" s="41"/>
      <c r="G323" s="41"/>
      <c r="H323" s="41"/>
      <c r="I323" s="43"/>
    </row>
    <row r="324" spans="1:9">
      <c r="A324" s="39"/>
      <c r="B324" s="40"/>
      <c r="C324" s="41"/>
      <c r="D324" s="42"/>
      <c r="E324" s="41"/>
      <c r="F324" s="41"/>
      <c r="G324" s="41"/>
      <c r="H324" s="41"/>
      <c r="I324" s="43"/>
    </row>
    <row r="325" spans="1:9">
      <c r="A325" s="39"/>
      <c r="B325" s="40"/>
      <c r="C325" s="41"/>
      <c r="D325" s="42"/>
      <c r="E325" s="41"/>
      <c r="F325" s="41"/>
      <c r="G325" s="41"/>
      <c r="H325" s="41"/>
      <c r="I325" s="43"/>
    </row>
    <row r="326" spans="1:9">
      <c r="A326" s="39"/>
      <c r="B326" s="40"/>
      <c r="C326" s="41"/>
      <c r="D326" s="42"/>
      <c r="E326" s="41"/>
      <c r="F326" s="41"/>
      <c r="G326" s="41"/>
      <c r="H326" s="41"/>
      <c r="I326" s="43"/>
    </row>
    <row r="327" spans="1:9">
      <c r="A327" s="39"/>
      <c r="B327" s="40"/>
      <c r="C327" s="41"/>
      <c r="D327" s="42"/>
      <c r="E327" s="41"/>
      <c r="F327" s="41"/>
      <c r="G327" s="41"/>
      <c r="H327" s="41"/>
      <c r="I327" s="43"/>
    </row>
    <row r="328" spans="1:9">
      <c r="A328" s="39"/>
      <c r="B328" s="40"/>
      <c r="C328" s="41"/>
      <c r="D328" s="42"/>
      <c r="E328" s="41"/>
      <c r="F328" s="41"/>
      <c r="G328" s="41"/>
      <c r="H328" s="41"/>
      <c r="I328" s="43"/>
    </row>
    <row r="329" spans="1:9">
      <c r="A329" s="39"/>
      <c r="B329" s="40"/>
      <c r="C329" s="41"/>
      <c r="D329" s="42"/>
      <c r="E329" s="41"/>
      <c r="F329" s="41"/>
      <c r="G329" s="41"/>
      <c r="H329" s="41"/>
      <c r="I329" s="43"/>
    </row>
    <row r="330" spans="1:9">
      <c r="A330" s="39"/>
      <c r="B330" s="40"/>
      <c r="C330" s="41"/>
      <c r="D330" s="42"/>
      <c r="E330" s="41"/>
      <c r="F330" s="41"/>
      <c r="G330" s="41"/>
      <c r="H330" s="41"/>
      <c r="I330" s="43"/>
    </row>
    <row r="331" spans="1:9">
      <c r="A331" s="39"/>
      <c r="B331" s="40"/>
      <c r="C331" s="41"/>
      <c r="D331" s="42"/>
      <c r="E331" s="41"/>
      <c r="F331" s="41"/>
      <c r="G331" s="41"/>
      <c r="H331" s="41"/>
      <c r="I331" s="43"/>
    </row>
    <row r="332" spans="1:9">
      <c r="A332" s="39"/>
      <c r="B332" s="40"/>
      <c r="C332" s="41"/>
      <c r="D332" s="42"/>
      <c r="E332" s="41"/>
      <c r="F332" s="41"/>
      <c r="G332" s="41"/>
      <c r="H332" s="41"/>
      <c r="I332" s="43"/>
    </row>
    <row r="333" spans="1:9">
      <c r="A333" s="39"/>
      <c r="B333" s="40"/>
      <c r="C333" s="41"/>
      <c r="D333" s="42"/>
      <c r="E333" s="41"/>
      <c r="F333" s="41"/>
      <c r="G333" s="41"/>
      <c r="H333" s="41"/>
      <c r="I333" s="43"/>
    </row>
    <row r="334" spans="1:9">
      <c r="A334" s="39"/>
      <c r="B334" s="40"/>
      <c r="C334" s="41"/>
      <c r="D334" s="42"/>
      <c r="E334" s="41"/>
      <c r="F334" s="41"/>
      <c r="G334" s="41"/>
      <c r="H334" s="41"/>
      <c r="I334" s="43"/>
    </row>
    <row r="335" spans="1:9">
      <c r="A335" s="39"/>
      <c r="B335" s="40"/>
      <c r="C335" s="41"/>
      <c r="D335" s="42"/>
      <c r="E335" s="41"/>
      <c r="F335" s="41"/>
      <c r="G335" s="41"/>
      <c r="H335" s="41"/>
      <c r="I335" s="43"/>
    </row>
    <row r="336" spans="1:9">
      <c r="A336" s="39"/>
      <c r="B336" s="40"/>
      <c r="C336" s="41"/>
      <c r="D336" s="42"/>
      <c r="E336" s="41"/>
      <c r="F336" s="41"/>
      <c r="G336" s="41"/>
      <c r="H336" s="41"/>
      <c r="I336" s="43"/>
    </row>
    <row r="337" spans="1:9">
      <c r="A337" s="39"/>
      <c r="B337" s="40"/>
      <c r="C337" s="41"/>
      <c r="D337" s="42"/>
      <c r="E337" s="41"/>
      <c r="F337" s="41"/>
      <c r="G337" s="41"/>
      <c r="H337" s="41"/>
      <c r="I337" s="43"/>
    </row>
    <row r="338" spans="1:9">
      <c r="A338" s="39"/>
      <c r="B338" s="40"/>
      <c r="C338" s="41"/>
      <c r="D338" s="42"/>
      <c r="E338" s="41"/>
      <c r="F338" s="41"/>
      <c r="G338" s="41"/>
      <c r="H338" s="41"/>
      <c r="I338" s="43"/>
    </row>
    <row r="339" spans="1:9">
      <c r="A339" s="39"/>
      <c r="B339" s="40"/>
      <c r="C339" s="41"/>
      <c r="D339" s="42"/>
      <c r="E339" s="41"/>
      <c r="F339" s="41"/>
      <c r="G339" s="41"/>
      <c r="H339" s="41"/>
      <c r="I339" s="43"/>
    </row>
    <row r="340" spans="1:9">
      <c r="A340" s="39"/>
      <c r="B340" s="40"/>
      <c r="C340" s="41"/>
      <c r="D340" s="42"/>
      <c r="E340" s="41"/>
      <c r="F340" s="41"/>
      <c r="G340" s="41"/>
      <c r="H340" s="41"/>
      <c r="I340" s="43"/>
    </row>
    <row r="341" spans="1:9">
      <c r="A341" s="39"/>
      <c r="B341" s="40"/>
      <c r="C341" s="41"/>
      <c r="D341" s="42"/>
      <c r="E341" s="41"/>
      <c r="F341" s="41"/>
      <c r="G341" s="41"/>
      <c r="H341" s="41"/>
      <c r="I341" s="43"/>
    </row>
    <row r="342" spans="1:9">
      <c r="A342" s="39"/>
      <c r="B342" s="40"/>
      <c r="C342" s="41"/>
      <c r="D342" s="42"/>
      <c r="E342" s="41"/>
      <c r="F342" s="41"/>
      <c r="G342" s="41"/>
      <c r="H342" s="41"/>
      <c r="I342" s="43"/>
    </row>
    <row r="343" spans="1:9">
      <c r="A343" s="39"/>
      <c r="B343" s="40"/>
      <c r="C343" s="41"/>
      <c r="D343" s="42"/>
      <c r="E343" s="41"/>
      <c r="F343" s="41"/>
      <c r="G343" s="41"/>
      <c r="H343" s="41"/>
      <c r="I343" s="43"/>
    </row>
    <row r="344" spans="1:9">
      <c r="A344" s="39"/>
      <c r="B344" s="40"/>
      <c r="C344" s="41"/>
      <c r="D344" s="42"/>
      <c r="E344" s="41"/>
      <c r="F344" s="41"/>
      <c r="G344" s="41"/>
      <c r="H344" s="41"/>
      <c r="I344" s="43"/>
    </row>
    <row r="345" spans="1:9">
      <c r="A345" s="39"/>
      <c r="B345" s="40"/>
      <c r="C345" s="41"/>
      <c r="D345" s="42"/>
      <c r="E345" s="41"/>
      <c r="F345" s="41"/>
      <c r="G345" s="41"/>
      <c r="H345" s="41"/>
      <c r="I345" s="43"/>
    </row>
    <row r="346" spans="1:9">
      <c r="A346" s="39"/>
      <c r="B346" s="40"/>
      <c r="C346" s="41"/>
      <c r="D346" s="42"/>
      <c r="E346" s="41"/>
      <c r="F346" s="41"/>
      <c r="G346" s="41"/>
      <c r="H346" s="41"/>
      <c r="I346" s="43"/>
    </row>
    <row r="347" spans="1:9">
      <c r="A347" s="39"/>
      <c r="B347" s="40"/>
      <c r="C347" s="41"/>
      <c r="D347" s="42"/>
      <c r="E347" s="41"/>
      <c r="F347" s="41"/>
      <c r="G347" s="41"/>
      <c r="H347" s="41"/>
      <c r="I347" s="43"/>
    </row>
    <row r="348" spans="1:9">
      <c r="A348" s="39"/>
      <c r="B348" s="40"/>
      <c r="C348" s="41"/>
      <c r="D348" s="42"/>
      <c r="E348" s="41"/>
      <c r="F348" s="41"/>
      <c r="G348" s="41"/>
      <c r="H348" s="41"/>
      <c r="I348" s="43"/>
    </row>
    <row r="349" spans="1:9">
      <c r="A349" s="39"/>
      <c r="B349" s="40"/>
      <c r="C349" s="41"/>
      <c r="D349" s="42"/>
      <c r="E349" s="41"/>
      <c r="F349" s="41"/>
      <c r="G349" s="41"/>
      <c r="H349" s="41"/>
      <c r="I349" s="43"/>
    </row>
    <row r="350" spans="1:9">
      <c r="A350" s="39"/>
      <c r="B350" s="40"/>
      <c r="C350" s="41"/>
      <c r="D350" s="42"/>
      <c r="E350" s="41"/>
      <c r="F350" s="41"/>
      <c r="G350" s="41"/>
      <c r="H350" s="41"/>
      <c r="I350" s="43"/>
    </row>
    <row r="351" spans="1:9">
      <c r="A351" s="39"/>
      <c r="B351" s="40"/>
      <c r="C351" s="41"/>
      <c r="D351" s="42"/>
      <c r="E351" s="41"/>
      <c r="F351" s="41"/>
      <c r="G351" s="41"/>
      <c r="H351" s="41"/>
      <c r="I351" s="43"/>
    </row>
    <row r="352" spans="1:9">
      <c r="A352" s="39"/>
      <c r="B352" s="40"/>
      <c r="C352" s="41"/>
      <c r="D352" s="42"/>
      <c r="E352" s="41"/>
      <c r="F352" s="41"/>
      <c r="G352" s="41"/>
      <c r="H352" s="41"/>
      <c r="I352" s="43"/>
    </row>
    <row r="353" spans="1:9">
      <c r="A353" s="39"/>
      <c r="B353" s="40"/>
      <c r="C353" s="41"/>
      <c r="D353" s="42"/>
      <c r="E353" s="41"/>
      <c r="F353" s="41"/>
      <c r="G353" s="41"/>
      <c r="H353" s="41"/>
      <c r="I353" s="43"/>
    </row>
    <row r="354" spans="1:9">
      <c r="A354" s="39"/>
      <c r="B354" s="40"/>
      <c r="C354" s="41"/>
      <c r="D354" s="42"/>
      <c r="E354" s="41"/>
      <c r="F354" s="41"/>
      <c r="G354" s="41"/>
      <c r="H354" s="41"/>
      <c r="I354" s="43"/>
    </row>
    <row r="355" spans="1:9">
      <c r="A355" s="39"/>
      <c r="B355" s="40"/>
      <c r="C355" s="41"/>
      <c r="D355" s="42"/>
      <c r="E355" s="41"/>
      <c r="F355" s="41"/>
      <c r="G355" s="41"/>
      <c r="H355" s="41"/>
      <c r="I355" s="43"/>
    </row>
    <row r="356" spans="1:9">
      <c r="A356" s="39"/>
      <c r="B356" s="40"/>
      <c r="C356" s="41"/>
      <c r="D356" s="42"/>
      <c r="E356" s="41"/>
      <c r="F356" s="41"/>
      <c r="G356" s="41"/>
      <c r="H356" s="41"/>
      <c r="I356" s="43"/>
    </row>
    <row r="357" spans="1:9">
      <c r="A357" s="39"/>
      <c r="B357" s="40"/>
      <c r="C357" s="41"/>
      <c r="D357" s="42"/>
      <c r="E357" s="41"/>
      <c r="F357" s="41"/>
      <c r="G357" s="41"/>
      <c r="H357" s="41"/>
      <c r="I357" s="43"/>
    </row>
    <row r="358" spans="1:9">
      <c r="A358" s="39"/>
      <c r="B358" s="40"/>
      <c r="C358" s="41"/>
      <c r="D358" s="42"/>
      <c r="E358" s="41"/>
      <c r="F358" s="41"/>
      <c r="G358" s="41"/>
      <c r="H358" s="41"/>
      <c r="I358" s="43"/>
    </row>
    <row r="359" spans="1:9">
      <c r="A359" s="39"/>
      <c r="B359" s="40"/>
      <c r="C359" s="41"/>
      <c r="D359" s="42"/>
      <c r="E359" s="41"/>
      <c r="F359" s="41"/>
      <c r="G359" s="41"/>
      <c r="H359" s="41"/>
      <c r="I359" s="43"/>
    </row>
    <row r="360" spans="1:9">
      <c r="A360" s="39"/>
      <c r="B360" s="40"/>
      <c r="C360" s="41"/>
      <c r="D360" s="42"/>
      <c r="E360" s="41"/>
      <c r="F360" s="41"/>
      <c r="G360" s="41"/>
      <c r="H360" s="41"/>
      <c r="I360" s="43"/>
    </row>
    <row r="361" spans="1:9">
      <c r="A361" s="39"/>
      <c r="B361" s="40"/>
      <c r="C361" s="41"/>
      <c r="D361" s="42"/>
      <c r="E361" s="41"/>
      <c r="F361" s="41"/>
      <c r="G361" s="41"/>
      <c r="H361" s="41"/>
      <c r="I361" s="43"/>
    </row>
    <row r="362" spans="1:9">
      <c r="A362" s="39"/>
      <c r="B362" s="40"/>
      <c r="C362" s="41"/>
      <c r="D362" s="42"/>
      <c r="E362" s="41"/>
      <c r="F362" s="41"/>
      <c r="G362" s="41"/>
      <c r="H362" s="41"/>
      <c r="I362" s="43"/>
    </row>
    <row r="363" spans="1:9">
      <c r="A363" s="39"/>
      <c r="B363" s="40"/>
      <c r="C363" s="41"/>
      <c r="D363" s="42"/>
      <c r="E363" s="41"/>
      <c r="F363" s="41"/>
      <c r="G363" s="41"/>
      <c r="H363" s="41"/>
      <c r="I363" s="43"/>
    </row>
    <row r="364" spans="1:9">
      <c r="A364" s="39"/>
      <c r="B364" s="40"/>
      <c r="C364" s="41"/>
      <c r="D364" s="42"/>
      <c r="E364" s="41"/>
      <c r="F364" s="41"/>
      <c r="G364" s="41"/>
      <c r="H364" s="41"/>
      <c r="I364" s="43"/>
    </row>
    <row r="365" spans="1:9">
      <c r="A365" s="39"/>
      <c r="B365" s="40"/>
      <c r="C365" s="41"/>
      <c r="D365" s="42"/>
      <c r="E365" s="41"/>
      <c r="F365" s="41"/>
      <c r="G365" s="41"/>
      <c r="H365" s="41"/>
      <c r="I365" s="43"/>
    </row>
    <row r="366" spans="1:9">
      <c r="A366" s="39"/>
      <c r="B366" s="40"/>
      <c r="C366" s="41"/>
      <c r="D366" s="42"/>
      <c r="E366" s="41"/>
      <c r="F366" s="41"/>
      <c r="G366" s="41"/>
      <c r="H366" s="41"/>
      <c r="I366" s="43"/>
    </row>
    <row r="367" spans="1:9">
      <c r="A367" s="39"/>
      <c r="B367" s="40"/>
      <c r="C367" s="41"/>
      <c r="D367" s="42"/>
      <c r="E367" s="41"/>
      <c r="F367" s="41"/>
      <c r="G367" s="41"/>
      <c r="H367" s="41"/>
      <c r="I367" s="43"/>
    </row>
    <row r="368" spans="1:9">
      <c r="A368" s="39"/>
      <c r="B368" s="40"/>
      <c r="C368" s="41"/>
      <c r="D368" s="42"/>
      <c r="E368" s="41"/>
      <c r="F368" s="41"/>
      <c r="G368" s="41"/>
      <c r="H368" s="41"/>
      <c r="I368" s="43"/>
    </row>
    <row r="369" spans="1:9">
      <c r="A369" s="39"/>
      <c r="B369" s="40"/>
      <c r="C369" s="41"/>
      <c r="D369" s="42"/>
      <c r="E369" s="41"/>
      <c r="F369" s="41"/>
      <c r="G369" s="41"/>
      <c r="H369" s="41"/>
      <c r="I369" s="43"/>
    </row>
    <row r="370" spans="1:9">
      <c r="A370" s="39"/>
      <c r="B370" s="40"/>
      <c r="C370" s="41"/>
      <c r="D370" s="42"/>
      <c r="E370" s="41"/>
      <c r="F370" s="41"/>
      <c r="G370" s="41"/>
      <c r="H370" s="41"/>
      <c r="I370" s="43"/>
    </row>
    <row r="371" spans="1:9">
      <c r="A371" s="39"/>
      <c r="B371" s="40"/>
      <c r="C371" s="41"/>
      <c r="D371" s="42"/>
      <c r="E371" s="41"/>
      <c r="F371" s="41"/>
      <c r="G371" s="41"/>
      <c r="H371" s="41"/>
      <c r="I371" s="43"/>
    </row>
    <row r="372" spans="1:9">
      <c r="A372" s="39"/>
      <c r="B372" s="40"/>
      <c r="C372" s="41"/>
      <c r="D372" s="42"/>
      <c r="E372" s="41"/>
      <c r="F372" s="41"/>
      <c r="G372" s="41"/>
      <c r="H372" s="41"/>
      <c r="I372" s="43"/>
    </row>
    <row r="373" spans="1:9">
      <c r="A373" s="39"/>
      <c r="B373" s="40"/>
      <c r="C373" s="41"/>
      <c r="D373" s="42"/>
      <c r="E373" s="41"/>
      <c r="F373" s="41"/>
      <c r="G373" s="41"/>
      <c r="H373" s="41"/>
      <c r="I373" s="43"/>
    </row>
    <row r="374" spans="1:9">
      <c r="A374" s="39"/>
      <c r="B374" s="40"/>
      <c r="C374" s="41"/>
      <c r="D374" s="42"/>
      <c r="E374" s="41"/>
      <c r="F374" s="41"/>
      <c r="G374" s="41"/>
      <c r="H374" s="41"/>
      <c r="I374" s="43"/>
    </row>
    <row r="375" spans="1:9">
      <c r="A375" s="39"/>
      <c r="B375" s="40"/>
      <c r="C375" s="41"/>
      <c r="D375" s="42"/>
      <c r="E375" s="41"/>
      <c r="F375" s="41"/>
      <c r="G375" s="41"/>
      <c r="H375" s="41"/>
      <c r="I375" s="43"/>
    </row>
    <row r="376" spans="1:9">
      <c r="A376" s="39"/>
      <c r="B376" s="40"/>
      <c r="C376" s="41"/>
      <c r="D376" s="42"/>
      <c r="E376" s="41"/>
      <c r="F376" s="41"/>
      <c r="G376" s="41"/>
      <c r="H376" s="41"/>
      <c r="I376" s="43"/>
    </row>
    <row r="377" spans="1:9">
      <c r="A377" s="39"/>
      <c r="B377" s="40"/>
      <c r="C377" s="41"/>
      <c r="D377" s="42"/>
      <c r="E377" s="41"/>
      <c r="F377" s="41"/>
      <c r="G377" s="41"/>
      <c r="H377" s="41"/>
      <c r="I377" s="43"/>
    </row>
    <row r="378" spans="1:9">
      <c r="A378" s="39"/>
      <c r="B378" s="40"/>
      <c r="C378" s="41"/>
      <c r="D378" s="42"/>
      <c r="E378" s="41"/>
      <c r="F378" s="41"/>
      <c r="G378" s="41"/>
      <c r="H378" s="41"/>
      <c r="I378" s="43"/>
    </row>
    <row r="379" spans="1:9">
      <c r="A379" s="39"/>
      <c r="B379" s="40"/>
      <c r="C379" s="41"/>
      <c r="D379" s="42"/>
      <c r="E379" s="41"/>
      <c r="F379" s="41"/>
      <c r="G379" s="41"/>
      <c r="H379" s="41"/>
      <c r="I379" s="43"/>
    </row>
    <row r="380" spans="1:9">
      <c r="A380" s="39"/>
      <c r="B380" s="40"/>
      <c r="C380" s="41"/>
      <c r="D380" s="42"/>
      <c r="E380" s="41"/>
      <c r="F380" s="41"/>
      <c r="G380" s="41"/>
      <c r="H380" s="41"/>
      <c r="I380" s="43"/>
    </row>
    <row r="381" spans="1:9">
      <c r="A381" s="39"/>
      <c r="B381" s="40"/>
      <c r="C381" s="41"/>
      <c r="D381" s="42"/>
      <c r="E381" s="41"/>
      <c r="F381" s="41"/>
      <c r="G381" s="41"/>
      <c r="H381" s="41"/>
      <c r="I381" s="43"/>
    </row>
    <row r="382" spans="1:9">
      <c r="A382" s="39"/>
      <c r="B382" s="40"/>
      <c r="C382" s="41"/>
      <c r="D382" s="42"/>
      <c r="E382" s="41"/>
      <c r="F382" s="41"/>
      <c r="G382" s="41"/>
      <c r="H382" s="41"/>
      <c r="I382" s="43"/>
    </row>
    <row r="383" spans="1:9">
      <c r="A383" s="39"/>
      <c r="B383" s="40"/>
      <c r="C383" s="41"/>
      <c r="D383" s="42"/>
      <c r="E383" s="41"/>
      <c r="F383" s="41"/>
      <c r="G383" s="41"/>
      <c r="H383" s="41"/>
      <c r="I383" s="43"/>
    </row>
    <row r="384" spans="1:9">
      <c r="A384" s="39"/>
      <c r="B384" s="40"/>
      <c r="C384" s="41"/>
      <c r="D384" s="42"/>
      <c r="E384" s="41"/>
      <c r="F384" s="41"/>
      <c r="G384" s="41"/>
      <c r="H384" s="41"/>
      <c r="I384" s="43"/>
    </row>
    <row r="385" spans="1:9">
      <c r="A385" s="39"/>
      <c r="B385" s="40"/>
      <c r="C385" s="41"/>
      <c r="D385" s="42"/>
      <c r="E385" s="41"/>
      <c r="F385" s="41"/>
      <c r="G385" s="41"/>
      <c r="H385" s="41"/>
      <c r="I385" s="43"/>
    </row>
    <row r="386" spans="1:9">
      <c r="A386" s="39"/>
      <c r="B386" s="40"/>
      <c r="C386" s="41"/>
      <c r="D386" s="42"/>
      <c r="E386" s="41"/>
      <c r="F386" s="41"/>
      <c r="G386" s="41"/>
      <c r="H386" s="41"/>
      <c r="I386" s="43"/>
    </row>
    <row r="387" spans="1:9">
      <c r="A387" s="39"/>
      <c r="B387" s="40"/>
      <c r="C387" s="41"/>
      <c r="D387" s="42"/>
      <c r="E387" s="41"/>
      <c r="F387" s="41"/>
      <c r="G387" s="41"/>
      <c r="H387" s="41"/>
      <c r="I387" s="43"/>
    </row>
    <row r="388" spans="1:9">
      <c r="A388" s="39"/>
      <c r="B388" s="40"/>
      <c r="C388" s="41"/>
      <c r="D388" s="42"/>
      <c r="E388" s="41"/>
      <c r="F388" s="41"/>
      <c r="G388" s="41"/>
      <c r="H388" s="41"/>
      <c r="I388" s="43"/>
    </row>
    <row r="389" spans="1:9">
      <c r="A389" s="39"/>
      <c r="B389" s="40"/>
      <c r="C389" s="41"/>
      <c r="D389" s="42"/>
      <c r="E389" s="41"/>
      <c r="F389" s="41"/>
      <c r="G389" s="41"/>
      <c r="H389" s="41"/>
      <c r="I389" s="43"/>
    </row>
    <row r="390" spans="1:9">
      <c r="A390" s="39"/>
      <c r="B390" s="40"/>
      <c r="C390" s="41"/>
      <c r="D390" s="42"/>
      <c r="E390" s="41"/>
      <c r="F390" s="41"/>
      <c r="G390" s="41"/>
      <c r="H390" s="41"/>
      <c r="I390" s="43"/>
    </row>
    <row r="391" spans="1:9">
      <c r="A391" s="39"/>
      <c r="B391" s="40"/>
      <c r="C391" s="41"/>
      <c r="D391" s="42"/>
      <c r="E391" s="41"/>
      <c r="F391" s="41"/>
      <c r="G391" s="41"/>
      <c r="H391" s="41"/>
      <c r="I391" s="43"/>
    </row>
    <row r="392" spans="1:9">
      <c r="A392" s="39"/>
      <c r="B392" s="40"/>
      <c r="C392" s="41"/>
      <c r="D392" s="42"/>
      <c r="E392" s="41"/>
      <c r="F392" s="41"/>
      <c r="G392" s="41"/>
      <c r="H392" s="41"/>
      <c r="I392" s="43"/>
    </row>
    <row r="393" spans="1:9">
      <c r="A393" s="39"/>
      <c r="B393" s="40"/>
      <c r="C393" s="41"/>
      <c r="D393" s="42"/>
      <c r="E393" s="41"/>
      <c r="F393" s="41"/>
      <c r="G393" s="41"/>
      <c r="H393" s="41"/>
      <c r="I393" s="43"/>
    </row>
    <row r="394" spans="1:9">
      <c r="A394" s="39"/>
      <c r="B394" s="40"/>
      <c r="C394" s="41"/>
      <c r="D394" s="42"/>
      <c r="E394" s="41"/>
      <c r="F394" s="41"/>
      <c r="G394" s="41"/>
      <c r="H394" s="41"/>
      <c r="I394" s="43"/>
    </row>
    <row r="395" spans="1:9">
      <c r="A395" s="39"/>
      <c r="B395" s="40"/>
      <c r="C395" s="41"/>
      <c r="D395" s="42"/>
      <c r="E395" s="41"/>
      <c r="F395" s="41"/>
      <c r="G395" s="41"/>
      <c r="H395" s="41"/>
      <c r="I395" s="43"/>
    </row>
    <row r="396" spans="1:9">
      <c r="A396" s="39"/>
      <c r="B396" s="40"/>
      <c r="C396" s="41"/>
      <c r="D396" s="42"/>
      <c r="E396" s="41"/>
      <c r="F396" s="41"/>
      <c r="G396" s="41"/>
      <c r="H396" s="41"/>
      <c r="I396" s="43"/>
    </row>
    <row r="397" spans="1:9">
      <c r="A397" s="39"/>
      <c r="B397" s="40"/>
      <c r="C397" s="41"/>
      <c r="D397" s="42"/>
      <c r="E397" s="41"/>
      <c r="F397" s="41"/>
      <c r="G397" s="41"/>
      <c r="H397" s="41"/>
      <c r="I397" s="43"/>
    </row>
    <row r="398" spans="1:9">
      <c r="A398" s="39"/>
      <c r="B398" s="40"/>
      <c r="C398" s="41"/>
      <c r="D398" s="42"/>
      <c r="E398" s="41"/>
      <c r="F398" s="41"/>
      <c r="G398" s="41"/>
      <c r="H398" s="41"/>
      <c r="I398" s="43"/>
    </row>
    <row r="399" spans="1:9">
      <c r="A399" s="39"/>
      <c r="B399" s="40"/>
      <c r="C399" s="41"/>
      <c r="D399" s="42"/>
      <c r="E399" s="41"/>
      <c r="F399" s="41"/>
      <c r="G399" s="41"/>
      <c r="H399" s="41"/>
      <c r="I399" s="43"/>
    </row>
    <row r="400" spans="1:9">
      <c r="A400" s="39"/>
      <c r="B400" s="40"/>
      <c r="C400" s="41"/>
      <c r="D400" s="42"/>
      <c r="E400" s="41"/>
      <c r="F400" s="41"/>
      <c r="G400" s="41"/>
      <c r="H400" s="41"/>
      <c r="I400" s="43"/>
    </row>
    <row r="401" spans="1:9">
      <c r="A401" s="39"/>
      <c r="B401" s="40"/>
      <c r="C401" s="41"/>
      <c r="D401" s="42"/>
      <c r="E401" s="41"/>
      <c r="F401" s="41"/>
      <c r="G401" s="41"/>
      <c r="H401" s="41"/>
      <c r="I401" s="43"/>
    </row>
    <row r="402" spans="1:9">
      <c r="A402" s="39"/>
      <c r="B402" s="40"/>
      <c r="C402" s="41"/>
      <c r="D402" s="42"/>
      <c r="E402" s="41"/>
      <c r="F402" s="41"/>
      <c r="G402" s="41"/>
      <c r="H402" s="41"/>
      <c r="I402" s="43"/>
    </row>
    <row r="403" spans="1:9">
      <c r="A403" s="39"/>
      <c r="B403" s="40"/>
      <c r="C403" s="41"/>
      <c r="D403" s="42"/>
      <c r="E403" s="41"/>
      <c r="F403" s="41"/>
      <c r="G403" s="41"/>
      <c r="H403" s="41"/>
      <c r="I403" s="43"/>
    </row>
    <row r="404" spans="1:9">
      <c r="A404" s="39"/>
      <c r="B404" s="40"/>
      <c r="C404" s="41"/>
      <c r="D404" s="42"/>
      <c r="E404" s="41"/>
      <c r="F404" s="41"/>
      <c r="G404" s="41"/>
      <c r="H404" s="41"/>
      <c r="I404" s="43"/>
    </row>
    <row r="405" spans="1:9">
      <c r="A405" s="39"/>
      <c r="B405" s="40"/>
      <c r="C405" s="41"/>
      <c r="D405" s="42"/>
      <c r="E405" s="41"/>
      <c r="F405" s="41"/>
      <c r="G405" s="41"/>
      <c r="H405" s="41"/>
      <c r="I405" s="43"/>
    </row>
    <row r="406" spans="1:9">
      <c r="A406" s="39"/>
      <c r="B406" s="40"/>
      <c r="C406" s="41"/>
      <c r="D406" s="42"/>
      <c r="E406" s="41"/>
      <c r="F406" s="41"/>
      <c r="G406" s="41"/>
      <c r="H406" s="41"/>
      <c r="I406" s="43"/>
    </row>
    <row r="407" spans="1:9">
      <c r="A407" s="39"/>
      <c r="B407" s="40"/>
      <c r="C407" s="41"/>
      <c r="D407" s="42"/>
      <c r="E407" s="41"/>
      <c r="F407" s="41"/>
      <c r="G407" s="41"/>
      <c r="H407" s="41"/>
      <c r="I407" s="43"/>
    </row>
    <row r="408" spans="1:9">
      <c r="A408" s="39"/>
      <c r="B408" s="40"/>
      <c r="C408" s="41"/>
      <c r="D408" s="42"/>
      <c r="E408" s="41"/>
      <c r="F408" s="41"/>
      <c r="G408" s="41"/>
      <c r="H408" s="41"/>
      <c r="I408" s="43"/>
    </row>
    <row r="409" spans="1:9">
      <c r="A409" s="39"/>
      <c r="B409" s="40"/>
      <c r="C409" s="41"/>
      <c r="D409" s="42"/>
      <c r="E409" s="41"/>
      <c r="F409" s="41"/>
      <c r="G409" s="41"/>
      <c r="H409" s="41"/>
      <c r="I409" s="43"/>
    </row>
    <row r="410" spans="1:9">
      <c r="A410" s="39"/>
      <c r="B410" s="40"/>
      <c r="C410" s="41"/>
      <c r="D410" s="42"/>
      <c r="E410" s="41"/>
      <c r="F410" s="41"/>
      <c r="G410" s="41"/>
      <c r="H410" s="41"/>
      <c r="I410" s="43"/>
    </row>
    <row r="411" spans="1:9">
      <c r="A411" s="39"/>
      <c r="B411" s="40"/>
      <c r="C411" s="41"/>
      <c r="D411" s="42"/>
      <c r="E411" s="41"/>
      <c r="F411" s="41"/>
      <c r="G411" s="41"/>
      <c r="H411" s="41"/>
      <c r="I411" s="43"/>
    </row>
    <row r="412" spans="1:9">
      <c r="A412" s="39"/>
      <c r="B412" s="40"/>
      <c r="C412" s="41"/>
      <c r="D412" s="42"/>
      <c r="E412" s="41"/>
      <c r="F412" s="41"/>
      <c r="G412" s="41"/>
      <c r="H412" s="41"/>
      <c r="I412" s="43"/>
    </row>
    <row r="413" spans="1:9">
      <c r="A413" s="39"/>
      <c r="B413" s="40"/>
      <c r="C413" s="41"/>
      <c r="D413" s="42"/>
      <c r="E413" s="41"/>
      <c r="F413" s="41"/>
      <c r="G413" s="41"/>
      <c r="H413" s="41"/>
      <c r="I413" s="43"/>
    </row>
    <row r="414" spans="1:9">
      <c r="A414" s="39"/>
      <c r="B414" s="40"/>
      <c r="C414" s="41"/>
      <c r="D414" s="42"/>
      <c r="E414" s="41"/>
      <c r="F414" s="41"/>
      <c r="G414" s="41"/>
      <c r="H414" s="41"/>
      <c r="I414" s="43"/>
    </row>
    <row r="415" spans="1:9">
      <c r="A415" s="39"/>
      <c r="B415" s="40"/>
      <c r="C415" s="41"/>
      <c r="D415" s="42"/>
      <c r="E415" s="41"/>
      <c r="F415" s="41"/>
      <c r="G415" s="41"/>
      <c r="H415" s="41"/>
      <c r="I415" s="43"/>
    </row>
    <row r="416" spans="1:9">
      <c r="A416" s="39"/>
      <c r="B416" s="40"/>
      <c r="C416" s="41"/>
      <c r="D416" s="42"/>
      <c r="E416" s="41"/>
      <c r="F416" s="41"/>
      <c r="G416" s="41"/>
      <c r="H416" s="41"/>
      <c r="I416" s="43"/>
    </row>
    <row r="417" spans="1:9">
      <c r="A417" s="39"/>
      <c r="B417" s="40"/>
      <c r="C417" s="41"/>
      <c r="D417" s="42"/>
      <c r="E417" s="41"/>
      <c r="F417" s="41"/>
      <c r="G417" s="41"/>
      <c r="H417" s="41"/>
      <c r="I417" s="43"/>
    </row>
    <row r="418" spans="1:9">
      <c r="A418" s="39"/>
      <c r="B418" s="40"/>
      <c r="C418" s="41"/>
      <c r="D418" s="42"/>
      <c r="E418" s="41"/>
      <c r="F418" s="41"/>
      <c r="G418" s="41"/>
      <c r="H418" s="41"/>
      <c r="I418" s="43"/>
    </row>
    <row r="419" spans="1:9">
      <c r="A419" s="39"/>
      <c r="B419" s="40"/>
      <c r="C419" s="41"/>
      <c r="D419" s="42"/>
      <c r="E419" s="41"/>
      <c r="F419" s="41"/>
      <c r="G419" s="41"/>
      <c r="H419" s="41"/>
      <c r="I419" s="43"/>
    </row>
    <row r="420" spans="1:9">
      <c r="A420" s="39"/>
      <c r="B420" s="40"/>
      <c r="C420" s="41"/>
      <c r="D420" s="42"/>
      <c r="E420" s="41"/>
      <c r="F420" s="41"/>
      <c r="G420" s="41"/>
      <c r="H420" s="41"/>
      <c r="I420" s="43"/>
    </row>
    <row r="421" spans="1:9">
      <c r="A421" s="39"/>
      <c r="B421" s="40"/>
      <c r="C421" s="41"/>
      <c r="D421" s="42"/>
      <c r="E421" s="41"/>
      <c r="F421" s="41"/>
      <c r="G421" s="41"/>
      <c r="H421" s="41"/>
      <c r="I421" s="43"/>
    </row>
    <row r="422" spans="1:9">
      <c r="A422" s="39"/>
      <c r="B422" s="40"/>
      <c r="C422" s="41"/>
      <c r="D422" s="42"/>
      <c r="E422" s="41"/>
      <c r="F422" s="41"/>
      <c r="G422" s="41"/>
      <c r="H422" s="41"/>
      <c r="I422" s="43"/>
    </row>
    <row r="423" spans="1:9">
      <c r="A423" s="39"/>
      <c r="B423" s="40"/>
      <c r="C423" s="41"/>
      <c r="D423" s="42"/>
      <c r="E423" s="41"/>
      <c r="F423" s="41"/>
      <c r="G423" s="41"/>
      <c r="H423" s="41"/>
      <c r="I423" s="43"/>
    </row>
    <row r="424" spans="1:9">
      <c r="A424" s="39"/>
      <c r="B424" s="40"/>
      <c r="C424" s="41"/>
      <c r="D424" s="42"/>
      <c r="E424" s="41"/>
      <c r="F424" s="41"/>
      <c r="G424" s="41"/>
      <c r="H424" s="41"/>
      <c r="I424" s="43"/>
    </row>
    <row r="425" spans="1:9">
      <c r="A425" s="39"/>
      <c r="B425" s="40"/>
      <c r="C425" s="41"/>
      <c r="D425" s="42"/>
      <c r="E425" s="41"/>
      <c r="F425" s="41"/>
      <c r="G425" s="41"/>
      <c r="H425" s="41"/>
      <c r="I425" s="43"/>
    </row>
    <row r="426" spans="1:9">
      <c r="A426" s="39"/>
      <c r="B426" s="40"/>
      <c r="C426" s="41"/>
      <c r="D426" s="42"/>
      <c r="E426" s="41"/>
      <c r="F426" s="41"/>
      <c r="G426" s="41"/>
      <c r="H426" s="41"/>
      <c r="I426" s="43"/>
    </row>
    <row r="427" spans="1:9">
      <c r="A427" s="39"/>
      <c r="B427" s="40"/>
      <c r="C427" s="41"/>
      <c r="D427" s="42"/>
      <c r="E427" s="41"/>
      <c r="F427" s="41"/>
      <c r="G427" s="41"/>
      <c r="H427" s="41"/>
      <c r="I427" s="43"/>
    </row>
    <row r="428" spans="1:9">
      <c r="A428" s="39"/>
      <c r="B428" s="40"/>
      <c r="C428" s="41"/>
      <c r="D428" s="42"/>
      <c r="E428" s="41"/>
      <c r="F428" s="41"/>
      <c r="G428" s="41"/>
      <c r="H428" s="41"/>
      <c r="I428" s="43"/>
    </row>
    <row r="429" spans="1:9">
      <c r="A429" s="39"/>
      <c r="B429" s="40"/>
      <c r="C429" s="41"/>
      <c r="D429" s="42"/>
      <c r="E429" s="41"/>
      <c r="F429" s="41"/>
      <c r="G429" s="41"/>
      <c r="H429" s="41"/>
      <c r="I429" s="43"/>
    </row>
    <row r="430" spans="1:9">
      <c r="A430" s="39"/>
      <c r="B430" s="40"/>
      <c r="C430" s="41"/>
      <c r="D430" s="42"/>
      <c r="E430" s="41"/>
      <c r="F430" s="41"/>
      <c r="G430" s="41"/>
      <c r="H430" s="41"/>
      <c r="I430" s="43"/>
    </row>
    <row r="431" spans="1:9">
      <c r="A431" s="39"/>
      <c r="B431" s="40"/>
      <c r="C431" s="41"/>
      <c r="D431" s="42"/>
      <c r="E431" s="41"/>
      <c r="F431" s="41"/>
      <c r="G431" s="41"/>
      <c r="H431" s="41"/>
      <c r="I431" s="43"/>
    </row>
    <row r="432" spans="1:9">
      <c r="A432" s="39"/>
      <c r="B432" s="40"/>
      <c r="C432" s="41"/>
      <c r="D432" s="42"/>
      <c r="E432" s="41"/>
      <c r="F432" s="41"/>
      <c r="G432" s="41"/>
      <c r="H432" s="41"/>
      <c r="I432" s="43"/>
    </row>
    <row r="433" spans="1:9">
      <c r="A433" s="39"/>
      <c r="B433" s="40"/>
      <c r="C433" s="41"/>
      <c r="D433" s="42"/>
      <c r="E433" s="41"/>
      <c r="F433" s="41"/>
      <c r="G433" s="41"/>
      <c r="H433" s="41"/>
      <c r="I433" s="43"/>
    </row>
    <row r="434" spans="1:9">
      <c r="A434" s="39"/>
      <c r="B434" s="40"/>
      <c r="C434" s="41"/>
      <c r="D434" s="42"/>
      <c r="E434" s="41"/>
      <c r="F434" s="41"/>
      <c r="G434" s="41"/>
      <c r="H434" s="41"/>
      <c r="I434" s="43"/>
    </row>
    <row r="435" spans="1:9">
      <c r="A435" s="39"/>
      <c r="B435" s="40"/>
      <c r="C435" s="41"/>
      <c r="D435" s="42"/>
      <c r="E435" s="41"/>
      <c r="F435" s="41"/>
      <c r="G435" s="41"/>
      <c r="H435" s="41"/>
      <c r="I435" s="43"/>
    </row>
    <row r="436" spans="1:9">
      <c r="A436" s="39"/>
      <c r="B436" s="40"/>
      <c r="C436" s="41"/>
      <c r="D436" s="42"/>
      <c r="E436" s="41"/>
      <c r="F436" s="41"/>
      <c r="G436" s="41"/>
      <c r="H436" s="41"/>
      <c r="I436" s="43"/>
    </row>
    <row r="437" spans="1:9">
      <c r="A437" s="39"/>
      <c r="B437" s="40"/>
      <c r="C437" s="41"/>
      <c r="D437" s="42"/>
      <c r="E437" s="41"/>
      <c r="F437" s="41"/>
      <c r="G437" s="41"/>
      <c r="H437" s="41"/>
      <c r="I437" s="43"/>
    </row>
    <row r="438" spans="1:9">
      <c r="A438" s="39"/>
      <c r="B438" s="40"/>
      <c r="C438" s="41"/>
      <c r="D438" s="42"/>
      <c r="E438" s="41"/>
      <c r="F438" s="41"/>
      <c r="G438" s="41"/>
      <c r="H438" s="41"/>
      <c r="I438" s="43"/>
    </row>
    <row r="439" spans="1:9">
      <c r="A439" s="39"/>
      <c r="B439" s="40"/>
      <c r="C439" s="41"/>
      <c r="D439" s="42"/>
      <c r="E439" s="41"/>
      <c r="F439" s="41"/>
      <c r="G439" s="41"/>
      <c r="H439" s="41"/>
      <c r="I439" s="43"/>
    </row>
    <row r="440" spans="1:9">
      <c r="A440" s="39"/>
      <c r="B440" s="40"/>
      <c r="C440" s="41"/>
      <c r="D440" s="42"/>
      <c r="E440" s="41"/>
      <c r="F440" s="41"/>
      <c r="G440" s="41"/>
      <c r="H440" s="41"/>
      <c r="I440" s="43"/>
    </row>
    <row r="441" spans="1:9">
      <c r="A441" s="39"/>
      <c r="B441" s="40"/>
      <c r="C441" s="41"/>
      <c r="D441" s="42"/>
      <c r="E441" s="41"/>
      <c r="F441" s="41"/>
      <c r="G441" s="41"/>
      <c r="H441" s="41"/>
      <c r="I441" s="43"/>
    </row>
    <row r="442" spans="1:9">
      <c r="A442" s="39"/>
      <c r="B442" s="40"/>
      <c r="C442" s="41"/>
      <c r="D442" s="42"/>
      <c r="E442" s="41"/>
      <c r="F442" s="41"/>
      <c r="G442" s="41"/>
      <c r="H442" s="41"/>
      <c r="I442" s="43"/>
    </row>
    <row r="443" spans="1:9">
      <c r="A443" s="39"/>
      <c r="B443" s="40"/>
      <c r="C443" s="41"/>
      <c r="D443" s="42"/>
      <c r="E443" s="41"/>
      <c r="F443" s="41"/>
      <c r="G443" s="41"/>
      <c r="H443" s="41"/>
      <c r="I443" s="43"/>
    </row>
    <row r="444" spans="1:9">
      <c r="A444" s="39"/>
      <c r="B444" s="40"/>
      <c r="C444" s="41"/>
      <c r="D444" s="42"/>
      <c r="E444" s="41"/>
      <c r="F444" s="41"/>
      <c r="G444" s="41"/>
      <c r="H444" s="41"/>
      <c r="I444" s="43"/>
    </row>
    <row r="445" spans="1:9">
      <c r="A445" s="39"/>
      <c r="B445" s="40"/>
      <c r="C445" s="41"/>
      <c r="D445" s="42"/>
      <c r="E445" s="41"/>
      <c r="F445" s="41"/>
      <c r="G445" s="41"/>
      <c r="H445" s="41"/>
      <c r="I445" s="43"/>
    </row>
    <row r="446" spans="1:9">
      <c r="A446" s="39"/>
      <c r="B446" s="40"/>
      <c r="C446" s="41"/>
      <c r="D446" s="42"/>
      <c r="E446" s="41"/>
      <c r="F446" s="41"/>
      <c r="G446" s="41"/>
      <c r="H446" s="41"/>
      <c r="I446" s="43"/>
    </row>
    <row r="447" spans="1:9">
      <c r="A447" s="39"/>
      <c r="B447" s="40"/>
      <c r="C447" s="41"/>
      <c r="D447" s="42"/>
      <c r="E447" s="41"/>
      <c r="F447" s="41"/>
      <c r="G447" s="41"/>
      <c r="H447" s="41"/>
      <c r="I447" s="43"/>
    </row>
    <row r="448" spans="1:9">
      <c r="A448" s="39"/>
      <c r="B448" s="40"/>
      <c r="C448" s="41"/>
      <c r="D448" s="42"/>
      <c r="E448" s="41"/>
      <c r="F448" s="41"/>
      <c r="G448" s="41"/>
      <c r="H448" s="41"/>
      <c r="I448" s="43"/>
    </row>
    <row r="449" spans="1:9">
      <c r="A449" s="39"/>
      <c r="B449" s="40"/>
      <c r="C449" s="41"/>
      <c r="D449" s="42"/>
      <c r="E449" s="41"/>
      <c r="F449" s="41"/>
      <c r="G449" s="41"/>
      <c r="H449" s="41"/>
      <c r="I449" s="43"/>
    </row>
    <row r="450" spans="1:9">
      <c r="A450" s="39"/>
      <c r="B450" s="40"/>
      <c r="C450" s="41"/>
      <c r="D450" s="42"/>
      <c r="E450" s="41"/>
      <c r="F450" s="41"/>
      <c r="G450" s="41"/>
      <c r="H450" s="41"/>
      <c r="I450" s="43"/>
    </row>
    <row r="451" spans="1:9">
      <c r="A451" s="39"/>
      <c r="B451" s="40"/>
      <c r="C451" s="41"/>
      <c r="D451" s="42"/>
      <c r="E451" s="41"/>
      <c r="F451" s="41"/>
      <c r="G451" s="41"/>
      <c r="H451" s="41"/>
      <c r="I451" s="43"/>
    </row>
    <row r="452" spans="1:9">
      <c r="A452" s="39"/>
      <c r="B452" s="40"/>
      <c r="C452" s="41"/>
      <c r="D452" s="42"/>
      <c r="E452" s="41"/>
      <c r="F452" s="41"/>
      <c r="G452" s="41"/>
      <c r="H452" s="41"/>
      <c r="I452" s="43"/>
    </row>
    <row r="453" spans="1:9">
      <c r="A453" s="39"/>
      <c r="B453" s="40"/>
      <c r="C453" s="41"/>
      <c r="D453" s="42"/>
      <c r="E453" s="41"/>
      <c r="F453" s="41"/>
      <c r="G453" s="41"/>
      <c r="H453" s="41"/>
      <c r="I453" s="43"/>
    </row>
    <row r="454" spans="1:9">
      <c r="A454" s="39"/>
      <c r="B454" s="40"/>
      <c r="C454" s="41"/>
      <c r="D454" s="42"/>
      <c r="E454" s="41"/>
      <c r="F454" s="41"/>
      <c r="G454" s="41"/>
      <c r="H454" s="41"/>
      <c r="I454" s="43"/>
    </row>
    <row r="455" spans="1:9">
      <c r="A455" s="39"/>
      <c r="B455" s="40"/>
      <c r="C455" s="41"/>
      <c r="D455" s="42"/>
      <c r="E455" s="41"/>
      <c r="F455" s="41"/>
      <c r="G455" s="41"/>
      <c r="H455" s="41"/>
      <c r="I455" s="43"/>
    </row>
    <row r="456" spans="1:9">
      <c r="A456" s="39"/>
      <c r="B456" s="40"/>
      <c r="C456" s="41"/>
      <c r="D456" s="42"/>
      <c r="E456" s="41"/>
      <c r="F456" s="41"/>
      <c r="G456" s="41"/>
      <c r="H456" s="41"/>
      <c r="I456" s="43"/>
    </row>
    <row r="457" spans="1:9">
      <c r="A457" s="39"/>
      <c r="B457" s="40"/>
      <c r="C457" s="41"/>
      <c r="D457" s="42"/>
      <c r="E457" s="41"/>
      <c r="F457" s="41"/>
      <c r="G457" s="41"/>
      <c r="H457" s="41"/>
      <c r="I457" s="43"/>
    </row>
    <row r="458" spans="1:9">
      <c r="A458" s="39"/>
      <c r="B458" s="40"/>
      <c r="C458" s="41"/>
      <c r="D458" s="42"/>
      <c r="E458" s="41"/>
      <c r="F458" s="41"/>
      <c r="G458" s="41"/>
      <c r="H458" s="41"/>
      <c r="I458" s="43"/>
    </row>
    <row r="459" spans="1:9">
      <c r="A459" s="39"/>
      <c r="B459" s="40"/>
      <c r="C459" s="41"/>
      <c r="D459" s="42"/>
      <c r="E459" s="41"/>
      <c r="F459" s="41"/>
      <c r="G459" s="41"/>
      <c r="H459" s="41"/>
      <c r="I459" s="43"/>
    </row>
    <row r="460" spans="1:9">
      <c r="A460" s="39"/>
      <c r="B460" s="40"/>
      <c r="C460" s="41"/>
      <c r="D460" s="42"/>
      <c r="E460" s="41"/>
      <c r="F460" s="41"/>
      <c r="G460" s="41"/>
      <c r="H460" s="41"/>
      <c r="I460" s="43"/>
    </row>
    <row r="461" spans="1:9">
      <c r="A461" s="39"/>
      <c r="B461" s="40"/>
      <c r="C461" s="41"/>
      <c r="D461" s="42"/>
      <c r="E461" s="41"/>
      <c r="F461" s="41"/>
      <c r="G461" s="41"/>
      <c r="H461" s="41"/>
      <c r="I461" s="43"/>
    </row>
    <row r="462" spans="1:9">
      <c r="A462" s="39"/>
      <c r="B462" s="40"/>
      <c r="C462" s="41"/>
      <c r="D462" s="42"/>
      <c r="E462" s="41"/>
      <c r="F462" s="41"/>
      <c r="G462" s="41"/>
      <c r="H462" s="41"/>
      <c r="I462" s="43"/>
    </row>
    <row r="463" spans="1:9">
      <c r="A463" s="39"/>
      <c r="B463" s="40"/>
      <c r="C463" s="41"/>
      <c r="D463" s="42"/>
      <c r="E463" s="41"/>
      <c r="F463" s="41"/>
      <c r="G463" s="41"/>
      <c r="H463" s="41"/>
      <c r="I463" s="43"/>
    </row>
    <row r="464" spans="1:9">
      <c r="A464" s="39"/>
      <c r="B464" s="40"/>
      <c r="C464" s="41"/>
      <c r="D464" s="42"/>
      <c r="E464" s="41"/>
      <c r="F464" s="41"/>
      <c r="G464" s="41"/>
      <c r="H464" s="41"/>
      <c r="I464" s="43"/>
    </row>
  </sheetData>
  <mergeCells count="21">
    <mergeCell ref="A10:A11"/>
    <mergeCell ref="B10:B11"/>
    <mergeCell ref="C10:C11"/>
    <mergeCell ref="D10:D11"/>
    <mergeCell ref="E10:E11"/>
    <mergeCell ref="C12:I12"/>
    <mergeCell ref="C1:E1"/>
    <mergeCell ref="C2:E2"/>
    <mergeCell ref="C3:E3"/>
    <mergeCell ref="F3:I3"/>
    <mergeCell ref="C4:E4"/>
    <mergeCell ref="F4:I4"/>
    <mergeCell ref="C5:E5"/>
    <mergeCell ref="F5:I5"/>
    <mergeCell ref="C6:E6"/>
    <mergeCell ref="F6:I6"/>
    <mergeCell ref="C7:E7"/>
    <mergeCell ref="F7:I7"/>
    <mergeCell ref="F8:I8"/>
    <mergeCell ref="A9:I9"/>
    <mergeCell ref="F10:I10"/>
  </mergeCells>
  <phoneticPr fontId="25" type="noConversion"/>
  <printOptions horizontalCentered="1"/>
  <pageMargins left="0.59055118110236227" right="0.39370078740157483" top="0.39370078740157483" bottom="0.59055118110236227" header="0" footer="0"/>
  <pageSetup paperSize="9" scale="37" orientation="portrait" r:id="rId1"/>
  <headerFooter alignWithMargins="0">
    <oddFooter>&amp;A&amp;RPágina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E457-AE8A-4B3A-8D3B-E9EB3F421133}">
  <dimension ref="A1:I45"/>
  <sheetViews>
    <sheetView view="pageBreakPreview" zoomScale="70" zoomScaleNormal="75" zoomScaleSheetLayoutView="70" workbookViewId="0">
      <selection activeCell="E10" sqref="E10:E11"/>
    </sheetView>
  </sheetViews>
  <sheetFormatPr defaultRowHeight="14.25"/>
  <cols>
    <col min="1" max="1" width="6.85546875" style="44" customWidth="1"/>
    <col min="2" max="2" width="26.28515625" style="45" customWidth="1"/>
    <col min="3" max="3" width="94.7109375" style="46" customWidth="1"/>
    <col min="4" max="4" width="10.5703125" style="47" customWidth="1"/>
    <col min="5" max="5" width="24" style="46" customWidth="1"/>
    <col min="6" max="6" width="24.5703125" style="46" bestFit="1" customWidth="1"/>
    <col min="7" max="7" width="22.85546875" style="46" bestFit="1" customWidth="1"/>
    <col min="8" max="8" width="19.42578125" style="46" bestFit="1" customWidth="1"/>
    <col min="9" max="9" width="19.42578125" style="48" bestFit="1" customWidth="1"/>
    <col min="10" max="10" width="45.7109375" style="33" customWidth="1"/>
    <col min="11" max="253" width="9.140625" style="33"/>
    <col min="254" max="254" width="6.85546875" style="33" customWidth="1"/>
    <col min="255" max="255" width="26.28515625" style="33" customWidth="1"/>
    <col min="256" max="256" width="94.7109375" style="33" customWidth="1"/>
    <col min="257" max="257" width="10.5703125" style="33" customWidth="1"/>
    <col min="258" max="258" width="24" style="33" customWidth="1"/>
    <col min="259" max="259" width="24.5703125" style="33" bestFit="1" customWidth="1"/>
    <col min="260" max="260" width="17.7109375" style="33" bestFit="1" customWidth="1"/>
    <col min="261" max="261" width="17.42578125" style="33" bestFit="1" customWidth="1"/>
    <col min="262" max="262" width="17.5703125" style="33" bestFit="1" customWidth="1"/>
    <col min="263" max="263" width="9.28515625" style="33" bestFit="1" customWidth="1"/>
    <col min="264" max="264" width="10.28515625" style="33" bestFit="1" customWidth="1"/>
    <col min="265" max="265" width="45.7109375" style="33" customWidth="1"/>
    <col min="266" max="509" width="9.140625" style="33"/>
    <col min="510" max="510" width="6.85546875" style="33" customWidth="1"/>
    <col min="511" max="511" width="26.28515625" style="33" customWidth="1"/>
    <col min="512" max="512" width="94.7109375" style="33" customWidth="1"/>
    <col min="513" max="513" width="10.5703125" style="33" customWidth="1"/>
    <col min="514" max="514" width="24" style="33" customWidth="1"/>
    <col min="515" max="515" width="24.5703125" style="33" bestFit="1" customWidth="1"/>
    <col min="516" max="516" width="17.7109375" style="33" bestFit="1" customWidth="1"/>
    <col min="517" max="517" width="17.42578125" style="33" bestFit="1" customWidth="1"/>
    <col min="518" max="518" width="17.5703125" style="33" bestFit="1" customWidth="1"/>
    <col min="519" max="519" width="9.28515625" style="33" bestFit="1" customWidth="1"/>
    <col min="520" max="520" width="10.28515625" style="33" bestFit="1" customWidth="1"/>
    <col min="521" max="521" width="45.7109375" style="33" customWidth="1"/>
    <col min="522" max="765" width="9.140625" style="33"/>
    <col min="766" max="766" width="6.85546875" style="33" customWidth="1"/>
    <col min="767" max="767" width="26.28515625" style="33" customWidth="1"/>
    <col min="768" max="768" width="94.7109375" style="33" customWidth="1"/>
    <col min="769" max="769" width="10.5703125" style="33" customWidth="1"/>
    <col min="770" max="770" width="24" style="33" customWidth="1"/>
    <col min="771" max="771" width="24.5703125" style="33" bestFit="1" customWidth="1"/>
    <col min="772" max="772" width="17.7109375" style="33" bestFit="1" customWidth="1"/>
    <col min="773" max="773" width="17.42578125" style="33" bestFit="1" customWidth="1"/>
    <col min="774" max="774" width="17.5703125" style="33" bestFit="1" customWidth="1"/>
    <col min="775" max="775" width="9.28515625" style="33" bestFit="1" customWidth="1"/>
    <col min="776" max="776" width="10.28515625" style="33" bestFit="1" customWidth="1"/>
    <col min="777" max="777" width="45.7109375" style="33" customWidth="1"/>
    <col min="778" max="1021" width="9.140625" style="33"/>
    <col min="1022" max="1022" width="6.85546875" style="33" customWidth="1"/>
    <col min="1023" max="1023" width="26.28515625" style="33" customWidth="1"/>
    <col min="1024" max="1024" width="94.7109375" style="33" customWidth="1"/>
    <col min="1025" max="1025" width="10.5703125" style="33" customWidth="1"/>
    <col min="1026" max="1026" width="24" style="33" customWidth="1"/>
    <col min="1027" max="1027" width="24.5703125" style="33" bestFit="1" customWidth="1"/>
    <col min="1028" max="1028" width="17.7109375" style="33" bestFit="1" customWidth="1"/>
    <col min="1029" max="1029" width="17.42578125" style="33" bestFit="1" customWidth="1"/>
    <col min="1030" max="1030" width="17.5703125" style="33" bestFit="1" customWidth="1"/>
    <col min="1031" max="1031" width="9.28515625" style="33" bestFit="1" customWidth="1"/>
    <col min="1032" max="1032" width="10.28515625" style="33" bestFit="1" customWidth="1"/>
    <col min="1033" max="1033" width="45.7109375" style="33" customWidth="1"/>
    <col min="1034" max="1277" width="9.140625" style="33"/>
    <col min="1278" max="1278" width="6.85546875" style="33" customWidth="1"/>
    <col min="1279" max="1279" width="26.28515625" style="33" customWidth="1"/>
    <col min="1280" max="1280" width="94.7109375" style="33" customWidth="1"/>
    <col min="1281" max="1281" width="10.5703125" style="33" customWidth="1"/>
    <col min="1282" max="1282" width="24" style="33" customWidth="1"/>
    <col min="1283" max="1283" width="24.5703125" style="33" bestFit="1" customWidth="1"/>
    <col min="1284" max="1284" width="17.7109375" style="33" bestFit="1" customWidth="1"/>
    <col min="1285" max="1285" width="17.42578125" style="33" bestFit="1" customWidth="1"/>
    <col min="1286" max="1286" width="17.5703125" style="33" bestFit="1" customWidth="1"/>
    <col min="1287" max="1287" width="9.28515625" style="33" bestFit="1" customWidth="1"/>
    <col min="1288" max="1288" width="10.28515625" style="33" bestFit="1" customWidth="1"/>
    <col min="1289" max="1289" width="45.7109375" style="33" customWidth="1"/>
    <col min="1290" max="1533" width="9.140625" style="33"/>
    <col min="1534" max="1534" width="6.85546875" style="33" customWidth="1"/>
    <col min="1535" max="1535" width="26.28515625" style="33" customWidth="1"/>
    <col min="1536" max="1536" width="94.7109375" style="33" customWidth="1"/>
    <col min="1537" max="1537" width="10.5703125" style="33" customWidth="1"/>
    <col min="1538" max="1538" width="24" style="33" customWidth="1"/>
    <col min="1539" max="1539" width="24.5703125" style="33" bestFit="1" customWidth="1"/>
    <col min="1540" max="1540" width="17.7109375" style="33" bestFit="1" customWidth="1"/>
    <col min="1541" max="1541" width="17.42578125" style="33" bestFit="1" customWidth="1"/>
    <col min="1542" max="1542" width="17.5703125" style="33" bestFit="1" customWidth="1"/>
    <col min="1543" max="1543" width="9.28515625" style="33" bestFit="1" customWidth="1"/>
    <col min="1544" max="1544" width="10.28515625" style="33" bestFit="1" customWidth="1"/>
    <col min="1545" max="1545" width="45.7109375" style="33" customWidth="1"/>
    <col min="1546" max="1789" width="9.140625" style="33"/>
    <col min="1790" max="1790" width="6.85546875" style="33" customWidth="1"/>
    <col min="1791" max="1791" width="26.28515625" style="33" customWidth="1"/>
    <col min="1792" max="1792" width="94.7109375" style="33" customWidth="1"/>
    <col min="1793" max="1793" width="10.5703125" style="33" customWidth="1"/>
    <col min="1794" max="1794" width="24" style="33" customWidth="1"/>
    <col min="1795" max="1795" width="24.5703125" style="33" bestFit="1" customWidth="1"/>
    <col min="1796" max="1796" width="17.7109375" style="33" bestFit="1" customWidth="1"/>
    <col min="1797" max="1797" width="17.42578125" style="33" bestFit="1" customWidth="1"/>
    <col min="1798" max="1798" width="17.5703125" style="33" bestFit="1" customWidth="1"/>
    <col min="1799" max="1799" width="9.28515625" style="33" bestFit="1" customWidth="1"/>
    <col min="1800" max="1800" width="10.28515625" style="33" bestFit="1" customWidth="1"/>
    <col min="1801" max="1801" width="45.7109375" style="33" customWidth="1"/>
    <col min="1802" max="2045" width="9.140625" style="33"/>
    <col min="2046" max="2046" width="6.85546875" style="33" customWidth="1"/>
    <col min="2047" max="2047" width="26.28515625" style="33" customWidth="1"/>
    <col min="2048" max="2048" width="94.7109375" style="33" customWidth="1"/>
    <col min="2049" max="2049" width="10.5703125" style="33" customWidth="1"/>
    <col min="2050" max="2050" width="24" style="33" customWidth="1"/>
    <col min="2051" max="2051" width="24.5703125" style="33" bestFit="1" customWidth="1"/>
    <col min="2052" max="2052" width="17.7109375" style="33" bestFit="1" customWidth="1"/>
    <col min="2053" max="2053" width="17.42578125" style="33" bestFit="1" customWidth="1"/>
    <col min="2054" max="2054" width="17.5703125" style="33" bestFit="1" customWidth="1"/>
    <col min="2055" max="2055" width="9.28515625" style="33" bestFit="1" customWidth="1"/>
    <col min="2056" max="2056" width="10.28515625" style="33" bestFit="1" customWidth="1"/>
    <col min="2057" max="2057" width="45.7109375" style="33" customWidth="1"/>
    <col min="2058" max="2301" width="9.140625" style="33"/>
    <col min="2302" max="2302" width="6.85546875" style="33" customWidth="1"/>
    <col min="2303" max="2303" width="26.28515625" style="33" customWidth="1"/>
    <col min="2304" max="2304" width="94.7109375" style="33" customWidth="1"/>
    <col min="2305" max="2305" width="10.5703125" style="33" customWidth="1"/>
    <col min="2306" max="2306" width="24" style="33" customWidth="1"/>
    <col min="2307" max="2307" width="24.5703125" style="33" bestFit="1" customWidth="1"/>
    <col min="2308" max="2308" width="17.7109375" style="33" bestFit="1" customWidth="1"/>
    <col min="2309" max="2309" width="17.42578125" style="33" bestFit="1" customWidth="1"/>
    <col min="2310" max="2310" width="17.5703125" style="33" bestFit="1" customWidth="1"/>
    <col min="2311" max="2311" width="9.28515625" style="33" bestFit="1" customWidth="1"/>
    <col min="2312" max="2312" width="10.28515625" style="33" bestFit="1" customWidth="1"/>
    <col min="2313" max="2313" width="45.7109375" style="33" customWidth="1"/>
    <col min="2314" max="2557" width="9.140625" style="33"/>
    <col min="2558" max="2558" width="6.85546875" style="33" customWidth="1"/>
    <col min="2559" max="2559" width="26.28515625" style="33" customWidth="1"/>
    <col min="2560" max="2560" width="94.7109375" style="33" customWidth="1"/>
    <col min="2561" max="2561" width="10.5703125" style="33" customWidth="1"/>
    <col min="2562" max="2562" width="24" style="33" customWidth="1"/>
    <col min="2563" max="2563" width="24.5703125" style="33" bestFit="1" customWidth="1"/>
    <col min="2564" max="2564" width="17.7109375" style="33" bestFit="1" customWidth="1"/>
    <col min="2565" max="2565" width="17.42578125" style="33" bestFit="1" customWidth="1"/>
    <col min="2566" max="2566" width="17.5703125" style="33" bestFit="1" customWidth="1"/>
    <col min="2567" max="2567" width="9.28515625" style="33" bestFit="1" customWidth="1"/>
    <col min="2568" max="2568" width="10.28515625" style="33" bestFit="1" customWidth="1"/>
    <col min="2569" max="2569" width="45.7109375" style="33" customWidth="1"/>
    <col min="2570" max="2813" width="9.140625" style="33"/>
    <col min="2814" max="2814" width="6.85546875" style="33" customWidth="1"/>
    <col min="2815" max="2815" width="26.28515625" style="33" customWidth="1"/>
    <col min="2816" max="2816" width="94.7109375" style="33" customWidth="1"/>
    <col min="2817" max="2817" width="10.5703125" style="33" customWidth="1"/>
    <col min="2818" max="2818" width="24" style="33" customWidth="1"/>
    <col min="2819" max="2819" width="24.5703125" style="33" bestFit="1" customWidth="1"/>
    <col min="2820" max="2820" width="17.7109375" style="33" bestFit="1" customWidth="1"/>
    <col min="2821" max="2821" width="17.42578125" style="33" bestFit="1" customWidth="1"/>
    <col min="2822" max="2822" width="17.5703125" style="33" bestFit="1" customWidth="1"/>
    <col min="2823" max="2823" width="9.28515625" style="33" bestFit="1" customWidth="1"/>
    <col min="2824" max="2824" width="10.28515625" style="33" bestFit="1" customWidth="1"/>
    <col min="2825" max="2825" width="45.7109375" style="33" customWidth="1"/>
    <col min="2826" max="3069" width="9.140625" style="33"/>
    <col min="3070" max="3070" width="6.85546875" style="33" customWidth="1"/>
    <col min="3071" max="3071" width="26.28515625" style="33" customWidth="1"/>
    <col min="3072" max="3072" width="94.7109375" style="33" customWidth="1"/>
    <col min="3073" max="3073" width="10.5703125" style="33" customWidth="1"/>
    <col min="3074" max="3074" width="24" style="33" customWidth="1"/>
    <col min="3075" max="3075" width="24.5703125" style="33" bestFit="1" customWidth="1"/>
    <col min="3076" max="3076" width="17.7109375" style="33" bestFit="1" customWidth="1"/>
    <col min="3077" max="3077" width="17.42578125" style="33" bestFit="1" customWidth="1"/>
    <col min="3078" max="3078" width="17.5703125" style="33" bestFit="1" customWidth="1"/>
    <col min="3079" max="3079" width="9.28515625" style="33" bestFit="1" customWidth="1"/>
    <col min="3080" max="3080" width="10.28515625" style="33" bestFit="1" customWidth="1"/>
    <col min="3081" max="3081" width="45.7109375" style="33" customWidth="1"/>
    <col min="3082" max="3325" width="9.140625" style="33"/>
    <col min="3326" max="3326" width="6.85546875" style="33" customWidth="1"/>
    <col min="3327" max="3327" width="26.28515625" style="33" customWidth="1"/>
    <col min="3328" max="3328" width="94.7109375" style="33" customWidth="1"/>
    <col min="3329" max="3329" width="10.5703125" style="33" customWidth="1"/>
    <col min="3330" max="3330" width="24" style="33" customWidth="1"/>
    <col min="3331" max="3331" width="24.5703125" style="33" bestFit="1" customWidth="1"/>
    <col min="3332" max="3332" width="17.7109375" style="33" bestFit="1" customWidth="1"/>
    <col min="3333" max="3333" width="17.42578125" style="33" bestFit="1" customWidth="1"/>
    <col min="3334" max="3334" width="17.5703125" style="33" bestFit="1" customWidth="1"/>
    <col min="3335" max="3335" width="9.28515625" style="33" bestFit="1" customWidth="1"/>
    <col min="3336" max="3336" width="10.28515625" style="33" bestFit="1" customWidth="1"/>
    <col min="3337" max="3337" width="45.7109375" style="33" customWidth="1"/>
    <col min="3338" max="3581" width="9.140625" style="33"/>
    <col min="3582" max="3582" width="6.85546875" style="33" customWidth="1"/>
    <col min="3583" max="3583" width="26.28515625" style="33" customWidth="1"/>
    <col min="3584" max="3584" width="94.7109375" style="33" customWidth="1"/>
    <col min="3585" max="3585" width="10.5703125" style="33" customWidth="1"/>
    <col min="3586" max="3586" width="24" style="33" customWidth="1"/>
    <col min="3587" max="3587" width="24.5703125" style="33" bestFit="1" customWidth="1"/>
    <col min="3588" max="3588" width="17.7109375" style="33" bestFit="1" customWidth="1"/>
    <col min="3589" max="3589" width="17.42578125" style="33" bestFit="1" customWidth="1"/>
    <col min="3590" max="3590" width="17.5703125" style="33" bestFit="1" customWidth="1"/>
    <col min="3591" max="3591" width="9.28515625" style="33" bestFit="1" customWidth="1"/>
    <col min="3592" max="3592" width="10.28515625" style="33" bestFit="1" customWidth="1"/>
    <col min="3593" max="3593" width="45.7109375" style="33" customWidth="1"/>
    <col min="3594" max="3837" width="9.140625" style="33"/>
    <col min="3838" max="3838" width="6.85546875" style="33" customWidth="1"/>
    <col min="3839" max="3839" width="26.28515625" style="33" customWidth="1"/>
    <col min="3840" max="3840" width="94.7109375" style="33" customWidth="1"/>
    <col min="3841" max="3841" width="10.5703125" style="33" customWidth="1"/>
    <col min="3842" max="3842" width="24" style="33" customWidth="1"/>
    <col min="3843" max="3843" width="24.5703125" style="33" bestFit="1" customWidth="1"/>
    <col min="3844" max="3844" width="17.7109375" style="33" bestFit="1" customWidth="1"/>
    <col min="3845" max="3845" width="17.42578125" style="33" bestFit="1" customWidth="1"/>
    <col min="3846" max="3846" width="17.5703125" style="33" bestFit="1" customWidth="1"/>
    <col min="3847" max="3847" width="9.28515625" style="33" bestFit="1" customWidth="1"/>
    <col min="3848" max="3848" width="10.28515625" style="33" bestFit="1" customWidth="1"/>
    <col min="3849" max="3849" width="45.7109375" style="33" customWidth="1"/>
    <col min="3850" max="4093" width="9.140625" style="33"/>
    <col min="4094" max="4094" width="6.85546875" style="33" customWidth="1"/>
    <col min="4095" max="4095" width="26.28515625" style="33" customWidth="1"/>
    <col min="4096" max="4096" width="94.7109375" style="33" customWidth="1"/>
    <col min="4097" max="4097" width="10.5703125" style="33" customWidth="1"/>
    <col min="4098" max="4098" width="24" style="33" customWidth="1"/>
    <col min="4099" max="4099" width="24.5703125" style="33" bestFit="1" customWidth="1"/>
    <col min="4100" max="4100" width="17.7109375" style="33" bestFit="1" customWidth="1"/>
    <col min="4101" max="4101" width="17.42578125" style="33" bestFit="1" customWidth="1"/>
    <col min="4102" max="4102" width="17.5703125" style="33" bestFit="1" customWidth="1"/>
    <col min="4103" max="4103" width="9.28515625" style="33" bestFit="1" customWidth="1"/>
    <col min="4104" max="4104" width="10.28515625" style="33" bestFit="1" customWidth="1"/>
    <col min="4105" max="4105" width="45.7109375" style="33" customWidth="1"/>
    <col min="4106" max="4349" width="9.140625" style="33"/>
    <col min="4350" max="4350" width="6.85546875" style="33" customWidth="1"/>
    <col min="4351" max="4351" width="26.28515625" style="33" customWidth="1"/>
    <col min="4352" max="4352" width="94.7109375" style="33" customWidth="1"/>
    <col min="4353" max="4353" width="10.5703125" style="33" customWidth="1"/>
    <col min="4354" max="4354" width="24" style="33" customWidth="1"/>
    <col min="4355" max="4355" width="24.5703125" style="33" bestFit="1" customWidth="1"/>
    <col min="4356" max="4356" width="17.7109375" style="33" bestFit="1" customWidth="1"/>
    <col min="4357" max="4357" width="17.42578125" style="33" bestFit="1" customWidth="1"/>
    <col min="4358" max="4358" width="17.5703125" style="33" bestFit="1" customWidth="1"/>
    <col min="4359" max="4359" width="9.28515625" style="33" bestFit="1" customWidth="1"/>
    <col min="4360" max="4360" width="10.28515625" style="33" bestFit="1" customWidth="1"/>
    <col min="4361" max="4361" width="45.7109375" style="33" customWidth="1"/>
    <col min="4362" max="4605" width="9.140625" style="33"/>
    <col min="4606" max="4606" width="6.85546875" style="33" customWidth="1"/>
    <col min="4607" max="4607" width="26.28515625" style="33" customWidth="1"/>
    <col min="4608" max="4608" width="94.7109375" style="33" customWidth="1"/>
    <col min="4609" max="4609" width="10.5703125" style="33" customWidth="1"/>
    <col min="4610" max="4610" width="24" style="33" customWidth="1"/>
    <col min="4611" max="4611" width="24.5703125" style="33" bestFit="1" customWidth="1"/>
    <col min="4612" max="4612" width="17.7109375" style="33" bestFit="1" customWidth="1"/>
    <col min="4613" max="4613" width="17.42578125" style="33" bestFit="1" customWidth="1"/>
    <col min="4614" max="4614" width="17.5703125" style="33" bestFit="1" customWidth="1"/>
    <col min="4615" max="4615" width="9.28515625" style="33" bestFit="1" customWidth="1"/>
    <col min="4616" max="4616" width="10.28515625" style="33" bestFit="1" customWidth="1"/>
    <col min="4617" max="4617" width="45.7109375" style="33" customWidth="1"/>
    <col min="4618" max="4861" width="9.140625" style="33"/>
    <col min="4862" max="4862" width="6.85546875" style="33" customWidth="1"/>
    <col min="4863" max="4863" width="26.28515625" style="33" customWidth="1"/>
    <col min="4864" max="4864" width="94.7109375" style="33" customWidth="1"/>
    <col min="4865" max="4865" width="10.5703125" style="33" customWidth="1"/>
    <col min="4866" max="4866" width="24" style="33" customWidth="1"/>
    <col min="4867" max="4867" width="24.5703125" style="33" bestFit="1" customWidth="1"/>
    <col min="4868" max="4868" width="17.7109375" style="33" bestFit="1" customWidth="1"/>
    <col min="4869" max="4869" width="17.42578125" style="33" bestFit="1" customWidth="1"/>
    <col min="4870" max="4870" width="17.5703125" style="33" bestFit="1" customWidth="1"/>
    <col min="4871" max="4871" width="9.28515625" style="33" bestFit="1" customWidth="1"/>
    <col min="4872" max="4872" width="10.28515625" style="33" bestFit="1" customWidth="1"/>
    <col min="4873" max="4873" width="45.7109375" style="33" customWidth="1"/>
    <col min="4874" max="5117" width="9.140625" style="33"/>
    <col min="5118" max="5118" width="6.85546875" style="33" customWidth="1"/>
    <col min="5119" max="5119" width="26.28515625" style="33" customWidth="1"/>
    <col min="5120" max="5120" width="94.7109375" style="33" customWidth="1"/>
    <col min="5121" max="5121" width="10.5703125" style="33" customWidth="1"/>
    <col min="5122" max="5122" width="24" style="33" customWidth="1"/>
    <col min="5123" max="5123" width="24.5703125" style="33" bestFit="1" customWidth="1"/>
    <col min="5124" max="5124" width="17.7109375" style="33" bestFit="1" customWidth="1"/>
    <col min="5125" max="5125" width="17.42578125" style="33" bestFit="1" customWidth="1"/>
    <col min="5126" max="5126" width="17.5703125" style="33" bestFit="1" customWidth="1"/>
    <col min="5127" max="5127" width="9.28515625" style="33" bestFit="1" customWidth="1"/>
    <col min="5128" max="5128" width="10.28515625" style="33" bestFit="1" customWidth="1"/>
    <col min="5129" max="5129" width="45.7109375" style="33" customWidth="1"/>
    <col min="5130" max="5373" width="9.140625" style="33"/>
    <col min="5374" max="5374" width="6.85546875" style="33" customWidth="1"/>
    <col min="5375" max="5375" width="26.28515625" style="33" customWidth="1"/>
    <col min="5376" max="5376" width="94.7109375" style="33" customWidth="1"/>
    <col min="5377" max="5377" width="10.5703125" style="33" customWidth="1"/>
    <col min="5378" max="5378" width="24" style="33" customWidth="1"/>
    <col min="5379" max="5379" width="24.5703125" style="33" bestFit="1" customWidth="1"/>
    <col min="5380" max="5380" width="17.7109375" style="33" bestFit="1" customWidth="1"/>
    <col min="5381" max="5381" width="17.42578125" style="33" bestFit="1" customWidth="1"/>
    <col min="5382" max="5382" width="17.5703125" style="33" bestFit="1" customWidth="1"/>
    <col min="5383" max="5383" width="9.28515625" style="33" bestFit="1" customWidth="1"/>
    <col min="5384" max="5384" width="10.28515625" style="33" bestFit="1" customWidth="1"/>
    <col min="5385" max="5385" width="45.7109375" style="33" customWidth="1"/>
    <col min="5386" max="5629" width="9.140625" style="33"/>
    <col min="5630" max="5630" width="6.85546875" style="33" customWidth="1"/>
    <col min="5631" max="5631" width="26.28515625" style="33" customWidth="1"/>
    <col min="5632" max="5632" width="94.7109375" style="33" customWidth="1"/>
    <col min="5633" max="5633" width="10.5703125" style="33" customWidth="1"/>
    <col min="5634" max="5634" width="24" style="33" customWidth="1"/>
    <col min="5635" max="5635" width="24.5703125" style="33" bestFit="1" customWidth="1"/>
    <col min="5636" max="5636" width="17.7109375" style="33" bestFit="1" customWidth="1"/>
    <col min="5637" max="5637" width="17.42578125" style="33" bestFit="1" customWidth="1"/>
    <col min="5638" max="5638" width="17.5703125" style="33" bestFit="1" customWidth="1"/>
    <col min="5639" max="5639" width="9.28515625" style="33" bestFit="1" customWidth="1"/>
    <col min="5640" max="5640" width="10.28515625" style="33" bestFit="1" customWidth="1"/>
    <col min="5641" max="5641" width="45.7109375" style="33" customWidth="1"/>
    <col min="5642" max="5885" width="9.140625" style="33"/>
    <col min="5886" max="5886" width="6.85546875" style="33" customWidth="1"/>
    <col min="5887" max="5887" width="26.28515625" style="33" customWidth="1"/>
    <col min="5888" max="5888" width="94.7109375" style="33" customWidth="1"/>
    <col min="5889" max="5889" width="10.5703125" style="33" customWidth="1"/>
    <col min="5890" max="5890" width="24" style="33" customWidth="1"/>
    <col min="5891" max="5891" width="24.5703125" style="33" bestFit="1" customWidth="1"/>
    <col min="5892" max="5892" width="17.7109375" style="33" bestFit="1" customWidth="1"/>
    <col min="5893" max="5893" width="17.42578125" style="33" bestFit="1" customWidth="1"/>
    <col min="5894" max="5894" width="17.5703125" style="33" bestFit="1" customWidth="1"/>
    <col min="5895" max="5895" width="9.28515625" style="33" bestFit="1" customWidth="1"/>
    <col min="5896" max="5896" width="10.28515625" style="33" bestFit="1" customWidth="1"/>
    <col min="5897" max="5897" width="45.7109375" style="33" customWidth="1"/>
    <col min="5898" max="6141" width="9.140625" style="33"/>
    <col min="6142" max="6142" width="6.85546875" style="33" customWidth="1"/>
    <col min="6143" max="6143" width="26.28515625" style="33" customWidth="1"/>
    <col min="6144" max="6144" width="94.7109375" style="33" customWidth="1"/>
    <col min="6145" max="6145" width="10.5703125" style="33" customWidth="1"/>
    <col min="6146" max="6146" width="24" style="33" customWidth="1"/>
    <col min="6147" max="6147" width="24.5703125" style="33" bestFit="1" customWidth="1"/>
    <col min="6148" max="6148" width="17.7109375" style="33" bestFit="1" customWidth="1"/>
    <col min="6149" max="6149" width="17.42578125" style="33" bestFit="1" customWidth="1"/>
    <col min="6150" max="6150" width="17.5703125" style="33" bestFit="1" customWidth="1"/>
    <col min="6151" max="6151" width="9.28515625" style="33" bestFit="1" customWidth="1"/>
    <col min="6152" max="6152" width="10.28515625" style="33" bestFit="1" customWidth="1"/>
    <col min="6153" max="6153" width="45.7109375" style="33" customWidth="1"/>
    <col min="6154" max="6397" width="9.140625" style="33"/>
    <col min="6398" max="6398" width="6.85546875" style="33" customWidth="1"/>
    <col min="6399" max="6399" width="26.28515625" style="33" customWidth="1"/>
    <col min="6400" max="6400" width="94.7109375" style="33" customWidth="1"/>
    <col min="6401" max="6401" width="10.5703125" style="33" customWidth="1"/>
    <col min="6402" max="6402" width="24" style="33" customWidth="1"/>
    <col min="6403" max="6403" width="24.5703125" style="33" bestFit="1" customWidth="1"/>
    <col min="6404" max="6404" width="17.7109375" style="33" bestFit="1" customWidth="1"/>
    <col min="6405" max="6405" width="17.42578125" style="33" bestFit="1" customWidth="1"/>
    <col min="6406" max="6406" width="17.5703125" style="33" bestFit="1" customWidth="1"/>
    <col min="6407" max="6407" width="9.28515625" style="33" bestFit="1" customWidth="1"/>
    <col min="6408" max="6408" width="10.28515625" style="33" bestFit="1" customWidth="1"/>
    <col min="6409" max="6409" width="45.7109375" style="33" customWidth="1"/>
    <col min="6410" max="6653" width="9.140625" style="33"/>
    <col min="6654" max="6654" width="6.85546875" style="33" customWidth="1"/>
    <col min="6655" max="6655" width="26.28515625" style="33" customWidth="1"/>
    <col min="6656" max="6656" width="94.7109375" style="33" customWidth="1"/>
    <col min="6657" max="6657" width="10.5703125" style="33" customWidth="1"/>
    <col min="6658" max="6658" width="24" style="33" customWidth="1"/>
    <col min="6659" max="6659" width="24.5703125" style="33" bestFit="1" customWidth="1"/>
    <col min="6660" max="6660" width="17.7109375" style="33" bestFit="1" customWidth="1"/>
    <col min="6661" max="6661" width="17.42578125" style="33" bestFit="1" customWidth="1"/>
    <col min="6662" max="6662" width="17.5703125" style="33" bestFit="1" customWidth="1"/>
    <col min="6663" max="6663" width="9.28515625" style="33" bestFit="1" customWidth="1"/>
    <col min="6664" max="6664" width="10.28515625" style="33" bestFit="1" customWidth="1"/>
    <col min="6665" max="6665" width="45.7109375" style="33" customWidth="1"/>
    <col min="6666" max="6909" width="9.140625" style="33"/>
    <col min="6910" max="6910" width="6.85546875" style="33" customWidth="1"/>
    <col min="6911" max="6911" width="26.28515625" style="33" customWidth="1"/>
    <col min="6912" max="6912" width="94.7109375" style="33" customWidth="1"/>
    <col min="6913" max="6913" width="10.5703125" style="33" customWidth="1"/>
    <col min="6914" max="6914" width="24" style="33" customWidth="1"/>
    <col min="6915" max="6915" width="24.5703125" style="33" bestFit="1" customWidth="1"/>
    <col min="6916" max="6916" width="17.7109375" style="33" bestFit="1" customWidth="1"/>
    <col min="6917" max="6917" width="17.42578125" style="33" bestFit="1" customWidth="1"/>
    <col min="6918" max="6918" width="17.5703125" style="33" bestFit="1" customWidth="1"/>
    <col min="6919" max="6919" width="9.28515625" style="33" bestFit="1" customWidth="1"/>
    <col min="6920" max="6920" width="10.28515625" style="33" bestFit="1" customWidth="1"/>
    <col min="6921" max="6921" width="45.7109375" style="33" customWidth="1"/>
    <col min="6922" max="7165" width="9.140625" style="33"/>
    <col min="7166" max="7166" width="6.85546875" style="33" customWidth="1"/>
    <col min="7167" max="7167" width="26.28515625" style="33" customWidth="1"/>
    <col min="7168" max="7168" width="94.7109375" style="33" customWidth="1"/>
    <col min="7169" max="7169" width="10.5703125" style="33" customWidth="1"/>
    <col min="7170" max="7170" width="24" style="33" customWidth="1"/>
    <col min="7171" max="7171" width="24.5703125" style="33" bestFit="1" customWidth="1"/>
    <col min="7172" max="7172" width="17.7109375" style="33" bestFit="1" customWidth="1"/>
    <col min="7173" max="7173" width="17.42578125" style="33" bestFit="1" customWidth="1"/>
    <col min="7174" max="7174" width="17.5703125" style="33" bestFit="1" customWidth="1"/>
    <col min="7175" max="7175" width="9.28515625" style="33" bestFit="1" customWidth="1"/>
    <col min="7176" max="7176" width="10.28515625" style="33" bestFit="1" customWidth="1"/>
    <col min="7177" max="7177" width="45.7109375" style="33" customWidth="1"/>
    <col min="7178" max="7421" width="9.140625" style="33"/>
    <col min="7422" max="7422" width="6.85546875" style="33" customWidth="1"/>
    <col min="7423" max="7423" width="26.28515625" style="33" customWidth="1"/>
    <col min="7424" max="7424" width="94.7109375" style="33" customWidth="1"/>
    <col min="7425" max="7425" width="10.5703125" style="33" customWidth="1"/>
    <col min="7426" max="7426" width="24" style="33" customWidth="1"/>
    <col min="7427" max="7427" width="24.5703125" style="33" bestFit="1" customWidth="1"/>
    <col min="7428" max="7428" width="17.7109375" style="33" bestFit="1" customWidth="1"/>
    <col min="7429" max="7429" width="17.42578125" style="33" bestFit="1" customWidth="1"/>
    <col min="7430" max="7430" width="17.5703125" style="33" bestFit="1" customWidth="1"/>
    <col min="7431" max="7431" width="9.28515625" style="33" bestFit="1" customWidth="1"/>
    <col min="7432" max="7432" width="10.28515625" style="33" bestFit="1" customWidth="1"/>
    <col min="7433" max="7433" width="45.7109375" style="33" customWidth="1"/>
    <col min="7434" max="7677" width="9.140625" style="33"/>
    <col min="7678" max="7678" width="6.85546875" style="33" customWidth="1"/>
    <col min="7679" max="7679" width="26.28515625" style="33" customWidth="1"/>
    <col min="7680" max="7680" width="94.7109375" style="33" customWidth="1"/>
    <col min="7681" max="7681" width="10.5703125" style="33" customWidth="1"/>
    <col min="7682" max="7682" width="24" style="33" customWidth="1"/>
    <col min="7683" max="7683" width="24.5703125" style="33" bestFit="1" customWidth="1"/>
    <col min="7684" max="7684" width="17.7109375" style="33" bestFit="1" customWidth="1"/>
    <col min="7685" max="7685" width="17.42578125" style="33" bestFit="1" customWidth="1"/>
    <col min="7686" max="7686" width="17.5703125" style="33" bestFit="1" customWidth="1"/>
    <col min="7687" max="7687" width="9.28515625" style="33" bestFit="1" customWidth="1"/>
    <col min="7688" max="7688" width="10.28515625" style="33" bestFit="1" customWidth="1"/>
    <col min="7689" max="7689" width="45.7109375" style="33" customWidth="1"/>
    <col min="7690" max="7933" width="9.140625" style="33"/>
    <col min="7934" max="7934" width="6.85546875" style="33" customWidth="1"/>
    <col min="7935" max="7935" width="26.28515625" style="33" customWidth="1"/>
    <col min="7936" max="7936" width="94.7109375" style="33" customWidth="1"/>
    <col min="7937" max="7937" width="10.5703125" style="33" customWidth="1"/>
    <col min="7938" max="7938" width="24" style="33" customWidth="1"/>
    <col min="7939" max="7939" width="24.5703125" style="33" bestFit="1" customWidth="1"/>
    <col min="7940" max="7940" width="17.7109375" style="33" bestFit="1" customWidth="1"/>
    <col min="7941" max="7941" width="17.42578125" style="33" bestFit="1" customWidth="1"/>
    <col min="7942" max="7942" width="17.5703125" style="33" bestFit="1" customWidth="1"/>
    <col min="7943" max="7943" width="9.28515625" style="33" bestFit="1" customWidth="1"/>
    <col min="7944" max="7944" width="10.28515625" style="33" bestFit="1" customWidth="1"/>
    <col min="7945" max="7945" width="45.7109375" style="33" customWidth="1"/>
    <col min="7946" max="8189" width="9.140625" style="33"/>
    <col min="8190" max="8190" width="6.85546875" style="33" customWidth="1"/>
    <col min="8191" max="8191" width="26.28515625" style="33" customWidth="1"/>
    <col min="8192" max="8192" width="94.7109375" style="33" customWidth="1"/>
    <col min="8193" max="8193" width="10.5703125" style="33" customWidth="1"/>
    <col min="8194" max="8194" width="24" style="33" customWidth="1"/>
    <col min="8195" max="8195" width="24.5703125" style="33" bestFit="1" customWidth="1"/>
    <col min="8196" max="8196" width="17.7109375" style="33" bestFit="1" customWidth="1"/>
    <col min="8197" max="8197" width="17.42578125" style="33" bestFit="1" customWidth="1"/>
    <col min="8198" max="8198" width="17.5703125" style="33" bestFit="1" customWidth="1"/>
    <col min="8199" max="8199" width="9.28515625" style="33" bestFit="1" customWidth="1"/>
    <col min="8200" max="8200" width="10.28515625" style="33" bestFit="1" customWidth="1"/>
    <col min="8201" max="8201" width="45.7109375" style="33" customWidth="1"/>
    <col min="8202" max="8445" width="9.140625" style="33"/>
    <col min="8446" max="8446" width="6.85546875" style="33" customWidth="1"/>
    <col min="8447" max="8447" width="26.28515625" style="33" customWidth="1"/>
    <col min="8448" max="8448" width="94.7109375" style="33" customWidth="1"/>
    <col min="8449" max="8449" width="10.5703125" style="33" customWidth="1"/>
    <col min="8450" max="8450" width="24" style="33" customWidth="1"/>
    <col min="8451" max="8451" width="24.5703125" style="33" bestFit="1" customWidth="1"/>
    <col min="8452" max="8452" width="17.7109375" style="33" bestFit="1" customWidth="1"/>
    <col min="8453" max="8453" width="17.42578125" style="33" bestFit="1" customWidth="1"/>
    <col min="8454" max="8454" width="17.5703125" style="33" bestFit="1" customWidth="1"/>
    <col min="8455" max="8455" width="9.28515625" style="33" bestFit="1" customWidth="1"/>
    <col min="8456" max="8456" width="10.28515625" style="33" bestFit="1" customWidth="1"/>
    <col min="8457" max="8457" width="45.7109375" style="33" customWidth="1"/>
    <col min="8458" max="8701" width="9.140625" style="33"/>
    <col min="8702" max="8702" width="6.85546875" style="33" customWidth="1"/>
    <col min="8703" max="8703" width="26.28515625" style="33" customWidth="1"/>
    <col min="8704" max="8704" width="94.7109375" style="33" customWidth="1"/>
    <col min="8705" max="8705" width="10.5703125" style="33" customWidth="1"/>
    <col min="8706" max="8706" width="24" style="33" customWidth="1"/>
    <col min="8707" max="8707" width="24.5703125" style="33" bestFit="1" customWidth="1"/>
    <col min="8708" max="8708" width="17.7109375" style="33" bestFit="1" customWidth="1"/>
    <col min="8709" max="8709" width="17.42578125" style="33" bestFit="1" customWidth="1"/>
    <col min="8710" max="8710" width="17.5703125" style="33" bestFit="1" customWidth="1"/>
    <col min="8711" max="8711" width="9.28515625" style="33" bestFit="1" customWidth="1"/>
    <col min="8712" max="8712" width="10.28515625" style="33" bestFit="1" customWidth="1"/>
    <col min="8713" max="8713" width="45.7109375" style="33" customWidth="1"/>
    <col min="8714" max="8957" width="9.140625" style="33"/>
    <col min="8958" max="8958" width="6.85546875" style="33" customWidth="1"/>
    <col min="8959" max="8959" width="26.28515625" style="33" customWidth="1"/>
    <col min="8960" max="8960" width="94.7109375" style="33" customWidth="1"/>
    <col min="8961" max="8961" width="10.5703125" style="33" customWidth="1"/>
    <col min="8962" max="8962" width="24" style="33" customWidth="1"/>
    <col min="8963" max="8963" width="24.5703125" style="33" bestFit="1" customWidth="1"/>
    <col min="8964" max="8964" width="17.7109375" style="33" bestFit="1" customWidth="1"/>
    <col min="8965" max="8965" width="17.42578125" style="33" bestFit="1" customWidth="1"/>
    <col min="8966" max="8966" width="17.5703125" style="33" bestFit="1" customWidth="1"/>
    <col min="8967" max="8967" width="9.28515625" style="33" bestFit="1" customWidth="1"/>
    <col min="8968" max="8968" width="10.28515625" style="33" bestFit="1" customWidth="1"/>
    <col min="8969" max="8969" width="45.7109375" style="33" customWidth="1"/>
    <col min="8970" max="9213" width="9.140625" style="33"/>
    <col min="9214" max="9214" width="6.85546875" style="33" customWidth="1"/>
    <col min="9215" max="9215" width="26.28515625" style="33" customWidth="1"/>
    <col min="9216" max="9216" width="94.7109375" style="33" customWidth="1"/>
    <col min="9217" max="9217" width="10.5703125" style="33" customWidth="1"/>
    <col min="9218" max="9218" width="24" style="33" customWidth="1"/>
    <col min="9219" max="9219" width="24.5703125" style="33" bestFit="1" customWidth="1"/>
    <col min="9220" max="9220" width="17.7109375" style="33" bestFit="1" customWidth="1"/>
    <col min="9221" max="9221" width="17.42578125" style="33" bestFit="1" customWidth="1"/>
    <col min="9222" max="9222" width="17.5703125" style="33" bestFit="1" customWidth="1"/>
    <col min="9223" max="9223" width="9.28515625" style="33" bestFit="1" customWidth="1"/>
    <col min="9224" max="9224" width="10.28515625" style="33" bestFit="1" customWidth="1"/>
    <col min="9225" max="9225" width="45.7109375" style="33" customWidth="1"/>
    <col min="9226" max="9469" width="9.140625" style="33"/>
    <col min="9470" max="9470" width="6.85546875" style="33" customWidth="1"/>
    <col min="9471" max="9471" width="26.28515625" style="33" customWidth="1"/>
    <col min="9472" max="9472" width="94.7109375" style="33" customWidth="1"/>
    <col min="9473" max="9473" width="10.5703125" style="33" customWidth="1"/>
    <col min="9474" max="9474" width="24" style="33" customWidth="1"/>
    <col min="9475" max="9475" width="24.5703125" style="33" bestFit="1" customWidth="1"/>
    <col min="9476" max="9476" width="17.7109375" style="33" bestFit="1" customWidth="1"/>
    <col min="9477" max="9477" width="17.42578125" style="33" bestFit="1" customWidth="1"/>
    <col min="9478" max="9478" width="17.5703125" style="33" bestFit="1" customWidth="1"/>
    <col min="9479" max="9479" width="9.28515625" style="33" bestFit="1" customWidth="1"/>
    <col min="9480" max="9480" width="10.28515625" style="33" bestFit="1" customWidth="1"/>
    <col min="9481" max="9481" width="45.7109375" style="33" customWidth="1"/>
    <col min="9482" max="9725" width="9.140625" style="33"/>
    <col min="9726" max="9726" width="6.85546875" style="33" customWidth="1"/>
    <col min="9727" max="9727" width="26.28515625" style="33" customWidth="1"/>
    <col min="9728" max="9728" width="94.7109375" style="33" customWidth="1"/>
    <col min="9729" max="9729" width="10.5703125" style="33" customWidth="1"/>
    <col min="9730" max="9730" width="24" style="33" customWidth="1"/>
    <col min="9731" max="9731" width="24.5703125" style="33" bestFit="1" customWidth="1"/>
    <col min="9732" max="9732" width="17.7109375" style="33" bestFit="1" customWidth="1"/>
    <col min="9733" max="9733" width="17.42578125" style="33" bestFit="1" customWidth="1"/>
    <col min="9734" max="9734" width="17.5703125" style="33" bestFit="1" customWidth="1"/>
    <col min="9735" max="9735" width="9.28515625" style="33" bestFit="1" customWidth="1"/>
    <col min="9736" max="9736" width="10.28515625" style="33" bestFit="1" customWidth="1"/>
    <col min="9737" max="9737" width="45.7109375" style="33" customWidth="1"/>
    <col min="9738" max="9981" width="9.140625" style="33"/>
    <col min="9982" max="9982" width="6.85546875" style="33" customWidth="1"/>
    <col min="9983" max="9983" width="26.28515625" style="33" customWidth="1"/>
    <col min="9984" max="9984" width="94.7109375" style="33" customWidth="1"/>
    <col min="9985" max="9985" width="10.5703125" style="33" customWidth="1"/>
    <col min="9986" max="9986" width="24" style="33" customWidth="1"/>
    <col min="9987" max="9987" width="24.5703125" style="33" bestFit="1" customWidth="1"/>
    <col min="9988" max="9988" width="17.7109375" style="33" bestFit="1" customWidth="1"/>
    <col min="9989" max="9989" width="17.42578125" style="33" bestFit="1" customWidth="1"/>
    <col min="9990" max="9990" width="17.5703125" style="33" bestFit="1" customWidth="1"/>
    <col min="9991" max="9991" width="9.28515625" style="33" bestFit="1" customWidth="1"/>
    <col min="9992" max="9992" width="10.28515625" style="33" bestFit="1" customWidth="1"/>
    <col min="9993" max="9993" width="45.7109375" style="33" customWidth="1"/>
    <col min="9994" max="10237" width="9.140625" style="33"/>
    <col min="10238" max="10238" width="6.85546875" style="33" customWidth="1"/>
    <col min="10239" max="10239" width="26.28515625" style="33" customWidth="1"/>
    <col min="10240" max="10240" width="94.7109375" style="33" customWidth="1"/>
    <col min="10241" max="10241" width="10.5703125" style="33" customWidth="1"/>
    <col min="10242" max="10242" width="24" style="33" customWidth="1"/>
    <col min="10243" max="10243" width="24.5703125" style="33" bestFit="1" customWidth="1"/>
    <col min="10244" max="10244" width="17.7109375" style="33" bestFit="1" customWidth="1"/>
    <col min="10245" max="10245" width="17.42578125" style="33" bestFit="1" customWidth="1"/>
    <col min="10246" max="10246" width="17.5703125" style="33" bestFit="1" customWidth="1"/>
    <col min="10247" max="10247" width="9.28515625" style="33" bestFit="1" customWidth="1"/>
    <col min="10248" max="10248" width="10.28515625" style="33" bestFit="1" customWidth="1"/>
    <col min="10249" max="10249" width="45.7109375" style="33" customWidth="1"/>
    <col min="10250" max="10493" width="9.140625" style="33"/>
    <col min="10494" max="10494" width="6.85546875" style="33" customWidth="1"/>
    <col min="10495" max="10495" width="26.28515625" style="33" customWidth="1"/>
    <col min="10496" max="10496" width="94.7109375" style="33" customWidth="1"/>
    <col min="10497" max="10497" width="10.5703125" style="33" customWidth="1"/>
    <col min="10498" max="10498" width="24" style="33" customWidth="1"/>
    <col min="10499" max="10499" width="24.5703125" style="33" bestFit="1" customWidth="1"/>
    <col min="10500" max="10500" width="17.7109375" style="33" bestFit="1" customWidth="1"/>
    <col min="10501" max="10501" width="17.42578125" style="33" bestFit="1" customWidth="1"/>
    <col min="10502" max="10502" width="17.5703125" style="33" bestFit="1" customWidth="1"/>
    <col min="10503" max="10503" width="9.28515625" style="33" bestFit="1" customWidth="1"/>
    <col min="10504" max="10504" width="10.28515625" style="33" bestFit="1" customWidth="1"/>
    <col min="10505" max="10505" width="45.7109375" style="33" customWidth="1"/>
    <col min="10506" max="10749" width="9.140625" style="33"/>
    <col min="10750" max="10750" width="6.85546875" style="33" customWidth="1"/>
    <col min="10751" max="10751" width="26.28515625" style="33" customWidth="1"/>
    <col min="10752" max="10752" width="94.7109375" style="33" customWidth="1"/>
    <col min="10753" max="10753" width="10.5703125" style="33" customWidth="1"/>
    <col min="10754" max="10754" width="24" style="33" customWidth="1"/>
    <col min="10755" max="10755" width="24.5703125" style="33" bestFit="1" customWidth="1"/>
    <col min="10756" max="10756" width="17.7109375" style="33" bestFit="1" customWidth="1"/>
    <col min="10757" max="10757" width="17.42578125" style="33" bestFit="1" customWidth="1"/>
    <col min="10758" max="10758" width="17.5703125" style="33" bestFit="1" customWidth="1"/>
    <col min="10759" max="10759" width="9.28515625" style="33" bestFit="1" customWidth="1"/>
    <col min="10760" max="10760" width="10.28515625" style="33" bestFit="1" customWidth="1"/>
    <col min="10761" max="10761" width="45.7109375" style="33" customWidth="1"/>
    <col min="10762" max="11005" width="9.140625" style="33"/>
    <col min="11006" max="11006" width="6.85546875" style="33" customWidth="1"/>
    <col min="11007" max="11007" width="26.28515625" style="33" customWidth="1"/>
    <col min="11008" max="11008" width="94.7109375" style="33" customWidth="1"/>
    <col min="11009" max="11009" width="10.5703125" style="33" customWidth="1"/>
    <col min="11010" max="11010" width="24" style="33" customWidth="1"/>
    <col min="11011" max="11011" width="24.5703125" style="33" bestFit="1" customWidth="1"/>
    <col min="11012" max="11012" width="17.7109375" style="33" bestFit="1" customWidth="1"/>
    <col min="11013" max="11013" width="17.42578125" style="33" bestFit="1" customWidth="1"/>
    <col min="11014" max="11014" width="17.5703125" style="33" bestFit="1" customWidth="1"/>
    <col min="11015" max="11015" width="9.28515625" style="33" bestFit="1" customWidth="1"/>
    <col min="11016" max="11016" width="10.28515625" style="33" bestFit="1" customWidth="1"/>
    <col min="11017" max="11017" width="45.7109375" style="33" customWidth="1"/>
    <col min="11018" max="11261" width="9.140625" style="33"/>
    <col min="11262" max="11262" width="6.85546875" style="33" customWidth="1"/>
    <col min="11263" max="11263" width="26.28515625" style="33" customWidth="1"/>
    <col min="11264" max="11264" width="94.7109375" style="33" customWidth="1"/>
    <col min="11265" max="11265" width="10.5703125" style="33" customWidth="1"/>
    <col min="11266" max="11266" width="24" style="33" customWidth="1"/>
    <col min="11267" max="11267" width="24.5703125" style="33" bestFit="1" customWidth="1"/>
    <col min="11268" max="11268" width="17.7109375" style="33" bestFit="1" customWidth="1"/>
    <col min="11269" max="11269" width="17.42578125" style="33" bestFit="1" customWidth="1"/>
    <col min="11270" max="11270" width="17.5703125" style="33" bestFit="1" customWidth="1"/>
    <col min="11271" max="11271" width="9.28515625" style="33" bestFit="1" customWidth="1"/>
    <col min="11272" max="11272" width="10.28515625" style="33" bestFit="1" customWidth="1"/>
    <col min="11273" max="11273" width="45.7109375" style="33" customWidth="1"/>
    <col min="11274" max="11517" width="9.140625" style="33"/>
    <col min="11518" max="11518" width="6.85546875" style="33" customWidth="1"/>
    <col min="11519" max="11519" width="26.28515625" style="33" customWidth="1"/>
    <col min="11520" max="11520" width="94.7109375" style="33" customWidth="1"/>
    <col min="11521" max="11521" width="10.5703125" style="33" customWidth="1"/>
    <col min="11522" max="11522" width="24" style="33" customWidth="1"/>
    <col min="11523" max="11523" width="24.5703125" style="33" bestFit="1" customWidth="1"/>
    <col min="11524" max="11524" width="17.7109375" style="33" bestFit="1" customWidth="1"/>
    <col min="11525" max="11525" width="17.42578125" style="33" bestFit="1" customWidth="1"/>
    <col min="11526" max="11526" width="17.5703125" style="33" bestFit="1" customWidth="1"/>
    <col min="11527" max="11527" width="9.28515625" style="33" bestFit="1" customWidth="1"/>
    <col min="11528" max="11528" width="10.28515625" style="33" bestFit="1" customWidth="1"/>
    <col min="11529" max="11529" width="45.7109375" style="33" customWidth="1"/>
    <col min="11530" max="11773" width="9.140625" style="33"/>
    <col min="11774" max="11774" width="6.85546875" style="33" customWidth="1"/>
    <col min="11775" max="11775" width="26.28515625" style="33" customWidth="1"/>
    <col min="11776" max="11776" width="94.7109375" style="33" customWidth="1"/>
    <col min="11777" max="11777" width="10.5703125" style="33" customWidth="1"/>
    <col min="11778" max="11778" width="24" style="33" customWidth="1"/>
    <col min="11779" max="11779" width="24.5703125" style="33" bestFit="1" customWidth="1"/>
    <col min="11780" max="11780" width="17.7109375" style="33" bestFit="1" customWidth="1"/>
    <col min="11781" max="11781" width="17.42578125" style="33" bestFit="1" customWidth="1"/>
    <col min="11782" max="11782" width="17.5703125" style="33" bestFit="1" customWidth="1"/>
    <col min="11783" max="11783" width="9.28515625" style="33" bestFit="1" customWidth="1"/>
    <col min="11784" max="11784" width="10.28515625" style="33" bestFit="1" customWidth="1"/>
    <col min="11785" max="11785" width="45.7109375" style="33" customWidth="1"/>
    <col min="11786" max="12029" width="9.140625" style="33"/>
    <col min="12030" max="12030" width="6.85546875" style="33" customWidth="1"/>
    <col min="12031" max="12031" width="26.28515625" style="33" customWidth="1"/>
    <col min="12032" max="12032" width="94.7109375" style="33" customWidth="1"/>
    <col min="12033" max="12033" width="10.5703125" style="33" customWidth="1"/>
    <col min="12034" max="12034" width="24" style="33" customWidth="1"/>
    <col min="12035" max="12035" width="24.5703125" style="33" bestFit="1" customWidth="1"/>
    <col min="12036" max="12036" width="17.7109375" style="33" bestFit="1" customWidth="1"/>
    <col min="12037" max="12037" width="17.42578125" style="33" bestFit="1" customWidth="1"/>
    <col min="12038" max="12038" width="17.5703125" style="33" bestFit="1" customWidth="1"/>
    <col min="12039" max="12039" width="9.28515625" style="33" bestFit="1" customWidth="1"/>
    <col min="12040" max="12040" width="10.28515625" style="33" bestFit="1" customWidth="1"/>
    <col min="12041" max="12041" width="45.7109375" style="33" customWidth="1"/>
    <col min="12042" max="12285" width="9.140625" style="33"/>
    <col min="12286" max="12286" width="6.85546875" style="33" customWidth="1"/>
    <col min="12287" max="12287" width="26.28515625" style="33" customWidth="1"/>
    <col min="12288" max="12288" width="94.7109375" style="33" customWidth="1"/>
    <col min="12289" max="12289" width="10.5703125" style="33" customWidth="1"/>
    <col min="12290" max="12290" width="24" style="33" customWidth="1"/>
    <col min="12291" max="12291" width="24.5703125" style="33" bestFit="1" customWidth="1"/>
    <col min="12292" max="12292" width="17.7109375" style="33" bestFit="1" customWidth="1"/>
    <col min="12293" max="12293" width="17.42578125" style="33" bestFit="1" customWidth="1"/>
    <col min="12294" max="12294" width="17.5703125" style="33" bestFit="1" customWidth="1"/>
    <col min="12295" max="12295" width="9.28515625" style="33" bestFit="1" customWidth="1"/>
    <col min="12296" max="12296" width="10.28515625" style="33" bestFit="1" customWidth="1"/>
    <col min="12297" max="12297" width="45.7109375" style="33" customWidth="1"/>
    <col min="12298" max="12541" width="9.140625" style="33"/>
    <col min="12542" max="12542" width="6.85546875" style="33" customWidth="1"/>
    <col min="12543" max="12543" width="26.28515625" style="33" customWidth="1"/>
    <col min="12544" max="12544" width="94.7109375" style="33" customWidth="1"/>
    <col min="12545" max="12545" width="10.5703125" style="33" customWidth="1"/>
    <col min="12546" max="12546" width="24" style="33" customWidth="1"/>
    <col min="12547" max="12547" width="24.5703125" style="33" bestFit="1" customWidth="1"/>
    <col min="12548" max="12548" width="17.7109375" style="33" bestFit="1" customWidth="1"/>
    <col min="12549" max="12549" width="17.42578125" style="33" bestFit="1" customWidth="1"/>
    <col min="12550" max="12550" width="17.5703125" style="33" bestFit="1" customWidth="1"/>
    <col min="12551" max="12551" width="9.28515625" style="33" bestFit="1" customWidth="1"/>
    <col min="12552" max="12552" width="10.28515625" style="33" bestFit="1" customWidth="1"/>
    <col min="12553" max="12553" width="45.7109375" style="33" customWidth="1"/>
    <col min="12554" max="12797" width="9.140625" style="33"/>
    <col min="12798" max="12798" width="6.85546875" style="33" customWidth="1"/>
    <col min="12799" max="12799" width="26.28515625" style="33" customWidth="1"/>
    <col min="12800" max="12800" width="94.7109375" style="33" customWidth="1"/>
    <col min="12801" max="12801" width="10.5703125" style="33" customWidth="1"/>
    <col min="12802" max="12802" width="24" style="33" customWidth="1"/>
    <col min="12803" max="12803" width="24.5703125" style="33" bestFit="1" customWidth="1"/>
    <col min="12804" max="12804" width="17.7109375" style="33" bestFit="1" customWidth="1"/>
    <col min="12805" max="12805" width="17.42578125" style="33" bestFit="1" customWidth="1"/>
    <col min="12806" max="12806" width="17.5703125" style="33" bestFit="1" customWidth="1"/>
    <col min="12807" max="12807" width="9.28515625" style="33" bestFit="1" customWidth="1"/>
    <col min="12808" max="12808" width="10.28515625" style="33" bestFit="1" customWidth="1"/>
    <col min="12809" max="12809" width="45.7109375" style="33" customWidth="1"/>
    <col min="12810" max="13053" width="9.140625" style="33"/>
    <col min="13054" max="13054" width="6.85546875" style="33" customWidth="1"/>
    <col min="13055" max="13055" width="26.28515625" style="33" customWidth="1"/>
    <col min="13056" max="13056" width="94.7109375" style="33" customWidth="1"/>
    <col min="13057" max="13057" width="10.5703125" style="33" customWidth="1"/>
    <col min="13058" max="13058" width="24" style="33" customWidth="1"/>
    <col min="13059" max="13059" width="24.5703125" style="33" bestFit="1" customWidth="1"/>
    <col min="13060" max="13060" width="17.7109375" style="33" bestFit="1" customWidth="1"/>
    <col min="13061" max="13061" width="17.42578125" style="33" bestFit="1" customWidth="1"/>
    <col min="13062" max="13062" width="17.5703125" style="33" bestFit="1" customWidth="1"/>
    <col min="13063" max="13063" width="9.28515625" style="33" bestFit="1" customWidth="1"/>
    <col min="13064" max="13064" width="10.28515625" style="33" bestFit="1" customWidth="1"/>
    <col min="13065" max="13065" width="45.7109375" style="33" customWidth="1"/>
    <col min="13066" max="13309" width="9.140625" style="33"/>
    <col min="13310" max="13310" width="6.85546875" style="33" customWidth="1"/>
    <col min="13311" max="13311" width="26.28515625" style="33" customWidth="1"/>
    <col min="13312" max="13312" width="94.7109375" style="33" customWidth="1"/>
    <col min="13313" max="13313" width="10.5703125" style="33" customWidth="1"/>
    <col min="13314" max="13314" width="24" style="33" customWidth="1"/>
    <col min="13315" max="13315" width="24.5703125" style="33" bestFit="1" customWidth="1"/>
    <col min="13316" max="13316" width="17.7109375" style="33" bestFit="1" customWidth="1"/>
    <col min="13317" max="13317" width="17.42578125" style="33" bestFit="1" customWidth="1"/>
    <col min="13318" max="13318" width="17.5703125" style="33" bestFit="1" customWidth="1"/>
    <col min="13319" max="13319" width="9.28515625" style="33" bestFit="1" customWidth="1"/>
    <col min="13320" max="13320" width="10.28515625" style="33" bestFit="1" customWidth="1"/>
    <col min="13321" max="13321" width="45.7109375" style="33" customWidth="1"/>
    <col min="13322" max="13565" width="9.140625" style="33"/>
    <col min="13566" max="13566" width="6.85546875" style="33" customWidth="1"/>
    <col min="13567" max="13567" width="26.28515625" style="33" customWidth="1"/>
    <col min="13568" max="13568" width="94.7109375" style="33" customWidth="1"/>
    <col min="13569" max="13569" width="10.5703125" style="33" customWidth="1"/>
    <col min="13570" max="13570" width="24" style="33" customWidth="1"/>
    <col min="13571" max="13571" width="24.5703125" style="33" bestFit="1" customWidth="1"/>
    <col min="13572" max="13572" width="17.7109375" style="33" bestFit="1" customWidth="1"/>
    <col min="13573" max="13573" width="17.42578125" style="33" bestFit="1" customWidth="1"/>
    <col min="13574" max="13574" width="17.5703125" style="33" bestFit="1" customWidth="1"/>
    <col min="13575" max="13575" width="9.28515625" style="33" bestFit="1" customWidth="1"/>
    <col min="13576" max="13576" width="10.28515625" style="33" bestFit="1" customWidth="1"/>
    <col min="13577" max="13577" width="45.7109375" style="33" customWidth="1"/>
    <col min="13578" max="13821" width="9.140625" style="33"/>
    <col min="13822" max="13822" width="6.85546875" style="33" customWidth="1"/>
    <col min="13823" max="13823" width="26.28515625" style="33" customWidth="1"/>
    <col min="13824" max="13824" width="94.7109375" style="33" customWidth="1"/>
    <col min="13825" max="13825" width="10.5703125" style="33" customWidth="1"/>
    <col min="13826" max="13826" width="24" style="33" customWidth="1"/>
    <col min="13827" max="13827" width="24.5703125" style="33" bestFit="1" customWidth="1"/>
    <col min="13828" max="13828" width="17.7109375" style="33" bestFit="1" customWidth="1"/>
    <col min="13829" max="13829" width="17.42578125" style="33" bestFit="1" customWidth="1"/>
    <col min="13830" max="13830" width="17.5703125" style="33" bestFit="1" customWidth="1"/>
    <col min="13831" max="13831" width="9.28515625" style="33" bestFit="1" customWidth="1"/>
    <col min="13832" max="13832" width="10.28515625" style="33" bestFit="1" customWidth="1"/>
    <col min="13833" max="13833" width="45.7109375" style="33" customWidth="1"/>
    <col min="13834" max="14077" width="9.140625" style="33"/>
    <col min="14078" max="14078" width="6.85546875" style="33" customWidth="1"/>
    <col min="14079" max="14079" width="26.28515625" style="33" customWidth="1"/>
    <col min="14080" max="14080" width="94.7109375" style="33" customWidth="1"/>
    <col min="14081" max="14081" width="10.5703125" style="33" customWidth="1"/>
    <col min="14082" max="14082" width="24" style="33" customWidth="1"/>
    <col min="14083" max="14083" width="24.5703125" style="33" bestFit="1" customWidth="1"/>
    <col min="14084" max="14084" width="17.7109375" style="33" bestFit="1" customWidth="1"/>
    <col min="14085" max="14085" width="17.42578125" style="33" bestFit="1" customWidth="1"/>
    <col min="14086" max="14086" width="17.5703125" style="33" bestFit="1" customWidth="1"/>
    <col min="14087" max="14087" width="9.28515625" style="33" bestFit="1" customWidth="1"/>
    <col min="14088" max="14088" width="10.28515625" style="33" bestFit="1" customWidth="1"/>
    <col min="14089" max="14089" width="45.7109375" style="33" customWidth="1"/>
    <col min="14090" max="14333" width="9.140625" style="33"/>
    <col min="14334" max="14334" width="6.85546875" style="33" customWidth="1"/>
    <col min="14335" max="14335" width="26.28515625" style="33" customWidth="1"/>
    <col min="14336" max="14336" width="94.7109375" style="33" customWidth="1"/>
    <col min="14337" max="14337" width="10.5703125" style="33" customWidth="1"/>
    <col min="14338" max="14338" width="24" style="33" customWidth="1"/>
    <col min="14339" max="14339" width="24.5703125" style="33" bestFit="1" customWidth="1"/>
    <col min="14340" max="14340" width="17.7109375" style="33" bestFit="1" customWidth="1"/>
    <col min="14341" max="14341" width="17.42578125" style="33" bestFit="1" customWidth="1"/>
    <col min="14342" max="14342" width="17.5703125" style="33" bestFit="1" customWidth="1"/>
    <col min="14343" max="14343" width="9.28515625" style="33" bestFit="1" customWidth="1"/>
    <col min="14344" max="14344" width="10.28515625" style="33" bestFit="1" customWidth="1"/>
    <col min="14345" max="14345" width="45.7109375" style="33" customWidth="1"/>
    <col min="14346" max="14589" width="9.140625" style="33"/>
    <col min="14590" max="14590" width="6.85546875" style="33" customWidth="1"/>
    <col min="14591" max="14591" width="26.28515625" style="33" customWidth="1"/>
    <col min="14592" max="14592" width="94.7109375" style="33" customWidth="1"/>
    <col min="14593" max="14593" width="10.5703125" style="33" customWidth="1"/>
    <col min="14594" max="14594" width="24" style="33" customWidth="1"/>
    <col min="14595" max="14595" width="24.5703125" style="33" bestFit="1" customWidth="1"/>
    <col min="14596" max="14596" width="17.7109375" style="33" bestFit="1" customWidth="1"/>
    <col min="14597" max="14597" width="17.42578125" style="33" bestFit="1" customWidth="1"/>
    <col min="14598" max="14598" width="17.5703125" style="33" bestFit="1" customWidth="1"/>
    <col min="14599" max="14599" width="9.28515625" style="33" bestFit="1" customWidth="1"/>
    <col min="14600" max="14600" width="10.28515625" style="33" bestFit="1" customWidth="1"/>
    <col min="14601" max="14601" width="45.7109375" style="33" customWidth="1"/>
    <col min="14602" max="14845" width="9.140625" style="33"/>
    <col min="14846" max="14846" width="6.85546875" style="33" customWidth="1"/>
    <col min="14847" max="14847" width="26.28515625" style="33" customWidth="1"/>
    <col min="14848" max="14848" width="94.7109375" style="33" customWidth="1"/>
    <col min="14849" max="14849" width="10.5703125" style="33" customWidth="1"/>
    <col min="14850" max="14850" width="24" style="33" customWidth="1"/>
    <col min="14851" max="14851" width="24.5703125" style="33" bestFit="1" customWidth="1"/>
    <col min="14852" max="14852" width="17.7109375" style="33" bestFit="1" customWidth="1"/>
    <col min="14853" max="14853" width="17.42578125" style="33" bestFit="1" customWidth="1"/>
    <col min="14854" max="14854" width="17.5703125" style="33" bestFit="1" customWidth="1"/>
    <col min="14855" max="14855" width="9.28515625" style="33" bestFit="1" customWidth="1"/>
    <col min="14856" max="14856" width="10.28515625" style="33" bestFit="1" customWidth="1"/>
    <col min="14857" max="14857" width="45.7109375" style="33" customWidth="1"/>
    <col min="14858" max="15101" width="9.140625" style="33"/>
    <col min="15102" max="15102" width="6.85546875" style="33" customWidth="1"/>
    <col min="15103" max="15103" width="26.28515625" style="33" customWidth="1"/>
    <col min="15104" max="15104" width="94.7109375" style="33" customWidth="1"/>
    <col min="15105" max="15105" width="10.5703125" style="33" customWidth="1"/>
    <col min="15106" max="15106" width="24" style="33" customWidth="1"/>
    <col min="15107" max="15107" width="24.5703125" style="33" bestFit="1" customWidth="1"/>
    <col min="15108" max="15108" width="17.7109375" style="33" bestFit="1" customWidth="1"/>
    <col min="15109" max="15109" width="17.42578125" style="33" bestFit="1" customWidth="1"/>
    <col min="15110" max="15110" width="17.5703125" style="33" bestFit="1" customWidth="1"/>
    <col min="15111" max="15111" width="9.28515625" style="33" bestFit="1" customWidth="1"/>
    <col min="15112" max="15112" width="10.28515625" style="33" bestFit="1" customWidth="1"/>
    <col min="15113" max="15113" width="45.7109375" style="33" customWidth="1"/>
    <col min="15114" max="15357" width="9.140625" style="33"/>
    <col min="15358" max="15358" width="6.85546875" style="33" customWidth="1"/>
    <col min="15359" max="15359" width="26.28515625" style="33" customWidth="1"/>
    <col min="15360" max="15360" width="94.7109375" style="33" customWidth="1"/>
    <col min="15361" max="15361" width="10.5703125" style="33" customWidth="1"/>
    <col min="15362" max="15362" width="24" style="33" customWidth="1"/>
    <col min="15363" max="15363" width="24.5703125" style="33" bestFit="1" customWidth="1"/>
    <col min="15364" max="15364" width="17.7109375" style="33" bestFit="1" customWidth="1"/>
    <col min="15365" max="15365" width="17.42578125" style="33" bestFit="1" customWidth="1"/>
    <col min="15366" max="15366" width="17.5703125" style="33" bestFit="1" customWidth="1"/>
    <col min="15367" max="15367" width="9.28515625" style="33" bestFit="1" customWidth="1"/>
    <col min="15368" max="15368" width="10.28515625" style="33" bestFit="1" customWidth="1"/>
    <col min="15369" max="15369" width="45.7109375" style="33" customWidth="1"/>
    <col min="15370" max="15613" width="9.140625" style="33"/>
    <col min="15614" max="15614" width="6.85546875" style="33" customWidth="1"/>
    <col min="15615" max="15615" width="26.28515625" style="33" customWidth="1"/>
    <col min="15616" max="15616" width="94.7109375" style="33" customWidth="1"/>
    <col min="15617" max="15617" width="10.5703125" style="33" customWidth="1"/>
    <col min="15618" max="15618" width="24" style="33" customWidth="1"/>
    <col min="15619" max="15619" width="24.5703125" style="33" bestFit="1" customWidth="1"/>
    <col min="15620" max="15620" width="17.7109375" style="33" bestFit="1" customWidth="1"/>
    <col min="15621" max="15621" width="17.42578125" style="33" bestFit="1" customWidth="1"/>
    <col min="15622" max="15622" width="17.5703125" style="33" bestFit="1" customWidth="1"/>
    <col min="15623" max="15623" width="9.28515625" style="33" bestFit="1" customWidth="1"/>
    <col min="15624" max="15624" width="10.28515625" style="33" bestFit="1" customWidth="1"/>
    <col min="15625" max="15625" width="45.7109375" style="33" customWidth="1"/>
    <col min="15626" max="15869" width="9.140625" style="33"/>
    <col min="15870" max="15870" width="6.85546875" style="33" customWidth="1"/>
    <col min="15871" max="15871" width="26.28515625" style="33" customWidth="1"/>
    <col min="15872" max="15872" width="94.7109375" style="33" customWidth="1"/>
    <col min="15873" max="15873" width="10.5703125" style="33" customWidth="1"/>
    <col min="15874" max="15874" width="24" style="33" customWidth="1"/>
    <col min="15875" max="15875" width="24.5703125" style="33" bestFit="1" customWidth="1"/>
    <col min="15876" max="15876" width="17.7109375" style="33" bestFit="1" customWidth="1"/>
    <col min="15877" max="15877" width="17.42578125" style="33" bestFit="1" customWidth="1"/>
    <col min="15878" max="15878" width="17.5703125" style="33" bestFit="1" customWidth="1"/>
    <col min="15879" max="15879" width="9.28515625" style="33" bestFit="1" customWidth="1"/>
    <col min="15880" max="15880" width="10.28515625" style="33" bestFit="1" customWidth="1"/>
    <col min="15881" max="15881" width="45.7109375" style="33" customWidth="1"/>
    <col min="15882" max="16125" width="9.140625" style="33"/>
    <col min="16126" max="16126" width="6.85546875" style="33" customWidth="1"/>
    <col min="16127" max="16127" width="26.28515625" style="33" customWidth="1"/>
    <col min="16128" max="16128" width="94.7109375" style="33" customWidth="1"/>
    <col min="16129" max="16129" width="10.5703125" style="33" customWidth="1"/>
    <col min="16130" max="16130" width="24" style="33" customWidth="1"/>
    <col min="16131" max="16131" width="24.5703125" style="33" bestFit="1" customWidth="1"/>
    <col min="16132" max="16132" width="17.7109375" style="33" bestFit="1" customWidth="1"/>
    <col min="16133" max="16133" width="17.42578125" style="33" bestFit="1" customWidth="1"/>
    <col min="16134" max="16134" width="17.5703125" style="33" bestFit="1" customWidth="1"/>
    <col min="16135" max="16135" width="9.28515625" style="33" bestFit="1" customWidth="1"/>
    <col min="16136" max="16136" width="10.28515625" style="33" bestFit="1" customWidth="1"/>
    <col min="16137" max="16137" width="45.7109375" style="33" customWidth="1"/>
    <col min="16138" max="16384" width="9.140625" style="33"/>
  </cols>
  <sheetData>
    <row r="1" spans="1:9" s="29" customFormat="1" ht="26.25">
      <c r="A1" s="118"/>
      <c r="B1" s="119"/>
      <c r="C1" s="190" t="s">
        <v>0</v>
      </c>
      <c r="D1" s="190"/>
      <c r="E1" s="191"/>
      <c r="F1" s="120"/>
      <c r="G1" s="121"/>
      <c r="H1" s="27"/>
      <c r="I1" s="28"/>
    </row>
    <row r="2" spans="1:9" s="29" customFormat="1" ht="26.25">
      <c r="A2" s="122"/>
      <c r="B2" s="123"/>
      <c r="C2" s="192" t="s">
        <v>1</v>
      </c>
      <c r="D2" s="192"/>
      <c r="E2" s="193"/>
      <c r="F2" s="124"/>
      <c r="G2" s="125"/>
      <c r="H2" s="30"/>
      <c r="I2" s="31"/>
    </row>
    <row r="3" spans="1:9" s="29" customFormat="1" ht="26.25">
      <c r="A3" s="122"/>
      <c r="B3" s="123"/>
      <c r="C3" s="192" t="s">
        <v>2</v>
      </c>
      <c r="D3" s="192"/>
      <c r="E3" s="193"/>
      <c r="F3" s="194" t="s">
        <v>85</v>
      </c>
      <c r="G3" s="195"/>
      <c r="H3" s="195"/>
      <c r="I3" s="196"/>
    </row>
    <row r="4" spans="1:9" s="29" customFormat="1" ht="39.75" customHeight="1">
      <c r="A4" s="122"/>
      <c r="B4" s="123"/>
      <c r="C4" s="178" t="s">
        <v>82</v>
      </c>
      <c r="D4" s="178"/>
      <c r="E4" s="179"/>
      <c r="F4" s="197" t="s">
        <v>84</v>
      </c>
      <c r="G4" s="198"/>
      <c r="H4" s="198"/>
      <c r="I4" s="199"/>
    </row>
    <row r="5" spans="1:9" s="29" customFormat="1" ht="23.25" customHeight="1">
      <c r="A5" s="122"/>
      <c r="B5" s="123"/>
      <c r="C5" s="178" t="s">
        <v>49</v>
      </c>
      <c r="D5" s="178"/>
      <c r="E5" s="179"/>
      <c r="F5" s="180" t="s">
        <v>61</v>
      </c>
      <c r="G5" s="181"/>
      <c r="H5" s="181"/>
      <c r="I5" s="182"/>
    </row>
    <row r="6" spans="1:9" s="29" customFormat="1" ht="23.25">
      <c r="A6" s="122"/>
      <c r="B6" s="123"/>
      <c r="C6" s="183" t="s">
        <v>83</v>
      </c>
      <c r="D6" s="183"/>
      <c r="E6" s="184"/>
      <c r="F6" s="185" t="s">
        <v>62</v>
      </c>
      <c r="G6" s="186"/>
      <c r="H6" s="186"/>
      <c r="I6" s="187"/>
    </row>
    <row r="7" spans="1:9" s="29" customFormat="1" ht="23.25">
      <c r="A7" s="122"/>
      <c r="B7" s="123"/>
      <c r="C7" s="188"/>
      <c r="D7" s="188"/>
      <c r="E7" s="189"/>
      <c r="F7" s="185" t="s">
        <v>30</v>
      </c>
      <c r="G7" s="186"/>
      <c r="H7" s="186"/>
      <c r="I7" s="187"/>
    </row>
    <row r="8" spans="1:9" s="29" customFormat="1" ht="20.25">
      <c r="A8" s="126"/>
      <c r="B8" s="127"/>
      <c r="C8" s="128"/>
      <c r="D8" s="32"/>
      <c r="E8" s="129"/>
      <c r="F8" s="173" t="s">
        <v>3</v>
      </c>
      <c r="G8" s="174"/>
      <c r="H8" s="174"/>
      <c r="I8" s="175"/>
    </row>
    <row r="9" spans="1:9" s="29" customFormat="1" ht="18" customHeight="1">
      <c r="A9" s="176" t="s">
        <v>274</v>
      </c>
      <c r="B9" s="177"/>
      <c r="C9" s="177"/>
      <c r="D9" s="177"/>
      <c r="E9" s="177"/>
      <c r="F9" s="177"/>
      <c r="G9" s="177"/>
      <c r="H9" s="177"/>
      <c r="I9" s="177"/>
    </row>
    <row r="10" spans="1:9" s="29" customFormat="1" ht="18.75">
      <c r="A10" s="169" t="s">
        <v>4</v>
      </c>
      <c r="B10" s="170" t="s">
        <v>5</v>
      </c>
      <c r="C10" s="171" t="s">
        <v>6</v>
      </c>
      <c r="D10" s="169" t="s">
        <v>7</v>
      </c>
      <c r="E10" s="172" t="s">
        <v>8</v>
      </c>
      <c r="F10" s="168" t="s">
        <v>9</v>
      </c>
      <c r="G10" s="168"/>
      <c r="H10" s="168"/>
      <c r="I10" s="168"/>
    </row>
    <row r="11" spans="1:9" s="29" customFormat="1" ht="18.75">
      <c r="A11" s="169"/>
      <c r="B11" s="170"/>
      <c r="C11" s="171"/>
      <c r="D11" s="169"/>
      <c r="E11" s="172"/>
      <c r="F11" s="62" t="s">
        <v>10</v>
      </c>
      <c r="G11" s="62" t="s">
        <v>11</v>
      </c>
      <c r="H11" s="62" t="s">
        <v>12</v>
      </c>
      <c r="I11" s="61" t="s">
        <v>13</v>
      </c>
    </row>
    <row r="12" spans="1:9" ht="18">
      <c r="A12" s="63" t="s">
        <v>14</v>
      </c>
      <c r="B12" s="64"/>
      <c r="C12" s="140" t="s">
        <v>37</v>
      </c>
      <c r="D12" s="140"/>
      <c r="E12" s="140"/>
      <c r="F12" s="140"/>
      <c r="G12" s="140"/>
      <c r="H12" s="140"/>
      <c r="I12" s="140"/>
    </row>
    <row r="13" spans="1:9" ht="54">
      <c r="A13" s="130" t="s">
        <v>15</v>
      </c>
      <c r="B13" s="131" t="s">
        <v>248</v>
      </c>
      <c r="C13" s="132" t="s">
        <v>249</v>
      </c>
      <c r="D13" s="130" t="s">
        <v>7</v>
      </c>
      <c r="E13" s="133">
        <v>16</v>
      </c>
      <c r="F13" s="133">
        <f>'MEMÓRIA ONERADA'!F13</f>
        <v>118.61</v>
      </c>
      <c r="G13" s="134">
        <f t="shared" ref="G13:G44" si="0">TRUNC(F13*1.2247,2)</f>
        <v>145.26</v>
      </c>
      <c r="H13" s="133">
        <f t="shared" ref="H13:H44" si="1">TRUNC(F13*E13,2)</f>
        <v>1897.76</v>
      </c>
      <c r="I13" s="133">
        <f t="shared" ref="I13:I44" si="2">TRUNC(E13*G13,2)</f>
        <v>2324.16</v>
      </c>
    </row>
    <row r="14" spans="1:9" ht="54">
      <c r="A14" s="130" t="s">
        <v>33</v>
      </c>
      <c r="B14" s="131" t="s">
        <v>258</v>
      </c>
      <c r="C14" s="132" t="s">
        <v>259</v>
      </c>
      <c r="D14" s="130" t="s">
        <v>7</v>
      </c>
      <c r="E14" s="133">
        <v>38</v>
      </c>
      <c r="F14" s="133">
        <f>'MEMÓRIA ONERADA'!F22</f>
        <v>127.65</v>
      </c>
      <c r="G14" s="134">
        <f t="shared" si="0"/>
        <v>156.33000000000001</v>
      </c>
      <c r="H14" s="133">
        <f t="shared" si="1"/>
        <v>4850.7</v>
      </c>
      <c r="I14" s="133">
        <f t="shared" si="2"/>
        <v>5940.54</v>
      </c>
    </row>
    <row r="15" spans="1:9" ht="54">
      <c r="A15" s="130" t="s">
        <v>34</v>
      </c>
      <c r="B15" s="131" t="s">
        <v>87</v>
      </c>
      <c r="C15" s="132" t="s">
        <v>88</v>
      </c>
      <c r="D15" s="130" t="s">
        <v>7</v>
      </c>
      <c r="E15" s="133">
        <v>5</v>
      </c>
      <c r="F15" s="133">
        <f>TRUNC('MEMÓRIA ONERADA'!F31,2)</f>
        <v>84.21</v>
      </c>
      <c r="G15" s="134">
        <f t="shared" si="0"/>
        <v>103.13</v>
      </c>
      <c r="H15" s="133">
        <f t="shared" si="1"/>
        <v>421.05</v>
      </c>
      <c r="I15" s="133">
        <f t="shared" si="2"/>
        <v>515.65</v>
      </c>
    </row>
    <row r="16" spans="1:9" ht="36">
      <c r="A16" s="130" t="s">
        <v>35</v>
      </c>
      <c r="B16" s="131" t="s">
        <v>93</v>
      </c>
      <c r="C16" s="132" t="s">
        <v>94</v>
      </c>
      <c r="D16" s="130" t="s">
        <v>7</v>
      </c>
      <c r="E16" s="133">
        <v>8</v>
      </c>
      <c r="F16" s="133">
        <f>TRUNC('MEMÓRIA ONERADA'!F36,2)</f>
        <v>35.01</v>
      </c>
      <c r="G16" s="134">
        <f t="shared" si="0"/>
        <v>42.87</v>
      </c>
      <c r="H16" s="133">
        <f t="shared" si="1"/>
        <v>280.08</v>
      </c>
      <c r="I16" s="133">
        <f t="shared" si="2"/>
        <v>342.96</v>
      </c>
    </row>
    <row r="17" spans="1:9" ht="36">
      <c r="A17" s="130" t="s">
        <v>36</v>
      </c>
      <c r="B17" s="131" t="s">
        <v>98</v>
      </c>
      <c r="C17" s="132" t="s">
        <v>99</v>
      </c>
      <c r="D17" s="130" t="s">
        <v>7</v>
      </c>
      <c r="E17" s="133">
        <v>8</v>
      </c>
      <c r="F17" s="133">
        <f>TRUNC('MEMÓRIA ONERADA'!F41,2)</f>
        <v>53.04</v>
      </c>
      <c r="G17" s="134">
        <f t="shared" si="0"/>
        <v>64.95</v>
      </c>
      <c r="H17" s="133">
        <f t="shared" si="1"/>
        <v>424.32</v>
      </c>
      <c r="I17" s="133">
        <f t="shared" si="2"/>
        <v>519.6</v>
      </c>
    </row>
    <row r="18" spans="1:9" ht="36">
      <c r="A18" s="130" t="s">
        <v>86</v>
      </c>
      <c r="B18" s="131" t="s">
        <v>101</v>
      </c>
      <c r="C18" s="132" t="s">
        <v>102</v>
      </c>
      <c r="D18" s="130" t="s">
        <v>7</v>
      </c>
      <c r="E18" s="133">
        <v>1</v>
      </c>
      <c r="F18" s="133">
        <f>TRUNC('MEMÓRIA ONERADA'!F46,2)</f>
        <v>71.09</v>
      </c>
      <c r="G18" s="134">
        <f t="shared" si="0"/>
        <v>87.06</v>
      </c>
      <c r="H18" s="133">
        <f t="shared" si="1"/>
        <v>71.09</v>
      </c>
      <c r="I18" s="133">
        <f t="shared" si="2"/>
        <v>87.06</v>
      </c>
    </row>
    <row r="19" spans="1:9" ht="36">
      <c r="A19" s="130" t="s">
        <v>105</v>
      </c>
      <c r="B19" s="131" t="s">
        <v>113</v>
      </c>
      <c r="C19" s="132" t="s">
        <v>114</v>
      </c>
      <c r="D19" s="130" t="s">
        <v>7</v>
      </c>
      <c r="E19" s="133">
        <v>77</v>
      </c>
      <c r="F19" s="133">
        <f>TRUNC('MEMÓRIA ONERADA'!F51,2)</f>
        <v>36.6</v>
      </c>
      <c r="G19" s="134">
        <f t="shared" si="0"/>
        <v>44.82</v>
      </c>
      <c r="H19" s="133">
        <f t="shared" si="1"/>
        <v>2818.2</v>
      </c>
      <c r="I19" s="133">
        <f t="shared" si="2"/>
        <v>3451.14</v>
      </c>
    </row>
    <row r="20" spans="1:9" ht="36">
      <c r="A20" s="130" t="s">
        <v>106</v>
      </c>
      <c r="B20" s="131" t="s">
        <v>117</v>
      </c>
      <c r="C20" s="132" t="s">
        <v>118</v>
      </c>
      <c r="D20" s="130" t="s">
        <v>7</v>
      </c>
      <c r="E20" s="133">
        <v>8</v>
      </c>
      <c r="F20" s="133">
        <f>'MEMÓRIA ONERADA'!F56</f>
        <v>38.729999999999997</v>
      </c>
      <c r="G20" s="134">
        <f t="shared" si="0"/>
        <v>47.43</v>
      </c>
      <c r="H20" s="133">
        <f t="shared" si="1"/>
        <v>309.83999999999997</v>
      </c>
      <c r="I20" s="133">
        <f t="shared" si="2"/>
        <v>379.44</v>
      </c>
    </row>
    <row r="21" spans="1:9" ht="54">
      <c r="A21" s="130" t="s">
        <v>107</v>
      </c>
      <c r="B21" s="131" t="s">
        <v>244</v>
      </c>
      <c r="C21" s="132" t="s">
        <v>264</v>
      </c>
      <c r="D21" s="130" t="s">
        <v>7</v>
      </c>
      <c r="E21" s="133">
        <v>10</v>
      </c>
      <c r="F21" s="133">
        <f>'MEMÓRIA ONERADA'!F61</f>
        <v>56.69</v>
      </c>
      <c r="G21" s="134">
        <f t="shared" si="0"/>
        <v>69.42</v>
      </c>
      <c r="H21" s="133">
        <f t="shared" si="1"/>
        <v>566.9</v>
      </c>
      <c r="I21" s="133">
        <f t="shared" si="2"/>
        <v>694.2</v>
      </c>
    </row>
    <row r="22" spans="1:9" ht="54">
      <c r="A22" s="130" t="s">
        <v>108</v>
      </c>
      <c r="B22" s="131" t="s">
        <v>244</v>
      </c>
      <c r="C22" s="132" t="s">
        <v>265</v>
      </c>
      <c r="D22" s="130" t="s">
        <v>7</v>
      </c>
      <c r="E22" s="133">
        <v>2</v>
      </c>
      <c r="F22" s="133">
        <f>TRUNC('MEMÓRIA ONERADA'!F66,2)</f>
        <v>56.69</v>
      </c>
      <c r="G22" s="134">
        <f t="shared" si="0"/>
        <v>69.42</v>
      </c>
      <c r="H22" s="133">
        <f t="shared" si="1"/>
        <v>113.38</v>
      </c>
      <c r="I22" s="133">
        <f t="shared" si="2"/>
        <v>138.84</v>
      </c>
    </row>
    <row r="23" spans="1:9" ht="36">
      <c r="A23" s="130" t="s">
        <v>109</v>
      </c>
      <c r="B23" s="131" t="s">
        <v>121</v>
      </c>
      <c r="C23" s="132" t="s">
        <v>122</v>
      </c>
      <c r="D23" s="130" t="s">
        <v>7</v>
      </c>
      <c r="E23" s="133">
        <v>13</v>
      </c>
      <c r="F23" s="133">
        <f>TRUNC('MEMÓRIA ONERADA'!F71,2)</f>
        <v>13.17</v>
      </c>
      <c r="G23" s="134">
        <f t="shared" si="0"/>
        <v>16.12</v>
      </c>
      <c r="H23" s="133">
        <f t="shared" si="1"/>
        <v>171.21</v>
      </c>
      <c r="I23" s="133">
        <f t="shared" si="2"/>
        <v>209.56</v>
      </c>
    </row>
    <row r="24" spans="1:9" ht="36">
      <c r="A24" s="130" t="s">
        <v>110</v>
      </c>
      <c r="B24" s="131" t="s">
        <v>127</v>
      </c>
      <c r="C24" s="132" t="s">
        <v>128</v>
      </c>
      <c r="D24" s="130" t="s">
        <v>7</v>
      </c>
      <c r="E24" s="133">
        <v>4</v>
      </c>
      <c r="F24" s="133">
        <f>TRUNC('MEMÓRIA ONERADA'!F78,2)</f>
        <v>15.08</v>
      </c>
      <c r="G24" s="134">
        <f t="shared" si="0"/>
        <v>18.46</v>
      </c>
      <c r="H24" s="133">
        <f t="shared" si="1"/>
        <v>60.32</v>
      </c>
      <c r="I24" s="133">
        <f t="shared" si="2"/>
        <v>73.84</v>
      </c>
    </row>
    <row r="25" spans="1:9" ht="36">
      <c r="A25" s="130" t="s">
        <v>111</v>
      </c>
      <c r="B25" s="131" t="s">
        <v>131</v>
      </c>
      <c r="C25" s="132" t="s">
        <v>132</v>
      </c>
      <c r="D25" s="130" t="s">
        <v>7</v>
      </c>
      <c r="E25" s="133">
        <v>4</v>
      </c>
      <c r="F25" s="133">
        <f>TRUNC('MEMÓRIA ONERADA'!F85,2)</f>
        <v>51.1</v>
      </c>
      <c r="G25" s="134">
        <f t="shared" si="0"/>
        <v>62.58</v>
      </c>
      <c r="H25" s="133">
        <f t="shared" si="1"/>
        <v>204.4</v>
      </c>
      <c r="I25" s="133">
        <f t="shared" si="2"/>
        <v>250.32</v>
      </c>
    </row>
    <row r="26" spans="1:9" ht="36">
      <c r="A26" s="130" t="s">
        <v>112</v>
      </c>
      <c r="B26" s="131" t="s">
        <v>137</v>
      </c>
      <c r="C26" s="132" t="s">
        <v>138</v>
      </c>
      <c r="D26" s="130" t="s">
        <v>7</v>
      </c>
      <c r="E26" s="133">
        <v>6</v>
      </c>
      <c r="F26" s="133">
        <f>TRUNC('MEMÓRIA ONERADA'!F92,2)</f>
        <v>54.19</v>
      </c>
      <c r="G26" s="134">
        <f t="shared" si="0"/>
        <v>66.36</v>
      </c>
      <c r="H26" s="133">
        <f t="shared" si="1"/>
        <v>325.14</v>
      </c>
      <c r="I26" s="133">
        <f t="shared" si="2"/>
        <v>398.16</v>
      </c>
    </row>
    <row r="27" spans="1:9" ht="36">
      <c r="A27" s="130" t="s">
        <v>141</v>
      </c>
      <c r="B27" s="131" t="s">
        <v>139</v>
      </c>
      <c r="C27" s="132" t="s">
        <v>140</v>
      </c>
      <c r="D27" s="130" t="s">
        <v>7</v>
      </c>
      <c r="E27" s="133">
        <v>2</v>
      </c>
      <c r="F27" s="133">
        <f>TRUNC('MEMÓRIA ONERADA'!F99,2)</f>
        <v>58.01</v>
      </c>
      <c r="G27" s="134">
        <f t="shared" si="0"/>
        <v>71.040000000000006</v>
      </c>
      <c r="H27" s="133">
        <f t="shared" si="1"/>
        <v>116.02</v>
      </c>
      <c r="I27" s="133">
        <f t="shared" si="2"/>
        <v>142.08000000000001</v>
      </c>
    </row>
    <row r="28" spans="1:9" ht="36">
      <c r="A28" s="130" t="s">
        <v>142</v>
      </c>
      <c r="B28" s="131" t="s">
        <v>149</v>
      </c>
      <c r="C28" s="132" t="s">
        <v>150</v>
      </c>
      <c r="D28" s="130" t="s">
        <v>7</v>
      </c>
      <c r="E28" s="133">
        <v>4</v>
      </c>
      <c r="F28" s="133">
        <f>'MEMÓRIA ONERADA'!F106</f>
        <v>52.63</v>
      </c>
      <c r="G28" s="134">
        <f t="shared" si="0"/>
        <v>64.45</v>
      </c>
      <c r="H28" s="133">
        <f t="shared" si="1"/>
        <v>210.52</v>
      </c>
      <c r="I28" s="133">
        <f t="shared" si="2"/>
        <v>257.8</v>
      </c>
    </row>
    <row r="29" spans="1:9" ht="54">
      <c r="A29" s="130" t="s">
        <v>143</v>
      </c>
      <c r="B29" s="131" t="s">
        <v>153</v>
      </c>
      <c r="C29" s="132" t="s">
        <v>154</v>
      </c>
      <c r="D29" s="130" t="s">
        <v>7</v>
      </c>
      <c r="E29" s="133">
        <v>2</v>
      </c>
      <c r="F29" s="133">
        <f>'MEMÓRIA ONERADA'!F112</f>
        <v>359.25</v>
      </c>
      <c r="G29" s="134">
        <f t="shared" si="0"/>
        <v>439.97</v>
      </c>
      <c r="H29" s="133">
        <f t="shared" si="1"/>
        <v>718.5</v>
      </c>
      <c r="I29" s="133">
        <f t="shared" si="2"/>
        <v>879.94</v>
      </c>
    </row>
    <row r="30" spans="1:9" ht="72">
      <c r="A30" s="130" t="s">
        <v>144</v>
      </c>
      <c r="B30" s="131" t="s">
        <v>266</v>
      </c>
      <c r="C30" s="132" t="s">
        <v>267</v>
      </c>
      <c r="D30" s="130" t="s">
        <v>7</v>
      </c>
      <c r="E30" s="133">
        <v>2</v>
      </c>
      <c r="F30" s="133">
        <f>TRUNC('MEMÓRIA ONERADA'!F118,2)</f>
        <v>127.41</v>
      </c>
      <c r="G30" s="134">
        <f t="shared" si="0"/>
        <v>156.03</v>
      </c>
      <c r="H30" s="133">
        <f t="shared" si="1"/>
        <v>254.82</v>
      </c>
      <c r="I30" s="133">
        <f t="shared" si="2"/>
        <v>312.06</v>
      </c>
    </row>
    <row r="31" spans="1:9" ht="72">
      <c r="A31" s="130" t="s">
        <v>145</v>
      </c>
      <c r="B31" s="131" t="s">
        <v>157</v>
      </c>
      <c r="C31" s="132" t="s">
        <v>158</v>
      </c>
      <c r="D31" s="130" t="s">
        <v>7</v>
      </c>
      <c r="E31" s="133">
        <v>2</v>
      </c>
      <c r="F31" s="133">
        <f>TRUNC('MEMÓRIA ONERADA'!F124,2)</f>
        <v>61.44</v>
      </c>
      <c r="G31" s="134">
        <f t="shared" si="0"/>
        <v>75.239999999999995</v>
      </c>
      <c r="H31" s="133">
        <f t="shared" si="1"/>
        <v>122.88</v>
      </c>
      <c r="I31" s="133">
        <f t="shared" si="2"/>
        <v>150.47999999999999</v>
      </c>
    </row>
    <row r="32" spans="1:9" ht="90">
      <c r="A32" s="130" t="s">
        <v>146</v>
      </c>
      <c r="B32" s="131" t="s">
        <v>175</v>
      </c>
      <c r="C32" s="132" t="s">
        <v>176</v>
      </c>
      <c r="D32" s="130" t="s">
        <v>7</v>
      </c>
      <c r="E32" s="133">
        <v>1</v>
      </c>
      <c r="F32" s="133">
        <f>'MEMÓRIA ONERADA'!F130</f>
        <v>1</v>
      </c>
      <c r="G32" s="134">
        <f t="shared" si="0"/>
        <v>1.22</v>
      </c>
      <c r="H32" s="133">
        <f t="shared" si="1"/>
        <v>1</v>
      </c>
      <c r="I32" s="133">
        <f t="shared" si="2"/>
        <v>1.22</v>
      </c>
    </row>
    <row r="33" spans="1:9" ht="90">
      <c r="A33" s="130" t="s">
        <v>147</v>
      </c>
      <c r="B33" s="131" t="s">
        <v>171</v>
      </c>
      <c r="C33" s="132" t="s">
        <v>172</v>
      </c>
      <c r="D33" s="130" t="s">
        <v>7</v>
      </c>
      <c r="E33" s="133">
        <v>1</v>
      </c>
      <c r="F33" s="133">
        <f>TRUNC('MEMÓRIA ONERADA'!F136,2)</f>
        <v>592.72</v>
      </c>
      <c r="G33" s="134">
        <f t="shared" si="0"/>
        <v>725.9</v>
      </c>
      <c r="H33" s="133">
        <f t="shared" si="1"/>
        <v>592.72</v>
      </c>
      <c r="I33" s="133">
        <f t="shared" si="2"/>
        <v>725.9</v>
      </c>
    </row>
    <row r="34" spans="1:9" ht="72">
      <c r="A34" s="130" t="s">
        <v>148</v>
      </c>
      <c r="B34" s="131" t="s">
        <v>161</v>
      </c>
      <c r="C34" s="132" t="s">
        <v>162</v>
      </c>
      <c r="D34" s="130" t="s">
        <v>7</v>
      </c>
      <c r="E34" s="133">
        <v>1</v>
      </c>
      <c r="F34" s="133">
        <f>TRUNC('MEMÓRIA ONERADA'!F142,2)</f>
        <v>574.97</v>
      </c>
      <c r="G34" s="134">
        <f t="shared" si="0"/>
        <v>704.16</v>
      </c>
      <c r="H34" s="133">
        <f t="shared" si="1"/>
        <v>574.97</v>
      </c>
      <c r="I34" s="133">
        <f t="shared" si="2"/>
        <v>704.16</v>
      </c>
    </row>
    <row r="35" spans="1:9" ht="54">
      <c r="A35" s="130" t="s">
        <v>165</v>
      </c>
      <c r="B35" s="131" t="s">
        <v>180</v>
      </c>
      <c r="C35" s="132" t="s">
        <v>181</v>
      </c>
      <c r="D35" s="130" t="s">
        <v>17</v>
      </c>
      <c r="E35" s="133">
        <v>180</v>
      </c>
      <c r="F35" s="133">
        <f>TRUNC('MEMÓRIA ONERADA'!F148,2)</f>
        <v>117.27</v>
      </c>
      <c r="G35" s="134">
        <f t="shared" si="0"/>
        <v>143.62</v>
      </c>
      <c r="H35" s="133">
        <f t="shared" si="1"/>
        <v>21108.6</v>
      </c>
      <c r="I35" s="133">
        <f t="shared" si="2"/>
        <v>25851.599999999999</v>
      </c>
    </row>
    <row r="36" spans="1:9" ht="54">
      <c r="A36" s="130" t="s">
        <v>166</v>
      </c>
      <c r="B36" s="131" t="s">
        <v>186</v>
      </c>
      <c r="C36" s="132" t="s">
        <v>187</v>
      </c>
      <c r="D36" s="130" t="s">
        <v>17</v>
      </c>
      <c r="E36" s="133">
        <v>16</v>
      </c>
      <c r="F36" s="133">
        <f>TRUNC('MEMÓRIA ONERADA'!F155,2)</f>
        <v>70.11</v>
      </c>
      <c r="G36" s="134">
        <f t="shared" si="0"/>
        <v>85.86</v>
      </c>
      <c r="H36" s="133">
        <f t="shared" si="1"/>
        <v>1121.76</v>
      </c>
      <c r="I36" s="133">
        <f t="shared" si="2"/>
        <v>1373.76</v>
      </c>
    </row>
    <row r="37" spans="1:9" ht="54">
      <c r="A37" s="130" t="s">
        <v>167</v>
      </c>
      <c r="B37" s="131" t="s">
        <v>190</v>
      </c>
      <c r="C37" s="132" t="s">
        <v>191</v>
      </c>
      <c r="D37" s="130" t="s">
        <v>17</v>
      </c>
      <c r="E37" s="133">
        <v>80</v>
      </c>
      <c r="F37" s="133">
        <f>TRUNC('MEMÓRIA ONERADA'!F162,2)</f>
        <v>14.23</v>
      </c>
      <c r="G37" s="134">
        <f t="shared" si="0"/>
        <v>17.420000000000002</v>
      </c>
      <c r="H37" s="133">
        <f t="shared" si="1"/>
        <v>1138.4000000000001</v>
      </c>
      <c r="I37" s="133">
        <f t="shared" si="2"/>
        <v>1393.6</v>
      </c>
    </row>
    <row r="38" spans="1:9" ht="54">
      <c r="A38" s="130" t="s">
        <v>168</v>
      </c>
      <c r="B38" s="131" t="s">
        <v>194</v>
      </c>
      <c r="C38" s="132" t="s">
        <v>195</v>
      </c>
      <c r="D38" s="130" t="s">
        <v>17</v>
      </c>
      <c r="E38" s="133">
        <v>580</v>
      </c>
      <c r="F38" s="133">
        <f>TRUNC('MEMÓRIA ONERADA'!F169,2)</f>
        <v>6.77</v>
      </c>
      <c r="G38" s="134">
        <f t="shared" si="0"/>
        <v>8.2899999999999991</v>
      </c>
      <c r="H38" s="133">
        <f t="shared" si="1"/>
        <v>3926.6</v>
      </c>
      <c r="I38" s="133">
        <f t="shared" si="2"/>
        <v>4808.2</v>
      </c>
    </row>
    <row r="39" spans="1:9" ht="54">
      <c r="A39" s="130" t="s">
        <v>169</v>
      </c>
      <c r="B39" s="131" t="s">
        <v>198</v>
      </c>
      <c r="C39" s="132" t="s">
        <v>199</v>
      </c>
      <c r="D39" s="130" t="s">
        <v>17</v>
      </c>
      <c r="E39" s="133">
        <v>2200</v>
      </c>
      <c r="F39" s="133">
        <f>TRUNC('MEMÓRIA ONERADA'!F176,2)</f>
        <v>4.4800000000000004</v>
      </c>
      <c r="G39" s="134">
        <f t="shared" si="0"/>
        <v>5.48</v>
      </c>
      <c r="H39" s="133">
        <f t="shared" si="1"/>
        <v>9856</v>
      </c>
      <c r="I39" s="133">
        <f t="shared" si="2"/>
        <v>12056</v>
      </c>
    </row>
    <row r="40" spans="1:9" ht="54">
      <c r="A40" s="130" t="s">
        <v>170</v>
      </c>
      <c r="B40" s="131" t="s">
        <v>212</v>
      </c>
      <c r="C40" s="132" t="s">
        <v>213</v>
      </c>
      <c r="D40" s="130" t="s">
        <v>17</v>
      </c>
      <c r="E40" s="133">
        <v>35</v>
      </c>
      <c r="F40" s="133">
        <f>TRUNC('MEMÓRIA ONERADA'!F183,2)</f>
        <v>24.56</v>
      </c>
      <c r="G40" s="134">
        <f t="shared" si="0"/>
        <v>30.07</v>
      </c>
      <c r="H40" s="133">
        <f t="shared" si="1"/>
        <v>859.6</v>
      </c>
      <c r="I40" s="133">
        <f t="shared" si="2"/>
        <v>1052.45</v>
      </c>
    </row>
    <row r="41" spans="1:9" ht="54">
      <c r="A41" s="130" t="s">
        <v>179</v>
      </c>
      <c r="B41" s="131" t="s">
        <v>205</v>
      </c>
      <c r="C41" s="132" t="s">
        <v>206</v>
      </c>
      <c r="D41" s="130" t="s">
        <v>17</v>
      </c>
      <c r="E41" s="133">
        <v>700</v>
      </c>
      <c r="F41" s="133">
        <f>TRUNC('MEMÓRIA ONERADA'!F189,2)</f>
        <v>9.18</v>
      </c>
      <c r="G41" s="134">
        <f t="shared" si="0"/>
        <v>11.24</v>
      </c>
      <c r="H41" s="133">
        <f t="shared" si="1"/>
        <v>6426</v>
      </c>
      <c r="I41" s="133">
        <f t="shared" si="2"/>
        <v>7868</v>
      </c>
    </row>
    <row r="42" spans="1:9" ht="54">
      <c r="A42" s="130" t="s">
        <v>202</v>
      </c>
      <c r="B42" s="131" t="s">
        <v>216</v>
      </c>
      <c r="C42" s="132" t="s">
        <v>217</v>
      </c>
      <c r="D42" s="130" t="s">
        <v>17</v>
      </c>
      <c r="E42" s="133">
        <v>800</v>
      </c>
      <c r="F42" s="133">
        <f>TRUNC('MEMÓRIA ONERADA'!F196,2)</f>
        <v>11.38</v>
      </c>
      <c r="G42" s="134">
        <f t="shared" si="0"/>
        <v>13.93</v>
      </c>
      <c r="H42" s="133">
        <f t="shared" si="1"/>
        <v>9104</v>
      </c>
      <c r="I42" s="133">
        <f t="shared" si="2"/>
        <v>11144</v>
      </c>
    </row>
    <row r="43" spans="1:9" ht="72">
      <c r="A43" s="130" t="s">
        <v>203</v>
      </c>
      <c r="B43" s="131" t="s">
        <v>238</v>
      </c>
      <c r="C43" s="132" t="s">
        <v>239</v>
      </c>
      <c r="D43" s="130" t="s">
        <v>7</v>
      </c>
      <c r="E43" s="133">
        <v>3</v>
      </c>
      <c r="F43" s="133">
        <f>TRUNC('MEMÓRIA ONERADA'!F203,2)</f>
        <v>745.31</v>
      </c>
      <c r="G43" s="134">
        <f t="shared" si="0"/>
        <v>912.78</v>
      </c>
      <c r="H43" s="133">
        <f t="shared" si="1"/>
        <v>2235.9299999999998</v>
      </c>
      <c r="I43" s="133">
        <f t="shared" si="2"/>
        <v>2738.34</v>
      </c>
    </row>
    <row r="44" spans="1:9" ht="144">
      <c r="A44" s="130" t="s">
        <v>204</v>
      </c>
      <c r="B44" s="131" t="s">
        <v>236</v>
      </c>
      <c r="C44" s="132" t="s">
        <v>237</v>
      </c>
      <c r="D44" s="130" t="s">
        <v>7</v>
      </c>
      <c r="E44" s="133">
        <v>1</v>
      </c>
      <c r="F44" s="133">
        <f>TRUNC('MEMÓRIA ONERADA'!F212,2)</f>
        <v>2132.1999999999998</v>
      </c>
      <c r="G44" s="134">
        <f t="shared" si="0"/>
        <v>2611.3000000000002</v>
      </c>
      <c r="H44" s="133">
        <f t="shared" si="1"/>
        <v>2132.1999999999998</v>
      </c>
      <c r="I44" s="133">
        <f t="shared" si="2"/>
        <v>2611.3000000000002</v>
      </c>
    </row>
    <row r="45" spans="1:9" s="60" customFormat="1" ht="18">
      <c r="A45" s="111" t="s">
        <v>16</v>
      </c>
      <c r="B45" s="135"/>
      <c r="C45" s="136"/>
      <c r="D45" s="111"/>
      <c r="E45" s="137"/>
      <c r="F45" s="138"/>
      <c r="G45" s="139" t="s">
        <v>39</v>
      </c>
      <c r="H45" s="138">
        <f>SUM(H13:H44)</f>
        <v>73014.909999999989</v>
      </c>
      <c r="I45" s="138">
        <f>SUM(I13:I44)</f>
        <v>89396.36</v>
      </c>
    </row>
  </sheetData>
  <mergeCells count="21">
    <mergeCell ref="C1:E1"/>
    <mergeCell ref="C2:E2"/>
    <mergeCell ref="C3:E3"/>
    <mergeCell ref="F3:I3"/>
    <mergeCell ref="C4:E4"/>
    <mergeCell ref="F4:I4"/>
    <mergeCell ref="C5:E5"/>
    <mergeCell ref="F5:I5"/>
    <mergeCell ref="C6:E6"/>
    <mergeCell ref="F6:I6"/>
    <mergeCell ref="C7:E7"/>
    <mergeCell ref="F7:I7"/>
    <mergeCell ref="C12:I12"/>
    <mergeCell ref="F8:I8"/>
    <mergeCell ref="A9:I9"/>
    <mergeCell ref="A10:A11"/>
    <mergeCell ref="B10:B11"/>
    <mergeCell ref="C10:C11"/>
    <mergeCell ref="D10:D11"/>
    <mergeCell ref="E10:E11"/>
    <mergeCell ref="F10:I10"/>
  </mergeCells>
  <printOptions horizontalCentered="1"/>
  <pageMargins left="0.59055118110236227" right="0.39370078740157483" top="0.39370078740157483" bottom="0.59055118110236227" header="0" footer="0"/>
  <pageSetup paperSize="9" scale="37" orientation="portrait" r:id="rId1"/>
  <headerFooter alignWithMargins="0">
    <oddFooter>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23"/>
  <sheetViews>
    <sheetView tabSelected="1" view="pageBreakPreview" topLeftCell="A4" zoomScale="60" zoomScaleNormal="50" workbookViewId="0">
      <selection activeCell="I15" sqref="I15:J15"/>
    </sheetView>
  </sheetViews>
  <sheetFormatPr defaultRowHeight="15"/>
  <cols>
    <col min="2" max="2" width="62.140625" bestFit="1" customWidth="1"/>
    <col min="3" max="3" width="17" bestFit="1" customWidth="1"/>
    <col min="4" max="4" width="13.7109375" customWidth="1"/>
    <col min="5" max="5" width="15.140625" bestFit="1" customWidth="1"/>
    <col min="6" max="6" width="12.85546875" customWidth="1"/>
    <col min="7" max="7" width="20.5703125" bestFit="1" customWidth="1"/>
    <col min="8" max="8" width="12.85546875" customWidth="1"/>
    <col min="9" max="9" width="20.5703125" bestFit="1" customWidth="1"/>
    <col min="10" max="10" width="12.85546875" customWidth="1"/>
    <col min="11" max="11" width="36.140625" customWidth="1"/>
    <col min="12" max="12" width="16.28515625" bestFit="1" customWidth="1"/>
    <col min="13" max="13" width="17.5703125" bestFit="1" customWidth="1"/>
    <col min="262" max="262" width="62.140625" bestFit="1" customWidth="1"/>
    <col min="263" max="263" width="11.5703125" bestFit="1" customWidth="1"/>
    <col min="264" max="264" width="10.28515625" bestFit="1" customWidth="1"/>
    <col min="265" max="265" width="11.5703125" bestFit="1" customWidth="1"/>
    <col min="266" max="266" width="10.28515625" bestFit="1" customWidth="1"/>
    <col min="267" max="267" width="19.7109375" customWidth="1"/>
    <col min="268" max="268" width="14.5703125" bestFit="1" customWidth="1"/>
    <col min="269" max="269" width="11.5703125" bestFit="1" customWidth="1"/>
    <col min="518" max="518" width="62.140625" bestFit="1" customWidth="1"/>
    <col min="519" max="519" width="11.5703125" bestFit="1" customWidth="1"/>
    <col min="520" max="520" width="10.28515625" bestFit="1" customWidth="1"/>
    <col min="521" max="521" width="11.5703125" bestFit="1" customWidth="1"/>
    <col min="522" max="522" width="10.28515625" bestFit="1" customWidth="1"/>
    <col min="523" max="523" width="19.7109375" customWidth="1"/>
    <col min="524" max="524" width="14.5703125" bestFit="1" customWidth="1"/>
    <col min="525" max="525" width="11.5703125" bestFit="1" customWidth="1"/>
    <col min="774" max="774" width="62.140625" bestFit="1" customWidth="1"/>
    <col min="775" max="775" width="11.5703125" bestFit="1" customWidth="1"/>
    <col min="776" max="776" width="10.28515625" bestFit="1" customWidth="1"/>
    <col min="777" max="777" width="11.5703125" bestFit="1" customWidth="1"/>
    <col min="778" max="778" width="10.28515625" bestFit="1" customWidth="1"/>
    <col min="779" max="779" width="19.7109375" customWidth="1"/>
    <col min="780" max="780" width="14.5703125" bestFit="1" customWidth="1"/>
    <col min="781" max="781" width="11.5703125" bestFit="1" customWidth="1"/>
    <col min="1030" max="1030" width="62.140625" bestFit="1" customWidth="1"/>
    <col min="1031" max="1031" width="11.5703125" bestFit="1" customWidth="1"/>
    <col min="1032" max="1032" width="10.28515625" bestFit="1" customWidth="1"/>
    <col min="1033" max="1033" width="11.5703125" bestFit="1" customWidth="1"/>
    <col min="1034" max="1034" width="10.28515625" bestFit="1" customWidth="1"/>
    <col min="1035" max="1035" width="19.7109375" customWidth="1"/>
    <col min="1036" max="1036" width="14.5703125" bestFit="1" customWidth="1"/>
    <col min="1037" max="1037" width="11.5703125" bestFit="1" customWidth="1"/>
    <col min="1286" max="1286" width="62.140625" bestFit="1" customWidth="1"/>
    <col min="1287" max="1287" width="11.5703125" bestFit="1" customWidth="1"/>
    <col min="1288" max="1288" width="10.28515625" bestFit="1" customWidth="1"/>
    <col min="1289" max="1289" width="11.5703125" bestFit="1" customWidth="1"/>
    <col min="1290" max="1290" width="10.28515625" bestFit="1" customWidth="1"/>
    <col min="1291" max="1291" width="19.7109375" customWidth="1"/>
    <col min="1292" max="1292" width="14.5703125" bestFit="1" customWidth="1"/>
    <col min="1293" max="1293" width="11.5703125" bestFit="1" customWidth="1"/>
    <col min="1542" max="1542" width="62.140625" bestFit="1" customWidth="1"/>
    <col min="1543" max="1543" width="11.5703125" bestFit="1" customWidth="1"/>
    <col min="1544" max="1544" width="10.28515625" bestFit="1" customWidth="1"/>
    <col min="1545" max="1545" width="11.5703125" bestFit="1" customWidth="1"/>
    <col min="1546" max="1546" width="10.28515625" bestFit="1" customWidth="1"/>
    <col min="1547" max="1547" width="19.7109375" customWidth="1"/>
    <col min="1548" max="1548" width="14.5703125" bestFit="1" customWidth="1"/>
    <col min="1549" max="1549" width="11.5703125" bestFit="1" customWidth="1"/>
    <col min="1798" max="1798" width="62.140625" bestFit="1" customWidth="1"/>
    <col min="1799" max="1799" width="11.5703125" bestFit="1" customWidth="1"/>
    <col min="1800" max="1800" width="10.28515625" bestFit="1" customWidth="1"/>
    <col min="1801" max="1801" width="11.5703125" bestFit="1" customWidth="1"/>
    <col min="1802" max="1802" width="10.28515625" bestFit="1" customWidth="1"/>
    <col min="1803" max="1803" width="19.7109375" customWidth="1"/>
    <col min="1804" max="1804" width="14.5703125" bestFit="1" customWidth="1"/>
    <col min="1805" max="1805" width="11.5703125" bestFit="1" customWidth="1"/>
    <col min="2054" max="2054" width="62.140625" bestFit="1" customWidth="1"/>
    <col min="2055" max="2055" width="11.5703125" bestFit="1" customWidth="1"/>
    <col min="2056" max="2056" width="10.28515625" bestFit="1" customWidth="1"/>
    <col min="2057" max="2057" width="11.5703125" bestFit="1" customWidth="1"/>
    <col min="2058" max="2058" width="10.28515625" bestFit="1" customWidth="1"/>
    <col min="2059" max="2059" width="19.7109375" customWidth="1"/>
    <col min="2060" max="2060" width="14.5703125" bestFit="1" customWidth="1"/>
    <col min="2061" max="2061" width="11.5703125" bestFit="1" customWidth="1"/>
    <col min="2310" max="2310" width="62.140625" bestFit="1" customWidth="1"/>
    <col min="2311" max="2311" width="11.5703125" bestFit="1" customWidth="1"/>
    <col min="2312" max="2312" width="10.28515625" bestFit="1" customWidth="1"/>
    <col min="2313" max="2313" width="11.5703125" bestFit="1" customWidth="1"/>
    <col min="2314" max="2314" width="10.28515625" bestFit="1" customWidth="1"/>
    <col min="2315" max="2315" width="19.7109375" customWidth="1"/>
    <col min="2316" max="2316" width="14.5703125" bestFit="1" customWidth="1"/>
    <col min="2317" max="2317" width="11.5703125" bestFit="1" customWidth="1"/>
    <col min="2566" max="2566" width="62.140625" bestFit="1" customWidth="1"/>
    <col min="2567" max="2567" width="11.5703125" bestFit="1" customWidth="1"/>
    <col min="2568" max="2568" width="10.28515625" bestFit="1" customWidth="1"/>
    <col min="2569" max="2569" width="11.5703125" bestFit="1" customWidth="1"/>
    <col min="2570" max="2570" width="10.28515625" bestFit="1" customWidth="1"/>
    <col min="2571" max="2571" width="19.7109375" customWidth="1"/>
    <col min="2572" max="2572" width="14.5703125" bestFit="1" customWidth="1"/>
    <col min="2573" max="2573" width="11.5703125" bestFit="1" customWidth="1"/>
    <col min="2822" max="2822" width="62.140625" bestFit="1" customWidth="1"/>
    <col min="2823" max="2823" width="11.5703125" bestFit="1" customWidth="1"/>
    <col min="2824" max="2824" width="10.28515625" bestFit="1" customWidth="1"/>
    <col min="2825" max="2825" width="11.5703125" bestFit="1" customWidth="1"/>
    <col min="2826" max="2826" width="10.28515625" bestFit="1" customWidth="1"/>
    <col min="2827" max="2827" width="19.7109375" customWidth="1"/>
    <col min="2828" max="2828" width="14.5703125" bestFit="1" customWidth="1"/>
    <col min="2829" max="2829" width="11.5703125" bestFit="1" customWidth="1"/>
    <col min="3078" max="3078" width="62.140625" bestFit="1" customWidth="1"/>
    <col min="3079" max="3079" width="11.5703125" bestFit="1" customWidth="1"/>
    <col min="3080" max="3080" width="10.28515625" bestFit="1" customWidth="1"/>
    <col min="3081" max="3081" width="11.5703125" bestFit="1" customWidth="1"/>
    <col min="3082" max="3082" width="10.28515625" bestFit="1" customWidth="1"/>
    <col min="3083" max="3083" width="19.7109375" customWidth="1"/>
    <col min="3084" max="3084" width="14.5703125" bestFit="1" customWidth="1"/>
    <col min="3085" max="3085" width="11.5703125" bestFit="1" customWidth="1"/>
    <col min="3334" max="3334" width="62.140625" bestFit="1" customWidth="1"/>
    <col min="3335" max="3335" width="11.5703125" bestFit="1" customWidth="1"/>
    <col min="3336" max="3336" width="10.28515625" bestFit="1" customWidth="1"/>
    <col min="3337" max="3337" width="11.5703125" bestFit="1" customWidth="1"/>
    <col min="3338" max="3338" width="10.28515625" bestFit="1" customWidth="1"/>
    <col min="3339" max="3339" width="19.7109375" customWidth="1"/>
    <col min="3340" max="3340" width="14.5703125" bestFit="1" customWidth="1"/>
    <col min="3341" max="3341" width="11.5703125" bestFit="1" customWidth="1"/>
    <col min="3590" max="3590" width="62.140625" bestFit="1" customWidth="1"/>
    <col min="3591" max="3591" width="11.5703125" bestFit="1" customWidth="1"/>
    <col min="3592" max="3592" width="10.28515625" bestFit="1" customWidth="1"/>
    <col min="3593" max="3593" width="11.5703125" bestFit="1" customWidth="1"/>
    <col min="3594" max="3594" width="10.28515625" bestFit="1" customWidth="1"/>
    <col min="3595" max="3595" width="19.7109375" customWidth="1"/>
    <col min="3596" max="3596" width="14.5703125" bestFit="1" customWidth="1"/>
    <col min="3597" max="3597" width="11.5703125" bestFit="1" customWidth="1"/>
    <col min="3846" max="3846" width="62.140625" bestFit="1" customWidth="1"/>
    <col min="3847" max="3847" width="11.5703125" bestFit="1" customWidth="1"/>
    <col min="3848" max="3848" width="10.28515625" bestFit="1" customWidth="1"/>
    <col min="3849" max="3849" width="11.5703125" bestFit="1" customWidth="1"/>
    <col min="3850" max="3850" width="10.28515625" bestFit="1" customWidth="1"/>
    <col min="3851" max="3851" width="19.7109375" customWidth="1"/>
    <col min="3852" max="3852" width="14.5703125" bestFit="1" customWidth="1"/>
    <col min="3853" max="3853" width="11.5703125" bestFit="1" customWidth="1"/>
    <col min="4102" max="4102" width="62.140625" bestFit="1" customWidth="1"/>
    <col min="4103" max="4103" width="11.5703125" bestFit="1" customWidth="1"/>
    <col min="4104" max="4104" width="10.28515625" bestFit="1" customWidth="1"/>
    <col min="4105" max="4105" width="11.5703125" bestFit="1" customWidth="1"/>
    <col min="4106" max="4106" width="10.28515625" bestFit="1" customWidth="1"/>
    <col min="4107" max="4107" width="19.7109375" customWidth="1"/>
    <col min="4108" max="4108" width="14.5703125" bestFit="1" customWidth="1"/>
    <col min="4109" max="4109" width="11.5703125" bestFit="1" customWidth="1"/>
    <col min="4358" max="4358" width="62.140625" bestFit="1" customWidth="1"/>
    <col min="4359" max="4359" width="11.5703125" bestFit="1" customWidth="1"/>
    <col min="4360" max="4360" width="10.28515625" bestFit="1" customWidth="1"/>
    <col min="4361" max="4361" width="11.5703125" bestFit="1" customWidth="1"/>
    <col min="4362" max="4362" width="10.28515625" bestFit="1" customWidth="1"/>
    <col min="4363" max="4363" width="19.7109375" customWidth="1"/>
    <col min="4364" max="4364" width="14.5703125" bestFit="1" customWidth="1"/>
    <col min="4365" max="4365" width="11.5703125" bestFit="1" customWidth="1"/>
    <col min="4614" max="4614" width="62.140625" bestFit="1" customWidth="1"/>
    <col min="4615" max="4615" width="11.5703125" bestFit="1" customWidth="1"/>
    <col min="4616" max="4616" width="10.28515625" bestFit="1" customWidth="1"/>
    <col min="4617" max="4617" width="11.5703125" bestFit="1" customWidth="1"/>
    <col min="4618" max="4618" width="10.28515625" bestFit="1" customWidth="1"/>
    <col min="4619" max="4619" width="19.7109375" customWidth="1"/>
    <col min="4620" max="4620" width="14.5703125" bestFit="1" customWidth="1"/>
    <col min="4621" max="4621" width="11.5703125" bestFit="1" customWidth="1"/>
    <col min="4870" max="4870" width="62.140625" bestFit="1" customWidth="1"/>
    <col min="4871" max="4871" width="11.5703125" bestFit="1" customWidth="1"/>
    <col min="4872" max="4872" width="10.28515625" bestFit="1" customWidth="1"/>
    <col min="4873" max="4873" width="11.5703125" bestFit="1" customWidth="1"/>
    <col min="4874" max="4874" width="10.28515625" bestFit="1" customWidth="1"/>
    <col min="4875" max="4875" width="19.7109375" customWidth="1"/>
    <col min="4876" max="4876" width="14.5703125" bestFit="1" customWidth="1"/>
    <col min="4877" max="4877" width="11.5703125" bestFit="1" customWidth="1"/>
    <col min="5126" max="5126" width="62.140625" bestFit="1" customWidth="1"/>
    <col min="5127" max="5127" width="11.5703125" bestFit="1" customWidth="1"/>
    <col min="5128" max="5128" width="10.28515625" bestFit="1" customWidth="1"/>
    <col min="5129" max="5129" width="11.5703125" bestFit="1" customWidth="1"/>
    <col min="5130" max="5130" width="10.28515625" bestFit="1" customWidth="1"/>
    <col min="5131" max="5131" width="19.7109375" customWidth="1"/>
    <col min="5132" max="5132" width="14.5703125" bestFit="1" customWidth="1"/>
    <col min="5133" max="5133" width="11.5703125" bestFit="1" customWidth="1"/>
    <col min="5382" max="5382" width="62.140625" bestFit="1" customWidth="1"/>
    <col min="5383" max="5383" width="11.5703125" bestFit="1" customWidth="1"/>
    <col min="5384" max="5384" width="10.28515625" bestFit="1" customWidth="1"/>
    <col min="5385" max="5385" width="11.5703125" bestFit="1" customWidth="1"/>
    <col min="5386" max="5386" width="10.28515625" bestFit="1" customWidth="1"/>
    <col min="5387" max="5387" width="19.7109375" customWidth="1"/>
    <col min="5388" max="5388" width="14.5703125" bestFit="1" customWidth="1"/>
    <col min="5389" max="5389" width="11.5703125" bestFit="1" customWidth="1"/>
    <col min="5638" max="5638" width="62.140625" bestFit="1" customWidth="1"/>
    <col min="5639" max="5639" width="11.5703125" bestFit="1" customWidth="1"/>
    <col min="5640" max="5640" width="10.28515625" bestFit="1" customWidth="1"/>
    <col min="5641" max="5641" width="11.5703125" bestFit="1" customWidth="1"/>
    <col min="5642" max="5642" width="10.28515625" bestFit="1" customWidth="1"/>
    <col min="5643" max="5643" width="19.7109375" customWidth="1"/>
    <col min="5644" max="5644" width="14.5703125" bestFit="1" customWidth="1"/>
    <col min="5645" max="5645" width="11.5703125" bestFit="1" customWidth="1"/>
    <col min="5894" max="5894" width="62.140625" bestFit="1" customWidth="1"/>
    <col min="5895" max="5895" width="11.5703125" bestFit="1" customWidth="1"/>
    <col min="5896" max="5896" width="10.28515625" bestFit="1" customWidth="1"/>
    <col min="5897" max="5897" width="11.5703125" bestFit="1" customWidth="1"/>
    <col min="5898" max="5898" width="10.28515625" bestFit="1" customWidth="1"/>
    <col min="5899" max="5899" width="19.7109375" customWidth="1"/>
    <col min="5900" max="5900" width="14.5703125" bestFit="1" customWidth="1"/>
    <col min="5901" max="5901" width="11.5703125" bestFit="1" customWidth="1"/>
    <col min="6150" max="6150" width="62.140625" bestFit="1" customWidth="1"/>
    <col min="6151" max="6151" width="11.5703125" bestFit="1" customWidth="1"/>
    <col min="6152" max="6152" width="10.28515625" bestFit="1" customWidth="1"/>
    <col min="6153" max="6153" width="11.5703125" bestFit="1" customWidth="1"/>
    <col min="6154" max="6154" width="10.28515625" bestFit="1" customWidth="1"/>
    <col min="6155" max="6155" width="19.7109375" customWidth="1"/>
    <col min="6156" max="6156" width="14.5703125" bestFit="1" customWidth="1"/>
    <col min="6157" max="6157" width="11.5703125" bestFit="1" customWidth="1"/>
    <col min="6406" max="6406" width="62.140625" bestFit="1" customWidth="1"/>
    <col min="6407" max="6407" width="11.5703125" bestFit="1" customWidth="1"/>
    <col min="6408" max="6408" width="10.28515625" bestFit="1" customWidth="1"/>
    <col min="6409" max="6409" width="11.5703125" bestFit="1" customWidth="1"/>
    <col min="6410" max="6410" width="10.28515625" bestFit="1" customWidth="1"/>
    <col min="6411" max="6411" width="19.7109375" customWidth="1"/>
    <col min="6412" max="6412" width="14.5703125" bestFit="1" customWidth="1"/>
    <col min="6413" max="6413" width="11.5703125" bestFit="1" customWidth="1"/>
    <col min="6662" max="6662" width="62.140625" bestFit="1" customWidth="1"/>
    <col min="6663" max="6663" width="11.5703125" bestFit="1" customWidth="1"/>
    <col min="6664" max="6664" width="10.28515625" bestFit="1" customWidth="1"/>
    <col min="6665" max="6665" width="11.5703125" bestFit="1" customWidth="1"/>
    <col min="6666" max="6666" width="10.28515625" bestFit="1" customWidth="1"/>
    <col min="6667" max="6667" width="19.7109375" customWidth="1"/>
    <col min="6668" max="6668" width="14.5703125" bestFit="1" customWidth="1"/>
    <col min="6669" max="6669" width="11.5703125" bestFit="1" customWidth="1"/>
    <col min="6918" max="6918" width="62.140625" bestFit="1" customWidth="1"/>
    <col min="6919" max="6919" width="11.5703125" bestFit="1" customWidth="1"/>
    <col min="6920" max="6920" width="10.28515625" bestFit="1" customWidth="1"/>
    <col min="6921" max="6921" width="11.5703125" bestFit="1" customWidth="1"/>
    <col min="6922" max="6922" width="10.28515625" bestFit="1" customWidth="1"/>
    <col min="6923" max="6923" width="19.7109375" customWidth="1"/>
    <col min="6924" max="6924" width="14.5703125" bestFit="1" customWidth="1"/>
    <col min="6925" max="6925" width="11.5703125" bestFit="1" customWidth="1"/>
    <col min="7174" max="7174" width="62.140625" bestFit="1" customWidth="1"/>
    <col min="7175" max="7175" width="11.5703125" bestFit="1" customWidth="1"/>
    <col min="7176" max="7176" width="10.28515625" bestFit="1" customWidth="1"/>
    <col min="7177" max="7177" width="11.5703125" bestFit="1" customWidth="1"/>
    <col min="7178" max="7178" width="10.28515625" bestFit="1" customWidth="1"/>
    <col min="7179" max="7179" width="19.7109375" customWidth="1"/>
    <col min="7180" max="7180" width="14.5703125" bestFit="1" customWidth="1"/>
    <col min="7181" max="7181" width="11.5703125" bestFit="1" customWidth="1"/>
    <col min="7430" max="7430" width="62.140625" bestFit="1" customWidth="1"/>
    <col min="7431" max="7431" width="11.5703125" bestFit="1" customWidth="1"/>
    <col min="7432" max="7432" width="10.28515625" bestFit="1" customWidth="1"/>
    <col min="7433" max="7433" width="11.5703125" bestFit="1" customWidth="1"/>
    <col min="7434" max="7434" width="10.28515625" bestFit="1" customWidth="1"/>
    <col min="7435" max="7435" width="19.7109375" customWidth="1"/>
    <col min="7436" max="7436" width="14.5703125" bestFit="1" customWidth="1"/>
    <col min="7437" max="7437" width="11.5703125" bestFit="1" customWidth="1"/>
    <col min="7686" max="7686" width="62.140625" bestFit="1" customWidth="1"/>
    <col min="7687" max="7687" width="11.5703125" bestFit="1" customWidth="1"/>
    <col min="7688" max="7688" width="10.28515625" bestFit="1" customWidth="1"/>
    <col min="7689" max="7689" width="11.5703125" bestFit="1" customWidth="1"/>
    <col min="7690" max="7690" width="10.28515625" bestFit="1" customWidth="1"/>
    <col min="7691" max="7691" width="19.7109375" customWidth="1"/>
    <col min="7692" max="7692" width="14.5703125" bestFit="1" customWidth="1"/>
    <col min="7693" max="7693" width="11.5703125" bestFit="1" customWidth="1"/>
    <col min="7942" max="7942" width="62.140625" bestFit="1" customWidth="1"/>
    <col min="7943" max="7943" width="11.5703125" bestFit="1" customWidth="1"/>
    <col min="7944" max="7944" width="10.28515625" bestFit="1" customWidth="1"/>
    <col min="7945" max="7945" width="11.5703125" bestFit="1" customWidth="1"/>
    <col min="7946" max="7946" width="10.28515625" bestFit="1" customWidth="1"/>
    <col min="7947" max="7947" width="19.7109375" customWidth="1"/>
    <col min="7948" max="7948" width="14.5703125" bestFit="1" customWidth="1"/>
    <col min="7949" max="7949" width="11.5703125" bestFit="1" customWidth="1"/>
    <col min="8198" max="8198" width="62.140625" bestFit="1" customWidth="1"/>
    <col min="8199" max="8199" width="11.5703125" bestFit="1" customWidth="1"/>
    <col min="8200" max="8200" width="10.28515625" bestFit="1" customWidth="1"/>
    <col min="8201" max="8201" width="11.5703125" bestFit="1" customWidth="1"/>
    <col min="8202" max="8202" width="10.28515625" bestFit="1" customWidth="1"/>
    <col min="8203" max="8203" width="19.7109375" customWidth="1"/>
    <col min="8204" max="8204" width="14.5703125" bestFit="1" customWidth="1"/>
    <col min="8205" max="8205" width="11.5703125" bestFit="1" customWidth="1"/>
    <col min="8454" max="8454" width="62.140625" bestFit="1" customWidth="1"/>
    <col min="8455" max="8455" width="11.5703125" bestFit="1" customWidth="1"/>
    <col min="8456" max="8456" width="10.28515625" bestFit="1" customWidth="1"/>
    <col min="8457" max="8457" width="11.5703125" bestFit="1" customWidth="1"/>
    <col min="8458" max="8458" width="10.28515625" bestFit="1" customWidth="1"/>
    <col min="8459" max="8459" width="19.7109375" customWidth="1"/>
    <col min="8460" max="8460" width="14.5703125" bestFit="1" customWidth="1"/>
    <col min="8461" max="8461" width="11.5703125" bestFit="1" customWidth="1"/>
    <col min="8710" max="8710" width="62.140625" bestFit="1" customWidth="1"/>
    <col min="8711" max="8711" width="11.5703125" bestFit="1" customWidth="1"/>
    <col min="8712" max="8712" width="10.28515625" bestFit="1" customWidth="1"/>
    <col min="8713" max="8713" width="11.5703125" bestFit="1" customWidth="1"/>
    <col min="8714" max="8714" width="10.28515625" bestFit="1" customWidth="1"/>
    <col min="8715" max="8715" width="19.7109375" customWidth="1"/>
    <col min="8716" max="8716" width="14.5703125" bestFit="1" customWidth="1"/>
    <col min="8717" max="8717" width="11.5703125" bestFit="1" customWidth="1"/>
    <col min="8966" max="8966" width="62.140625" bestFit="1" customWidth="1"/>
    <col min="8967" max="8967" width="11.5703125" bestFit="1" customWidth="1"/>
    <col min="8968" max="8968" width="10.28515625" bestFit="1" customWidth="1"/>
    <col min="8969" max="8969" width="11.5703125" bestFit="1" customWidth="1"/>
    <col min="8970" max="8970" width="10.28515625" bestFit="1" customWidth="1"/>
    <col min="8971" max="8971" width="19.7109375" customWidth="1"/>
    <col min="8972" max="8972" width="14.5703125" bestFit="1" customWidth="1"/>
    <col min="8973" max="8973" width="11.5703125" bestFit="1" customWidth="1"/>
    <col min="9222" max="9222" width="62.140625" bestFit="1" customWidth="1"/>
    <col min="9223" max="9223" width="11.5703125" bestFit="1" customWidth="1"/>
    <col min="9224" max="9224" width="10.28515625" bestFit="1" customWidth="1"/>
    <col min="9225" max="9225" width="11.5703125" bestFit="1" customWidth="1"/>
    <col min="9226" max="9226" width="10.28515625" bestFit="1" customWidth="1"/>
    <col min="9227" max="9227" width="19.7109375" customWidth="1"/>
    <col min="9228" max="9228" width="14.5703125" bestFit="1" customWidth="1"/>
    <col min="9229" max="9229" width="11.5703125" bestFit="1" customWidth="1"/>
    <col min="9478" max="9478" width="62.140625" bestFit="1" customWidth="1"/>
    <col min="9479" max="9479" width="11.5703125" bestFit="1" customWidth="1"/>
    <col min="9480" max="9480" width="10.28515625" bestFit="1" customWidth="1"/>
    <col min="9481" max="9481" width="11.5703125" bestFit="1" customWidth="1"/>
    <col min="9482" max="9482" width="10.28515625" bestFit="1" customWidth="1"/>
    <col min="9483" max="9483" width="19.7109375" customWidth="1"/>
    <col min="9484" max="9484" width="14.5703125" bestFit="1" customWidth="1"/>
    <col min="9485" max="9485" width="11.5703125" bestFit="1" customWidth="1"/>
    <col min="9734" max="9734" width="62.140625" bestFit="1" customWidth="1"/>
    <col min="9735" max="9735" width="11.5703125" bestFit="1" customWidth="1"/>
    <col min="9736" max="9736" width="10.28515625" bestFit="1" customWidth="1"/>
    <col min="9737" max="9737" width="11.5703125" bestFit="1" customWidth="1"/>
    <col min="9738" max="9738" width="10.28515625" bestFit="1" customWidth="1"/>
    <col min="9739" max="9739" width="19.7109375" customWidth="1"/>
    <col min="9740" max="9740" width="14.5703125" bestFit="1" customWidth="1"/>
    <col min="9741" max="9741" width="11.5703125" bestFit="1" customWidth="1"/>
    <col min="9990" max="9990" width="62.140625" bestFit="1" customWidth="1"/>
    <col min="9991" max="9991" width="11.5703125" bestFit="1" customWidth="1"/>
    <col min="9992" max="9992" width="10.28515625" bestFit="1" customWidth="1"/>
    <col min="9993" max="9993" width="11.5703125" bestFit="1" customWidth="1"/>
    <col min="9994" max="9994" width="10.28515625" bestFit="1" customWidth="1"/>
    <col min="9995" max="9995" width="19.7109375" customWidth="1"/>
    <col min="9996" max="9996" width="14.5703125" bestFit="1" customWidth="1"/>
    <col min="9997" max="9997" width="11.5703125" bestFit="1" customWidth="1"/>
    <col min="10246" max="10246" width="62.140625" bestFit="1" customWidth="1"/>
    <col min="10247" max="10247" width="11.5703125" bestFit="1" customWidth="1"/>
    <col min="10248" max="10248" width="10.28515625" bestFit="1" customWidth="1"/>
    <col min="10249" max="10249" width="11.5703125" bestFit="1" customWidth="1"/>
    <col min="10250" max="10250" width="10.28515625" bestFit="1" customWidth="1"/>
    <col min="10251" max="10251" width="19.7109375" customWidth="1"/>
    <col min="10252" max="10252" width="14.5703125" bestFit="1" customWidth="1"/>
    <col min="10253" max="10253" width="11.5703125" bestFit="1" customWidth="1"/>
    <col min="10502" max="10502" width="62.140625" bestFit="1" customWidth="1"/>
    <col min="10503" max="10503" width="11.5703125" bestFit="1" customWidth="1"/>
    <col min="10504" max="10504" width="10.28515625" bestFit="1" customWidth="1"/>
    <col min="10505" max="10505" width="11.5703125" bestFit="1" customWidth="1"/>
    <col min="10506" max="10506" width="10.28515625" bestFit="1" customWidth="1"/>
    <col min="10507" max="10507" width="19.7109375" customWidth="1"/>
    <col min="10508" max="10508" width="14.5703125" bestFit="1" customWidth="1"/>
    <col min="10509" max="10509" width="11.5703125" bestFit="1" customWidth="1"/>
    <col min="10758" max="10758" width="62.140625" bestFit="1" customWidth="1"/>
    <col min="10759" max="10759" width="11.5703125" bestFit="1" customWidth="1"/>
    <col min="10760" max="10760" width="10.28515625" bestFit="1" customWidth="1"/>
    <col min="10761" max="10761" width="11.5703125" bestFit="1" customWidth="1"/>
    <col min="10762" max="10762" width="10.28515625" bestFit="1" customWidth="1"/>
    <col min="10763" max="10763" width="19.7109375" customWidth="1"/>
    <col min="10764" max="10764" width="14.5703125" bestFit="1" customWidth="1"/>
    <col min="10765" max="10765" width="11.5703125" bestFit="1" customWidth="1"/>
    <col min="11014" max="11014" width="62.140625" bestFit="1" customWidth="1"/>
    <col min="11015" max="11015" width="11.5703125" bestFit="1" customWidth="1"/>
    <col min="11016" max="11016" width="10.28515625" bestFit="1" customWidth="1"/>
    <col min="11017" max="11017" width="11.5703125" bestFit="1" customWidth="1"/>
    <col min="11018" max="11018" width="10.28515625" bestFit="1" customWidth="1"/>
    <col min="11019" max="11019" width="19.7109375" customWidth="1"/>
    <col min="11020" max="11020" width="14.5703125" bestFit="1" customWidth="1"/>
    <col min="11021" max="11021" width="11.5703125" bestFit="1" customWidth="1"/>
    <col min="11270" max="11270" width="62.140625" bestFit="1" customWidth="1"/>
    <col min="11271" max="11271" width="11.5703125" bestFit="1" customWidth="1"/>
    <col min="11272" max="11272" width="10.28515625" bestFit="1" customWidth="1"/>
    <col min="11273" max="11273" width="11.5703125" bestFit="1" customWidth="1"/>
    <col min="11274" max="11274" width="10.28515625" bestFit="1" customWidth="1"/>
    <col min="11275" max="11275" width="19.7109375" customWidth="1"/>
    <col min="11276" max="11276" width="14.5703125" bestFit="1" customWidth="1"/>
    <col min="11277" max="11277" width="11.5703125" bestFit="1" customWidth="1"/>
    <col min="11526" max="11526" width="62.140625" bestFit="1" customWidth="1"/>
    <col min="11527" max="11527" width="11.5703125" bestFit="1" customWidth="1"/>
    <col min="11528" max="11528" width="10.28515625" bestFit="1" customWidth="1"/>
    <col min="11529" max="11529" width="11.5703125" bestFit="1" customWidth="1"/>
    <col min="11530" max="11530" width="10.28515625" bestFit="1" customWidth="1"/>
    <col min="11531" max="11531" width="19.7109375" customWidth="1"/>
    <col min="11532" max="11532" width="14.5703125" bestFit="1" customWidth="1"/>
    <col min="11533" max="11533" width="11.5703125" bestFit="1" customWidth="1"/>
    <col min="11782" max="11782" width="62.140625" bestFit="1" customWidth="1"/>
    <col min="11783" max="11783" width="11.5703125" bestFit="1" customWidth="1"/>
    <col min="11784" max="11784" width="10.28515625" bestFit="1" customWidth="1"/>
    <col min="11785" max="11785" width="11.5703125" bestFit="1" customWidth="1"/>
    <col min="11786" max="11786" width="10.28515625" bestFit="1" customWidth="1"/>
    <col min="11787" max="11787" width="19.7109375" customWidth="1"/>
    <col min="11788" max="11788" width="14.5703125" bestFit="1" customWidth="1"/>
    <col min="11789" max="11789" width="11.5703125" bestFit="1" customWidth="1"/>
    <col min="12038" max="12038" width="62.140625" bestFit="1" customWidth="1"/>
    <col min="12039" max="12039" width="11.5703125" bestFit="1" customWidth="1"/>
    <col min="12040" max="12040" width="10.28515625" bestFit="1" customWidth="1"/>
    <col min="12041" max="12041" width="11.5703125" bestFit="1" customWidth="1"/>
    <col min="12042" max="12042" width="10.28515625" bestFit="1" customWidth="1"/>
    <col min="12043" max="12043" width="19.7109375" customWidth="1"/>
    <col min="12044" max="12044" width="14.5703125" bestFit="1" customWidth="1"/>
    <col min="12045" max="12045" width="11.5703125" bestFit="1" customWidth="1"/>
    <col min="12294" max="12294" width="62.140625" bestFit="1" customWidth="1"/>
    <col min="12295" max="12295" width="11.5703125" bestFit="1" customWidth="1"/>
    <col min="12296" max="12296" width="10.28515625" bestFit="1" customWidth="1"/>
    <col min="12297" max="12297" width="11.5703125" bestFit="1" customWidth="1"/>
    <col min="12298" max="12298" width="10.28515625" bestFit="1" customWidth="1"/>
    <col min="12299" max="12299" width="19.7109375" customWidth="1"/>
    <col min="12300" max="12300" width="14.5703125" bestFit="1" customWidth="1"/>
    <col min="12301" max="12301" width="11.5703125" bestFit="1" customWidth="1"/>
    <col min="12550" max="12550" width="62.140625" bestFit="1" customWidth="1"/>
    <col min="12551" max="12551" width="11.5703125" bestFit="1" customWidth="1"/>
    <col min="12552" max="12552" width="10.28515625" bestFit="1" customWidth="1"/>
    <col min="12553" max="12553" width="11.5703125" bestFit="1" customWidth="1"/>
    <col min="12554" max="12554" width="10.28515625" bestFit="1" customWidth="1"/>
    <col min="12555" max="12555" width="19.7109375" customWidth="1"/>
    <col min="12556" max="12556" width="14.5703125" bestFit="1" customWidth="1"/>
    <col min="12557" max="12557" width="11.5703125" bestFit="1" customWidth="1"/>
    <col min="12806" max="12806" width="62.140625" bestFit="1" customWidth="1"/>
    <col min="12807" max="12807" width="11.5703125" bestFit="1" customWidth="1"/>
    <col min="12808" max="12808" width="10.28515625" bestFit="1" customWidth="1"/>
    <col min="12809" max="12809" width="11.5703125" bestFit="1" customWidth="1"/>
    <col min="12810" max="12810" width="10.28515625" bestFit="1" customWidth="1"/>
    <col min="12811" max="12811" width="19.7109375" customWidth="1"/>
    <col min="12812" max="12812" width="14.5703125" bestFit="1" customWidth="1"/>
    <col min="12813" max="12813" width="11.5703125" bestFit="1" customWidth="1"/>
    <col min="13062" max="13062" width="62.140625" bestFit="1" customWidth="1"/>
    <col min="13063" max="13063" width="11.5703125" bestFit="1" customWidth="1"/>
    <col min="13064" max="13064" width="10.28515625" bestFit="1" customWidth="1"/>
    <col min="13065" max="13065" width="11.5703125" bestFit="1" customWidth="1"/>
    <col min="13066" max="13066" width="10.28515625" bestFit="1" customWidth="1"/>
    <col min="13067" max="13067" width="19.7109375" customWidth="1"/>
    <col min="13068" max="13068" width="14.5703125" bestFit="1" customWidth="1"/>
    <col min="13069" max="13069" width="11.5703125" bestFit="1" customWidth="1"/>
    <col min="13318" max="13318" width="62.140625" bestFit="1" customWidth="1"/>
    <col min="13319" max="13319" width="11.5703125" bestFit="1" customWidth="1"/>
    <col min="13320" max="13320" width="10.28515625" bestFit="1" customWidth="1"/>
    <col min="13321" max="13321" width="11.5703125" bestFit="1" customWidth="1"/>
    <col min="13322" max="13322" width="10.28515625" bestFit="1" customWidth="1"/>
    <col min="13323" max="13323" width="19.7109375" customWidth="1"/>
    <col min="13324" max="13324" width="14.5703125" bestFit="1" customWidth="1"/>
    <col min="13325" max="13325" width="11.5703125" bestFit="1" customWidth="1"/>
    <col min="13574" max="13574" width="62.140625" bestFit="1" customWidth="1"/>
    <col min="13575" max="13575" width="11.5703125" bestFit="1" customWidth="1"/>
    <col min="13576" max="13576" width="10.28515625" bestFit="1" customWidth="1"/>
    <col min="13577" max="13577" width="11.5703125" bestFit="1" customWidth="1"/>
    <col min="13578" max="13578" width="10.28515625" bestFit="1" customWidth="1"/>
    <col min="13579" max="13579" width="19.7109375" customWidth="1"/>
    <col min="13580" max="13580" width="14.5703125" bestFit="1" customWidth="1"/>
    <col min="13581" max="13581" width="11.5703125" bestFit="1" customWidth="1"/>
    <col min="13830" max="13830" width="62.140625" bestFit="1" customWidth="1"/>
    <col min="13831" max="13831" width="11.5703125" bestFit="1" customWidth="1"/>
    <col min="13832" max="13832" width="10.28515625" bestFit="1" customWidth="1"/>
    <col min="13833" max="13833" width="11.5703125" bestFit="1" customWidth="1"/>
    <col min="13834" max="13834" width="10.28515625" bestFit="1" customWidth="1"/>
    <col min="13835" max="13835" width="19.7109375" customWidth="1"/>
    <col min="13836" max="13836" width="14.5703125" bestFit="1" customWidth="1"/>
    <col min="13837" max="13837" width="11.5703125" bestFit="1" customWidth="1"/>
    <col min="14086" max="14086" width="62.140625" bestFit="1" customWidth="1"/>
    <col min="14087" max="14087" width="11.5703125" bestFit="1" customWidth="1"/>
    <col min="14088" max="14088" width="10.28515625" bestFit="1" customWidth="1"/>
    <col min="14089" max="14089" width="11.5703125" bestFit="1" customWidth="1"/>
    <col min="14090" max="14090" width="10.28515625" bestFit="1" customWidth="1"/>
    <col min="14091" max="14091" width="19.7109375" customWidth="1"/>
    <col min="14092" max="14092" width="14.5703125" bestFit="1" customWidth="1"/>
    <col min="14093" max="14093" width="11.5703125" bestFit="1" customWidth="1"/>
    <col min="14342" max="14342" width="62.140625" bestFit="1" customWidth="1"/>
    <col min="14343" max="14343" width="11.5703125" bestFit="1" customWidth="1"/>
    <col min="14344" max="14344" width="10.28515625" bestFit="1" customWidth="1"/>
    <col min="14345" max="14345" width="11.5703125" bestFit="1" customWidth="1"/>
    <col min="14346" max="14346" width="10.28515625" bestFit="1" customWidth="1"/>
    <col min="14347" max="14347" width="19.7109375" customWidth="1"/>
    <col min="14348" max="14348" width="14.5703125" bestFit="1" customWidth="1"/>
    <col min="14349" max="14349" width="11.5703125" bestFit="1" customWidth="1"/>
    <col min="14598" max="14598" width="62.140625" bestFit="1" customWidth="1"/>
    <col min="14599" max="14599" width="11.5703125" bestFit="1" customWidth="1"/>
    <col min="14600" max="14600" width="10.28515625" bestFit="1" customWidth="1"/>
    <col min="14601" max="14601" width="11.5703125" bestFit="1" customWidth="1"/>
    <col min="14602" max="14602" width="10.28515625" bestFit="1" customWidth="1"/>
    <col min="14603" max="14603" width="19.7109375" customWidth="1"/>
    <col min="14604" max="14604" width="14.5703125" bestFit="1" customWidth="1"/>
    <col min="14605" max="14605" width="11.5703125" bestFit="1" customWidth="1"/>
    <col min="14854" max="14854" width="62.140625" bestFit="1" customWidth="1"/>
    <col min="14855" max="14855" width="11.5703125" bestFit="1" customWidth="1"/>
    <col min="14856" max="14856" width="10.28515625" bestFit="1" customWidth="1"/>
    <col min="14857" max="14857" width="11.5703125" bestFit="1" customWidth="1"/>
    <col min="14858" max="14858" width="10.28515625" bestFit="1" customWidth="1"/>
    <col min="14859" max="14859" width="19.7109375" customWidth="1"/>
    <col min="14860" max="14860" width="14.5703125" bestFit="1" customWidth="1"/>
    <col min="14861" max="14861" width="11.5703125" bestFit="1" customWidth="1"/>
    <col min="15110" max="15110" width="62.140625" bestFit="1" customWidth="1"/>
    <col min="15111" max="15111" width="11.5703125" bestFit="1" customWidth="1"/>
    <col min="15112" max="15112" width="10.28515625" bestFit="1" customWidth="1"/>
    <col min="15113" max="15113" width="11.5703125" bestFit="1" customWidth="1"/>
    <col min="15114" max="15114" width="10.28515625" bestFit="1" customWidth="1"/>
    <col min="15115" max="15115" width="19.7109375" customWidth="1"/>
    <col min="15116" max="15116" width="14.5703125" bestFit="1" customWidth="1"/>
    <col min="15117" max="15117" width="11.5703125" bestFit="1" customWidth="1"/>
    <col min="15366" max="15366" width="62.140625" bestFit="1" customWidth="1"/>
    <col min="15367" max="15367" width="11.5703125" bestFit="1" customWidth="1"/>
    <col min="15368" max="15368" width="10.28515625" bestFit="1" customWidth="1"/>
    <col min="15369" max="15369" width="11.5703125" bestFit="1" customWidth="1"/>
    <col min="15370" max="15370" width="10.28515625" bestFit="1" customWidth="1"/>
    <col min="15371" max="15371" width="19.7109375" customWidth="1"/>
    <col min="15372" max="15372" width="14.5703125" bestFit="1" customWidth="1"/>
    <col min="15373" max="15373" width="11.5703125" bestFit="1" customWidth="1"/>
    <col min="15622" max="15622" width="62.140625" bestFit="1" customWidth="1"/>
    <col min="15623" max="15623" width="11.5703125" bestFit="1" customWidth="1"/>
    <col min="15624" max="15624" width="10.28515625" bestFit="1" customWidth="1"/>
    <col min="15625" max="15625" width="11.5703125" bestFit="1" customWidth="1"/>
    <col min="15626" max="15626" width="10.28515625" bestFit="1" customWidth="1"/>
    <col min="15627" max="15627" width="19.7109375" customWidth="1"/>
    <col min="15628" max="15628" width="14.5703125" bestFit="1" customWidth="1"/>
    <col min="15629" max="15629" width="11.5703125" bestFit="1" customWidth="1"/>
    <col min="15878" max="15878" width="62.140625" bestFit="1" customWidth="1"/>
    <col min="15879" max="15879" width="11.5703125" bestFit="1" customWidth="1"/>
    <col min="15880" max="15880" width="10.28515625" bestFit="1" customWidth="1"/>
    <col min="15881" max="15881" width="11.5703125" bestFit="1" customWidth="1"/>
    <col min="15882" max="15882" width="10.28515625" bestFit="1" customWidth="1"/>
    <col min="15883" max="15883" width="19.7109375" customWidth="1"/>
    <col min="15884" max="15884" width="14.5703125" bestFit="1" customWidth="1"/>
    <col min="15885" max="15885" width="11.5703125" bestFit="1" customWidth="1"/>
    <col min="16134" max="16134" width="62.140625" bestFit="1" customWidth="1"/>
    <col min="16135" max="16135" width="11.5703125" bestFit="1" customWidth="1"/>
    <col min="16136" max="16136" width="10.28515625" bestFit="1" customWidth="1"/>
    <col min="16137" max="16137" width="11.5703125" bestFit="1" customWidth="1"/>
    <col min="16138" max="16138" width="10.28515625" bestFit="1" customWidth="1"/>
    <col min="16139" max="16139" width="19.7109375" customWidth="1"/>
    <col min="16140" max="16140" width="14.5703125" bestFit="1" customWidth="1"/>
    <col min="16141" max="16141" width="11.5703125" bestFit="1" customWidth="1"/>
  </cols>
  <sheetData>
    <row r="1" spans="1:30" s="14" customFormat="1" ht="63" customHeight="1">
      <c r="A1" s="202" t="s">
        <v>0</v>
      </c>
      <c r="B1" s="203"/>
      <c r="C1" s="203"/>
      <c r="D1" s="203"/>
      <c r="E1" s="203"/>
      <c r="F1" s="203"/>
      <c r="G1" s="114"/>
      <c r="H1" s="114"/>
      <c r="I1" s="114"/>
      <c r="J1" s="114"/>
      <c r="K1" s="20"/>
      <c r="L1" s="13"/>
      <c r="M1" s="13"/>
    </row>
    <row r="2" spans="1:30" s="14" customFormat="1" ht="63" customHeight="1">
      <c r="A2" s="204" t="s">
        <v>1</v>
      </c>
      <c r="B2" s="205"/>
      <c r="C2" s="205"/>
      <c r="D2" s="205"/>
      <c r="E2" s="205"/>
      <c r="F2" s="205"/>
      <c r="G2" s="115"/>
      <c r="H2" s="115"/>
      <c r="I2" s="115"/>
      <c r="J2" s="115"/>
      <c r="K2" s="21"/>
      <c r="L2" s="13"/>
      <c r="M2" s="13"/>
    </row>
    <row r="3" spans="1:30" s="14" customFormat="1" ht="63" customHeight="1">
      <c r="A3" s="204" t="s">
        <v>38</v>
      </c>
      <c r="B3" s="205"/>
      <c r="C3" s="205"/>
      <c r="D3" s="205"/>
      <c r="E3" s="205"/>
      <c r="F3" s="205"/>
      <c r="G3" s="115"/>
      <c r="H3" s="115"/>
      <c r="I3" s="115"/>
      <c r="J3" s="115"/>
      <c r="K3" s="21"/>
      <c r="L3" s="13"/>
      <c r="M3" s="13"/>
    </row>
    <row r="4" spans="1:30" s="14" customFormat="1" ht="63" customHeight="1">
      <c r="A4" s="206" t="s">
        <v>48</v>
      </c>
      <c r="B4" s="207"/>
      <c r="C4" s="207"/>
      <c r="D4" s="207"/>
      <c r="E4" s="207"/>
      <c r="F4" s="207"/>
      <c r="G4" s="116"/>
      <c r="H4" s="116"/>
      <c r="I4" s="116"/>
      <c r="J4" s="116"/>
      <c r="K4" s="22"/>
      <c r="L4" s="13"/>
      <c r="M4" s="13"/>
    </row>
    <row r="5" spans="1:30" s="14" customFormat="1" ht="63" customHeight="1">
      <c r="A5" s="208" t="s">
        <v>49</v>
      </c>
      <c r="B5" s="209"/>
      <c r="C5" s="209"/>
      <c r="D5" s="209"/>
      <c r="E5" s="209"/>
      <c r="F5" s="209"/>
      <c r="G5" s="117"/>
      <c r="H5" s="117"/>
      <c r="I5" s="117"/>
      <c r="J5" s="117"/>
      <c r="K5" s="23"/>
      <c r="L5" s="13"/>
      <c r="M5" s="13"/>
    </row>
    <row r="6" spans="1:30" s="14" customFormat="1" ht="63" customHeight="1">
      <c r="A6" s="200" t="s">
        <v>18</v>
      </c>
      <c r="B6" s="201"/>
      <c r="C6" s="201"/>
      <c r="D6" s="201"/>
      <c r="E6" s="201"/>
      <c r="F6" s="201"/>
      <c r="G6" s="113"/>
      <c r="H6" s="113"/>
      <c r="I6" s="113"/>
      <c r="J6" s="113"/>
      <c r="K6" s="24"/>
      <c r="L6" s="13"/>
      <c r="M6" s="13"/>
    </row>
    <row r="7" spans="1:30" s="14" customFormat="1" ht="63" customHeight="1">
      <c r="A7" s="210" t="s">
        <v>83</v>
      </c>
      <c r="B7" s="211"/>
      <c r="C7" s="211"/>
      <c r="D7" s="211"/>
      <c r="E7" s="211"/>
      <c r="F7" s="211"/>
      <c r="G7" s="112"/>
      <c r="H7" s="112"/>
      <c r="I7" s="112"/>
      <c r="J7" s="112"/>
      <c r="K7" s="25"/>
      <c r="L7" s="13"/>
      <c r="M7" s="13"/>
    </row>
    <row r="8" spans="1:30" s="14" customFormat="1" ht="63" customHeight="1">
      <c r="A8" s="15"/>
      <c r="B8" s="16"/>
      <c r="C8" s="16"/>
      <c r="D8" s="16"/>
      <c r="E8" s="16"/>
      <c r="F8" s="16"/>
      <c r="G8" s="16"/>
      <c r="H8" s="16"/>
      <c r="I8" s="16"/>
      <c r="J8" s="16"/>
      <c r="K8" s="26"/>
      <c r="L8" s="13"/>
      <c r="M8" s="13"/>
    </row>
    <row r="9" spans="1:30" s="14" customFormat="1" ht="63" customHeight="1">
      <c r="A9" s="212" t="s">
        <v>19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17"/>
      <c r="M9" s="13"/>
    </row>
    <row r="10" spans="1:30" ht="63" customHeight="1">
      <c r="A10" s="213" t="s">
        <v>4</v>
      </c>
      <c r="B10" s="213" t="s">
        <v>20</v>
      </c>
      <c r="C10" s="215" t="s">
        <v>21</v>
      </c>
      <c r="D10" s="216"/>
      <c r="E10" s="217" t="s">
        <v>22</v>
      </c>
      <c r="F10" s="216"/>
      <c r="G10" s="215" t="s">
        <v>275</v>
      </c>
      <c r="H10" s="216"/>
      <c r="I10" s="217" t="s">
        <v>276</v>
      </c>
      <c r="J10" s="216"/>
      <c r="K10" s="218" t="s">
        <v>23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63" customHeight="1">
      <c r="A11" s="214"/>
      <c r="B11" s="214"/>
      <c r="C11" s="50" t="s">
        <v>24</v>
      </c>
      <c r="D11" s="51" t="s">
        <v>25</v>
      </c>
      <c r="E11" s="51" t="s">
        <v>24</v>
      </c>
      <c r="F11" s="51" t="s">
        <v>25</v>
      </c>
      <c r="G11" s="51" t="s">
        <v>24</v>
      </c>
      <c r="H11" s="51" t="s">
        <v>25</v>
      </c>
      <c r="I11" s="51" t="s">
        <v>24</v>
      </c>
      <c r="J11" s="51" t="s">
        <v>25</v>
      </c>
      <c r="K11" s="219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63" customHeight="1">
      <c r="A12" s="57" t="s">
        <v>14</v>
      </c>
      <c r="B12" s="58" t="s">
        <v>37</v>
      </c>
      <c r="C12" s="52">
        <f>D12*K12</f>
        <v>17879.272000000001</v>
      </c>
      <c r="D12" s="53">
        <v>0.2</v>
      </c>
      <c r="E12" s="54">
        <f>F12*K12</f>
        <v>26818.907999999999</v>
      </c>
      <c r="F12" s="53">
        <v>0.3</v>
      </c>
      <c r="G12" s="233">
        <f>H12*K12</f>
        <v>26818.907999999999</v>
      </c>
      <c r="H12" s="53">
        <v>0.3</v>
      </c>
      <c r="I12" s="233">
        <f>J12*K12</f>
        <v>17879.272000000001</v>
      </c>
      <c r="J12" s="53">
        <v>0.2</v>
      </c>
      <c r="K12" s="55">
        <f>'PLANILHA ORÇAMENTÁRIA'!I45</f>
        <v>89396.36</v>
      </c>
      <c r="L12" s="19">
        <f>C12+E12+G12+I12</f>
        <v>89396.36</v>
      </c>
      <c r="M12" s="19">
        <f>K12-L12</f>
        <v>0</v>
      </c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63" customHeight="1">
      <c r="A13" s="59"/>
      <c r="B13" s="49"/>
      <c r="C13" s="56"/>
      <c r="D13" s="56"/>
      <c r="E13" s="56"/>
      <c r="F13" s="56"/>
      <c r="G13" s="56"/>
      <c r="H13" s="56"/>
      <c r="I13" s="56"/>
      <c r="J13" s="56"/>
      <c r="K13" s="55">
        <f>SUM(K12:K12)</f>
        <v>89396.36</v>
      </c>
      <c r="L13" s="19"/>
      <c r="M13" s="19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63" customHeight="1">
      <c r="A14" s="230" t="s">
        <v>26</v>
      </c>
      <c r="B14" s="230"/>
      <c r="C14" s="231">
        <f>SUM(C12:C12)</f>
        <v>17879.272000000001</v>
      </c>
      <c r="D14" s="232"/>
      <c r="E14" s="231">
        <f>SUM(E12:E12)</f>
        <v>26818.907999999999</v>
      </c>
      <c r="F14" s="232"/>
      <c r="G14" s="231">
        <f t="shared" ref="G14:J14" si="0">SUM(G12:G12)</f>
        <v>26818.907999999999</v>
      </c>
      <c r="H14" s="232"/>
      <c r="I14" s="231">
        <f t="shared" ref="I14:J14" si="1">SUM(I12:I12)</f>
        <v>17879.272000000001</v>
      </c>
      <c r="J14" s="232"/>
      <c r="K14" s="220"/>
      <c r="L14" s="19"/>
      <c r="M14" s="19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63" customHeight="1">
      <c r="A15" s="223" t="s">
        <v>27</v>
      </c>
      <c r="B15" s="223"/>
      <c r="C15" s="224">
        <f>C14</f>
        <v>17879.272000000001</v>
      </c>
      <c r="D15" s="225"/>
      <c r="E15" s="224">
        <f>C15+E14</f>
        <v>44698.18</v>
      </c>
      <c r="F15" s="225"/>
      <c r="G15" s="224">
        <f t="shared" ref="G15" si="2">E15+G14</f>
        <v>71517.088000000003</v>
      </c>
      <c r="H15" s="225"/>
      <c r="I15" s="224">
        <f t="shared" ref="I15" si="3">G15+I14</f>
        <v>89396.36</v>
      </c>
      <c r="J15" s="225"/>
      <c r="K15" s="221"/>
      <c r="L15" s="19"/>
      <c r="M15" s="19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63" customHeight="1">
      <c r="A16" s="226" t="s">
        <v>28</v>
      </c>
      <c r="B16" s="226"/>
      <c r="C16" s="227">
        <f>C14/K13</f>
        <v>0.2</v>
      </c>
      <c r="D16" s="228"/>
      <c r="E16" s="227">
        <f>E14/$K$13</f>
        <v>0.3</v>
      </c>
      <c r="F16" s="228"/>
      <c r="G16" s="227">
        <f t="shared" ref="G16:J16" si="4">G14/$K$13</f>
        <v>0.3</v>
      </c>
      <c r="H16" s="228"/>
      <c r="I16" s="227">
        <f t="shared" ref="I16:J16" si="5">I14/$K$13</f>
        <v>0.2</v>
      </c>
      <c r="J16" s="228"/>
      <c r="K16" s="221"/>
      <c r="L16" s="19"/>
      <c r="M16" s="19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ht="63" customHeight="1">
      <c r="A17" s="229" t="s">
        <v>29</v>
      </c>
      <c r="B17" s="229"/>
      <c r="C17" s="227">
        <f>C16</f>
        <v>0.2</v>
      </c>
      <c r="D17" s="228"/>
      <c r="E17" s="227">
        <f>C17+E16</f>
        <v>0.5</v>
      </c>
      <c r="F17" s="228"/>
      <c r="G17" s="227">
        <f t="shared" ref="G17" si="6">E17+G16</f>
        <v>0.8</v>
      </c>
      <c r="H17" s="228"/>
      <c r="I17" s="227">
        <f t="shared" ref="I17" si="7">G17+I16</f>
        <v>1</v>
      </c>
      <c r="J17" s="228"/>
      <c r="K17" s="222"/>
      <c r="L17" s="19"/>
      <c r="M17" s="19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 ht="63" customHeight="1">
      <c r="L18" s="19"/>
      <c r="M18" s="19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 ht="63" customHeight="1">
      <c r="L19" s="19"/>
      <c r="M19" s="19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0" ht="63" customHeight="1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pans="1:30" ht="63" customHeight="1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pans="1:30" ht="63" customHeight="1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ht="63" customHeight="1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</sheetData>
  <mergeCells count="36">
    <mergeCell ref="I15:J15"/>
    <mergeCell ref="G16:H16"/>
    <mergeCell ref="I16:J16"/>
    <mergeCell ref="G17:H17"/>
    <mergeCell ref="I17:J17"/>
    <mergeCell ref="K14:K17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4:B14"/>
    <mergeCell ref="C14:D14"/>
    <mergeCell ref="E14:F14"/>
    <mergeCell ref="G14:H14"/>
    <mergeCell ref="I14:J14"/>
    <mergeCell ref="G15:H15"/>
    <mergeCell ref="A7:F7"/>
    <mergeCell ref="A9:K9"/>
    <mergeCell ref="A10:A11"/>
    <mergeCell ref="B10:B11"/>
    <mergeCell ref="C10:D10"/>
    <mergeCell ref="E10:F10"/>
    <mergeCell ref="K10:K11"/>
    <mergeCell ref="G10:H10"/>
    <mergeCell ref="I10:J10"/>
    <mergeCell ref="A6:F6"/>
    <mergeCell ref="A1:F1"/>
    <mergeCell ref="A2:F2"/>
    <mergeCell ref="A3:F3"/>
    <mergeCell ref="A4:F4"/>
    <mergeCell ref="A5:F5"/>
  </mergeCells>
  <phoneticPr fontId="25" type="noConversion"/>
  <printOptions horizontalCentered="1" verticalCentered="1"/>
  <pageMargins left="1.5748031496062993" right="0.78740157480314965" top="0.78740157480314965" bottom="0.78740157480314965" header="0.31496062992125984" footer="0.31496062992125984"/>
  <pageSetup paperSize="9" scale="32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MEMÓRIA ONERADA</vt:lpstr>
      <vt:lpstr>PLANILHA ORÇAMENTÁRIA</vt:lpstr>
      <vt:lpstr>CRONOGRAMA</vt:lpstr>
      <vt:lpstr>CRONOGRAMA!Area_de_impressao</vt:lpstr>
      <vt:lpstr>'MEMÓRIA ONERADA'!Area_de_impressao</vt:lpstr>
      <vt:lpstr>'PLANILHA ORÇAMENTÁRIA'!Area_de_impressao</vt:lpstr>
      <vt:lpstr>'MEMÓRIA ONERADA'!Titulos_de_impressao</vt:lpstr>
      <vt:lpstr>'PLANILHA ORÇAMENTÁRIA'!Titulos_de_impressao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Helia Carla de A. Calhau Ganem</dc:creator>
  <cp:lastModifiedBy>Alfredo Antonio Nicolau Macedo Cunha</cp:lastModifiedBy>
  <cp:lastPrinted>2024-04-04T14:32:05Z</cp:lastPrinted>
  <dcterms:created xsi:type="dcterms:W3CDTF">2021-11-11T16:53:32Z</dcterms:created>
  <dcterms:modified xsi:type="dcterms:W3CDTF">2024-04-04T14:32:07Z</dcterms:modified>
</cp:coreProperties>
</file>