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115" windowHeight="7215" activeTab="2"/>
  </bookViews>
  <sheets>
    <sheet name="MEMÓRIA DESONERADA" sheetId="1" r:id="rId1"/>
    <sheet name="RESUMIDA" sheetId="2" r:id="rId2"/>
    <sheet name=" PLANILHA DESONERADA" sheetId="3" r:id="rId3"/>
    <sheet name="Cronograma " sheetId="4" r:id="rId4"/>
  </sheets>
  <externalReferences>
    <externalReference r:id="rId7"/>
    <externalReference r:id="rId8"/>
    <externalReference r:id="rId9"/>
  </externalReference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3_1">#REF!*#REF!</definedName>
    <definedName name="__shared_1_4_0">#REF!*#REF!</definedName>
    <definedName name="__shared_1_5_0">#REF!*#REF!</definedName>
    <definedName name="__shared_2_0_0">#REF!*#REF!</definedName>
    <definedName name="__shared_3_0_0">SUM(#REF!)</definedName>
    <definedName name="EXTRACT" localSheetId="3">'Cronograma '!#REF!</definedName>
    <definedName name="_xlnm.Print_Area" localSheetId="2">' PLANILHA DESONERADA'!$A$1:$I$39</definedName>
    <definedName name="_xlnm.Print_Area" localSheetId="3">'Cronograma '!$A$1:$G$19</definedName>
    <definedName name="_xlnm.Print_Area" localSheetId="0">'MEMÓRIA DESONERADA'!$A$1:$G$188</definedName>
    <definedName name="_xlnm.Print_Area" localSheetId="1">'RESUMIDA'!$A$1:$G$39</definedName>
    <definedName name="BDI" localSheetId="2">#REF!</definedName>
    <definedName name="BDI" localSheetId="3">#REF!</definedName>
    <definedName name="BDI" localSheetId="0">#REF!</definedName>
    <definedName name="BDI" localSheetId="1">#REF!</definedName>
    <definedName name="BDI">#REF!</definedName>
    <definedName name="CRITERIA" localSheetId="3">'Cronograma '!#REF!</definedName>
    <definedName name="cronog">#REF!</definedName>
    <definedName name="MEM_A">#REF!</definedName>
    <definedName name="MEN_B">#REF!</definedName>
    <definedName name="OnerADO">#REF!</definedName>
    <definedName name="ORÇ_A">#REF!</definedName>
    <definedName name="ORÇ_B">#REF!</definedName>
    <definedName name="ORÇ_D">#REF!</definedName>
    <definedName name="orcb">#REF!</definedName>
    <definedName name="_xlnm.Print_Titles" localSheetId="2">' PLANILHA DESONERADA'!$1:$11</definedName>
    <definedName name="_xlnm.Print_Titles" localSheetId="3">'Cronograma '!$10:$12</definedName>
    <definedName name="_xlnm.Print_Titles" localSheetId="0">'MEMÓRIA DESONERADA'!$9:$11</definedName>
    <definedName name="_xlnm.Print_Titles" localSheetId="1">'RESUMIDA'!$9:$11</definedName>
  </definedNames>
  <calcPr fullCalcOnLoad="1"/>
</workbook>
</file>

<file path=xl/sharedStrings.xml><?xml version="1.0" encoding="utf-8"?>
<sst xmlns="http://schemas.openxmlformats.org/spreadsheetml/2006/main" count="701" uniqueCount="208">
  <si>
    <t>M3</t>
  </si>
  <si>
    <t>M</t>
  </si>
  <si>
    <t>KG</t>
  </si>
  <si>
    <t>H</t>
  </si>
  <si>
    <t>TOTAL</t>
  </si>
  <si>
    <t>1.1</t>
  </si>
  <si>
    <t>1.2</t>
  </si>
  <si>
    <t>1.3</t>
  </si>
  <si>
    <t>1.4</t>
  </si>
  <si>
    <t>1.5</t>
  </si>
  <si>
    <t>1.6</t>
  </si>
  <si>
    <t>UN</t>
  </si>
  <si>
    <t>1.0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</si>
  <si>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</si>
  <si>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</si>
  <si>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</si>
  <si>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</si>
  <si>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</si>
  <si>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CODIGO EMOP/ SINAPI</t>
  </si>
  <si>
    <t>DISCRIMINAÇÃO</t>
  </si>
  <si>
    <t>QUANT.</t>
  </si>
  <si>
    <t>PREÇOS (R$)</t>
  </si>
  <si>
    <t>UNIT</t>
  </si>
  <si>
    <t>ORÇAMENTO: Engº Alfredo A N M Cunha</t>
  </si>
  <si>
    <t>Orçamentista: Eng. Alfredo Antonio Nicolau M. Cunha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</si>
  <si>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</si>
  <si>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</si>
  <si>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</si>
  <si>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</si>
  <si>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</si>
  <si>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</si>
  <si>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</si>
  <si>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</si>
  <si>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</si>
  <si>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</si>
  <si>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</si>
  <si>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</si>
  <si>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</si>
  <si>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X</t>
  </si>
  <si>
    <t>1.7</t>
  </si>
  <si>
    <t>1.8</t>
  </si>
  <si>
    <t>TOTAL GERAL=</t>
  </si>
  <si>
    <t>APROVAÇÃO: Eng. Eros dos Santos</t>
  </si>
  <si>
    <t>ELETRODUTO DE PVC RIGIDO ROSCAVEL DE 1 ", SEM LUVA</t>
  </si>
  <si>
    <t>ELETRICISTA COM ENCARGOS COMPLEMENTARES</t>
  </si>
  <si>
    <t>UNIT COM BDI</t>
  </si>
  <si>
    <r>
      <t>Secretaria Municipal de Planejamento Urbano</t>
    </r>
    <r>
      <rPr>
        <sz val="20"/>
        <rFont val="Arial"/>
        <family val="2"/>
      </rPr>
      <t xml:space="preserve"> </t>
    </r>
  </si>
  <si>
    <t>AUXILIAR DE ELETRICISTA COM ENCARGOS COMPLEMENTARES</t>
  </si>
  <si>
    <t>TERMINAL A COMPRESSAO EM COBRE ESTANHADO PARA CABO 6 MM2, 1 FURO E 1 COMPRESSAO, PARA PARAFUSO DE FIXACAO M6</t>
  </si>
  <si>
    <t>DISJUNTOR TIPO DIN/IEC, BIPOLAR DE 6 ATE 32A</t>
  </si>
  <si>
    <t>TERMINAL A COMPRESSAO EM COBRE ESTANHADO PARA CABO 2,5 MM2, 1 FURO E 1 COMPRESSAO, PARA PARAFUSO DE FIXACAO M5</t>
  </si>
  <si>
    <t>TERMINAL A COMPRESSAO EM COBRE ESTANHADO PARA CABO 4 MM2, 1 FURO E 1 COMPRESSAO, PARA PARAFUSO DE FIXACAO M5</t>
  </si>
  <si>
    <t>DISJUNTOR TIPO DIN/IEC, TRIPOLAR DE 10 ATE 50A</t>
  </si>
  <si>
    <t>PROJETO: Arqtº Abimar</t>
  </si>
  <si>
    <t>LEVANTAMENTO:  Arqtº Abimar</t>
  </si>
  <si>
    <t>QUADRO DE DISTRIBUICAO COM BARRAMENTO TRIFASICO, DE SOBREPOR, EM CHAPA DE ACO GALVANIZADO, PARA 18 DISJUNTORES DIN, 100 A</t>
  </si>
  <si>
    <t>ELETRODUTO RÍGIDO ROSCÁVEL, PVC, DN 32 MM (1"), PARA CIRCUITOS TERMINAIS, INSTALADO EM LAJE - FORNECIMENTO E INSTALAÇÃO. AF_12/2015</t>
  </si>
  <si>
    <t>CABO DE COBRE FLEXÍVEL ISOLADO, 2,5 MM², ANTI-CHAMA 450/750 V, PARA CIRCUITOS TERMINAIS - FORNECIMENTO E INSTALAÇÃO. AF_12/2015</t>
  </si>
  <si>
    <t>FITA ISOLANTE ADESIVA ANTICHAMA, USO ATE 750 V, EM ROLO DE 19 MM X 5 M</t>
  </si>
  <si>
    <t>CABO DE COBRE, FLEXIVEL, CLASSE 4 OU 5, ISOLACAO EM PVC/A, ANTICHAMA BWF-B, 1 CONDUTOR, 450/750 V, SECAO NOMINAL 2,5 MM2</t>
  </si>
  <si>
    <t>CABO DE COBRE FLEXÍVEL ISOLADO, 4 MM², ANTI-CHAMA 450/750 V, PARA CIRCUITOS TERMINAIS - FORNECIMENTO E INSTALAÇÃO. AF_12/2015</t>
  </si>
  <si>
    <t>CABO DE COBRE, FLEXIVEL, CLASSE 4 OU 5, ISOLACAO EM PVC/A, ANTICHAMA BWF-B, 1 CONDUTOR, 450/750 V, SECAO NOMINAL 4 MM2</t>
  </si>
  <si>
    <t>CABO DE COBRE FLEXÍVEL ISOLADO, 6 MM², ANTI-CHAMA 450/750 V, PARA CIRCUITOS TERMINAIS - FORNECIMENTO E INSTALAÇÃO. AF_12/2015</t>
  </si>
  <si>
    <t>CABO DE COBRE, FLEXIVEL, CLASSE 4 OU 5, ISOLACAO EM PVC/A, ANTICHAMA BWF-B, 1 CONDUTOR, 450/750 V, SECAO NOMINAL 6 MM2</t>
  </si>
  <si>
    <t>Serviço : Rede Elétrica para condensadoras de Ar Condicionado localizados na Marquise do CAMPLA.</t>
  </si>
  <si>
    <t>Local: CAMPLA</t>
  </si>
  <si>
    <t>DATA: 24-06-2021</t>
  </si>
  <si>
    <t>15.018.0551-0</t>
  </si>
  <si>
    <t>ELETROCALHA LISA,COM TAMPA,TIPO "U",150X50MM,TRATAMENTO SUPERFICIAL PRE-ZINCADO A QUENTE,INCLUSIVE CONEXOES,ACESSORIOS E FIXACAO SUPERIOR.FORNECIMENTO E COLOCACAO (OBS.:3%-DESGASTE DE FERRAMENTAS E EPI 20%-CONEXOES).</t>
  </si>
  <si>
    <t>13886</t>
  </si>
  <si>
    <t>TAMPA DE ENCAIXE PARA ELETROCALHA PERFURADA OU LISA, 150X3000MM</t>
  </si>
  <si>
    <t>13875</t>
  </si>
  <si>
    <t>SUPORTE SUSPENSAO OMEGA P/ELETROCALHA PERFURADA OU LISA 150X50MM (LARGURA X ABA)</t>
  </si>
  <si>
    <t>11963</t>
  </si>
  <si>
    <t>ELETROCALHA LISA, SEM VIROLA, MED. (150X50X3000)MM, PRE-ZINCADA, SEM TAMPA</t>
  </si>
  <si>
    <t>07641</t>
  </si>
  <si>
    <t>ARRUELA LISA DE DIAMETRO INTERNO, DE 1/4"</t>
  </si>
  <si>
    <t>07639</t>
  </si>
  <si>
    <t>PROLONGADOR PARA TIRANTE ROSQUEADO, DE 1/4"</t>
  </si>
  <si>
    <t>07637</t>
  </si>
  <si>
    <t>TIRANTE ROSQUEADO, DE 1/4"X3000MM</t>
  </si>
  <si>
    <t>05568</t>
  </si>
  <si>
    <t>PORCA ALTA, DE 1/4"</t>
  </si>
  <si>
    <t>05565</t>
  </si>
  <si>
    <t>PINO COM ROSCA, EM CAIXAS COM 100 PECAS,NO DIAMETRO DE 1/4", DE (30X20)MM</t>
  </si>
  <si>
    <t>01999</t>
  </si>
  <si>
    <t>MAO-DE-OBRA DE SERVENTE DA CONSTRUCAO CIVIL, INCLUSIVE ENCARGOS SOCIAIS</t>
  </si>
  <si>
    <t>01983</t>
  </si>
  <si>
    <t>MAO-DE-OBRA DE ELETRICISTA DE CONSTRUCAOCIVIL, INCLUSIVE ENCARGOS SOCIAIS</t>
  </si>
  <si>
    <t>So00000093661</t>
  </si>
  <si>
    <t>DISJUNTOR BIPOLAR TIPO DIN, CORRENTE NOMINAL DE 16A - FORNECIMENTO E INSTALAÇÃO. AF_10/2020</t>
  </si>
  <si>
    <t>So0034616</t>
  </si>
  <si>
    <t>So0001570</t>
  </si>
  <si>
    <t>So00000088264</t>
  </si>
  <si>
    <t>So00000088247</t>
  </si>
  <si>
    <t>So00000093662</t>
  </si>
  <si>
    <t>So00000093663</t>
  </si>
  <si>
    <t>So00000093664</t>
  </si>
  <si>
    <t>So00000093671</t>
  </si>
  <si>
    <t>So00000092992</t>
  </si>
  <si>
    <t>So00000092985</t>
  </si>
  <si>
    <t>So00000092981</t>
  </si>
  <si>
    <t>So00000091930</t>
  </si>
  <si>
    <t>So00000091928</t>
  </si>
  <si>
    <t>So00000091926</t>
  </si>
  <si>
    <t>So00000093009</t>
  </si>
  <si>
    <t>So00000093008</t>
  </si>
  <si>
    <t>So00000091869</t>
  </si>
  <si>
    <t>So00000091868</t>
  </si>
  <si>
    <t>So00000091867</t>
  </si>
  <si>
    <t>DISJUNTOR BIPOLAR TIPO DIN, CORRENTE NOMINAL DE 20A - FORNECIMENTO E INSTALAÇÃO. AF_10/2020</t>
  </si>
  <si>
    <t>So0001571</t>
  </si>
  <si>
    <t>DISJUNTOR BIPOLAR TIPO DIN, CORRENTE NOMINAL DE 25A - FORNECIMENTO E INSTALAÇÃO. AF_10/2020</t>
  </si>
  <si>
    <t>DISJUNTOR BIPOLAR TIPO DIN, CORRENTE NOMINAL DE 32A - FORNECIMENTO E INSTALAÇÃO. AF_10/2020</t>
  </si>
  <si>
    <t>So0001573</t>
  </si>
  <si>
    <t>DISJUNTOR TRIPOLAR TIPO DIN, CORRENTE NOMINAL DE 32A - FORNECIMENTO E INSTALAÇÃO. AF_10/2020</t>
  </si>
  <si>
    <t>So0034709</t>
  </si>
  <si>
    <t>15.007.0601-0</t>
  </si>
  <si>
    <t>15.007.0609-0</t>
  </si>
  <si>
    <t>21.015.0230-0</t>
  </si>
  <si>
    <t>15.009.0143-0</t>
  </si>
  <si>
    <t>15.018.0270-0</t>
  </si>
  <si>
    <t>15.018.0260-0</t>
  </si>
  <si>
    <t>15.018.0250-0</t>
  </si>
  <si>
    <t>DISJUNTOR TERMOMAGNETICO TRIPOLAR,DE 40 A 63A,3KA,MODELO DIN,TIPO C.FORNECIMENTO E COLOCACAO (OBS.:3% - DESGASTE DE FERRAMENTAS E EPI).</t>
  </si>
  <si>
    <t>11656</t>
  </si>
  <si>
    <t>DISJUNTOR, TRIPOLAR, DE 40 A 63A, 3KA, MODELO DIN, TIPO C</t>
  </si>
  <si>
    <t>DISJUNTOR TERMOMAGNETICO,TRIPOLAR,DE 180 A 225A,50KA,MODELO CAIXA MOLDADA,TIPO C.FORNECIMENTO E COLOCACAO (OBS.:3%-DESGASTE DE FERRAMENTAS E EPI).</t>
  </si>
  <si>
    <t>02431</t>
  </si>
  <si>
    <t>DISJUNTOR, TRIPOLAR, 180A A 225A, 50KA,MODELO CAIXA MOLDADA, TIPO C</t>
  </si>
  <si>
    <t>HASTE PARA ATERRAMENTO,DE 5/8"(16MM),COM 2,40M DE COMPRIMENTO.FORNECIMENTO</t>
  </si>
  <si>
    <t>11798</t>
  </si>
  <si>
    <t>HASTE PARA ATERRAMENTO, DE COBRE,NO DIAMETRO DE 5/8"(16MM) E COM COMPRIMENTO DE2,40M</t>
  </si>
  <si>
    <t>CABO SOLIDO DE COBRE ELETROLITICO NU,TEMPERA MOLE,CLASSE 2,SECAO CIRCULAR DE 50MM2.FORNECIMENTO E COLOCACAO (OBS.:3%-DESGASTE DE FERRAMENTAS E EPI).</t>
  </si>
  <si>
    <t>00289</t>
  </si>
  <si>
    <t>CABO SOLIDO DE COBRE ELETROLITICO NU, TEMPERA MOLE, CLASSE 2, SECAO CIRCULAR DE10,0 A 500,0MM2</t>
  </si>
  <si>
    <t>CAIXA DE PASSAGEM DE SOBREPOR,EM ACO,COM TAMPA PARAFUSADA,DE 30X30CM.FORNECIMENTO E COLOCACAO (OBS.:3%-DESGASTE DE FERRAMENTAS E EPI).</t>
  </si>
  <si>
    <t>07773</t>
  </si>
  <si>
    <t>CAIXA DE PASSAGEM DE SOBREPOR, EM CHAPADE ACO, DE (30X30)CM, COM TAMPA</t>
  </si>
  <si>
    <t>CAIXA DE PASSAGEM DE SOBREPOR,EM ACO,COM TAMPA PARAFUSADA,DE 20X20CM.FORNECIMENTO E COLOCACAO (OBS.:3%-DESGASTE DE FERRAMENTAS E EPI).</t>
  </si>
  <si>
    <t>07771</t>
  </si>
  <si>
    <t>CAIXA DE PASSAGEM DE SOBREPOR, EM CHAPADE ACO, DE (20X20), COM TAMPA</t>
  </si>
  <si>
    <t>CAIXA DE PASSAGEM DE SOBREPOR,EM ACO,COM TAMPA PARAFUSADA,DE 12X12CM.FORNECIMENTO E COLOCACAO (OBS.:3%-DESGASTE DE FERRAMENTAS E EPI).</t>
  </si>
  <si>
    <t>07769</t>
  </si>
  <si>
    <t>CAIXA DE PASSAGEM DE SOBREPOR, EM CHAPADE ACO, DE (12X12)CM, COM TAMPA</t>
  </si>
  <si>
    <t>15.045.0120-0</t>
  </si>
  <si>
    <t>ABERTURA E FECHAMENTO MANUAL DE RASGO EM ALVENARIA,PARA PASSAGEM DE TUBOS E DUTOS,COM DIAMETRO DE 2.1/2" A 4" (OBS.:3%-DESGASTE DE FERRAMENTAS E EPI).</t>
  </si>
  <si>
    <t>01968</t>
  </si>
  <si>
    <t>MAO-DE-OBRA DE PEDREIRO, INCLUSIVE ENCARGOS SOCIAIS</t>
  </si>
  <si>
    <t>01605</t>
  </si>
  <si>
    <t>07.002.0025-1 ARGAMASSA CIM.,AREIA TRACO 1:3,PREPAROMECANICO</t>
  </si>
  <si>
    <t>So00000101878</t>
  </si>
  <si>
    <t>QUADRO DE DISTRIBUIÇÃO DE ENERGIA EM CHAPA DE AÇO GALVANIZADO, DE SOBREPOR, COM BARRAMENTO TRIFÁSICO, PARA 18 DISJUNTORES DIN 100A - FORNECIMENTO E INSTALAÇÃO. AF_10/2020</t>
  </si>
  <si>
    <t>So0012038</t>
  </si>
  <si>
    <t>CABO DE COBRE FLEXÍVEL ISOLADO, 95 MM², ANTI-CHAMA 0,6/1,0 KV, PARA DISTRIBUIÇÃO - FORNECIMENTO E INSTALAÇÃO. AF_12/2015</t>
  </si>
  <si>
    <t>So0021127</t>
  </si>
  <si>
    <t>So0000998</t>
  </si>
  <si>
    <t>CABO DE COBRE, FLEXIVEL, CLASSE 4 OU 5, ISOLACAO EM PVC/A, ANTICHAMA BWF-B, COBERTURA PVC-ST1, ANTICHAMA BWF-B, 1 CONDUTOR, 0,6/1 KV, SECAO NOMINAL 95 MM2</t>
  </si>
  <si>
    <t>CABO DE COBRE FLEXÍVEL ISOLADO, 35 MM², ANTI-CHAMA 450/750 V, PARA DISTRIBUIÇÃO - FORNECIMENTO E INSTALAÇÃO. AF_12/2015</t>
  </si>
  <si>
    <t>So0039233</t>
  </si>
  <si>
    <t>CABO DE COBRE, FLEXIVEL, CLASSE 4 OU 5, ISOLACAO EM PVC/A, ANTICHAMA BWF-B, 1 CONDUTOR, 450/750 V, SECAO NOMINAL 35 MM2</t>
  </si>
  <si>
    <t>CABO DE COBRE FLEXÍVEL ISOLADO, 16 MM², ANTI-CHAMA 450/750 V, PARA DISTRIBUIÇÃO - FORNECIMENTO E INSTALAÇÃO. AF_12/2015</t>
  </si>
  <si>
    <t>So0000979</t>
  </si>
  <si>
    <t>CABO DE COBRE, FLEXIVEL, CLASSE 4 OU 5, ISOLACAO EM PVC/A, ANTICHAMA BWF-B, 1 CONDUTOR, 450/750 V, SECAO NOMINAL 16 MM2</t>
  </si>
  <si>
    <t>So0000982</t>
  </si>
  <si>
    <t>So0000981</t>
  </si>
  <si>
    <t>So0001014</t>
  </si>
  <si>
    <t>ELETRODUTO RÍGIDO ROSCÁVEL, PVC, DN 60 MM (2") - FORNECIMENTO E INSTALAÇÃO. AF_12/2015</t>
  </si>
  <si>
    <t>So0002681</t>
  </si>
  <si>
    <t>ELETRODUTO DE PVC RIGIDO ROSCAVEL DE 2 ", SEM LUVA</t>
  </si>
  <si>
    <t>ELETRODUTO RÍGIDO ROSCÁVEL, PVC, DN 50 MM (1 1/2") - FORNECIMENTO E INSTALAÇÃO. AF_12/2015</t>
  </si>
  <si>
    <t>So0002680</t>
  </si>
  <si>
    <t>ELETRODUTO DE PVC RIGIDO ROSCAVEL DE 1 1/2 ", SEM LUVA</t>
  </si>
  <si>
    <t>ELETRODUTO RÍGIDO ROSCÁVEL, PVC, DN 40 MM (1 1/4"), PARA CIRCUITOS TERMINAIS, INSTALADO EM LAJE - FORNECIMENTO E INSTALAÇÃO. AF_12/2015</t>
  </si>
  <si>
    <t>So0043132</t>
  </si>
  <si>
    <t>ARAME RECOZIDO 16 BWG, D = 1,65 MM (0,016 KG/M) OU 18 BWG, D = 1,25 MM (0,01 KG/M)</t>
  </si>
  <si>
    <t>So0002684</t>
  </si>
  <si>
    <t>ELETRODUTO DE PVC RIGIDO ROSCAVEL DE 1 1/4 ", SEM LUVA</t>
  </si>
  <si>
    <t>So0002685</t>
  </si>
  <si>
    <t>ELETRODUTO RÍGIDO ROSCÁVEL, PVC, DN 25 MM (3/4"), PARA CIRCUITOS TERMINAIS, INSTALADO EM LAJE - FORNECIMENTO E INSTALAÇÃO. AF_12/2015</t>
  </si>
  <si>
    <t>So0002674</t>
  </si>
  <si>
    <t>ELETRODUTO DE PVC RIGIDO ROSCAVEL DE 3/4 ", SEM LUVA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</si>
  <si>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</si>
  <si>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</si>
  <si>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</si>
  <si>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</si>
  <si>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</si>
  <si>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</si>
  <si>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</si>
  <si>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</si>
  <si>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</si>
  <si>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</si>
  <si>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</si>
  <si>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</si>
  <si>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</si>
  <si>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</si>
  <si>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</si>
  <si>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</si>
  <si>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</si>
  <si>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</si>
  <si>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r>
      <t>Data-Base:   EMOP -  RJ / SINAPI e SCO-RJ-</t>
    </r>
    <r>
      <rPr>
        <b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ABRIL-2021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</si>
  <si>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ABRIL-2021</t>
    </r>
  </si>
  <si>
    <t>MEMÓRIA DE CÁLCULO RESUMIDA</t>
  </si>
  <si>
    <t>Local:   CAMPLA</t>
  </si>
  <si>
    <t>Data-Base:   EMOP -  RJ / SINAPI e SCO-RJ- Onerado - Base ABRIL-2021</t>
  </si>
  <si>
    <t xml:space="preserve">SERVIÇOS </t>
  </si>
  <si>
    <t>ORÇAMENTO Nº 017-21</t>
  </si>
  <si>
    <t>PLANILHA ORÇAMENTÁRIA - CONSIDERADO BDI = 22,47%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</si>
</sst>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mmm/yyyy"/>
    <numFmt numFmtId="194" formatCode="&quot;R$&quot;\ #,##0.00"/>
    <numFmt numFmtId="195" formatCode="General\ "/>
    <numFmt numFmtId="196" formatCode="dd/mm/yy;@"/>
    <numFmt numFmtId="197" formatCode="&quot;R$ &quot;#,##0.00"/>
    <numFmt numFmtId="198" formatCode="0.000%"/>
    <numFmt numFmtId="199" formatCode="_ * #,##0.00_ ;_ * \-#,##0.00_ ;_ * &quot;-&quot;??_ ;_ @_ "/>
    <numFmt numFmtId="200" formatCode="#,#00"/>
    <numFmt numFmtId="201" formatCode="&quot;R$ &quot;#,##0.00;[Red]&quot;R$ &quot;#,##0.00"/>
    <numFmt numFmtId="202" formatCode="&quot;R$&quot;\ #,##0.000"/>
    <numFmt numFmtId="203" formatCode="&quot; R$ &quot;* #,##0.00\ ;&quot; R$ &quot;* \(#,##0.00\);&quot; R$ &quot;* \-#\ ;@\ "/>
    <numFmt numFmtId="204" formatCode="%#,#00"/>
    <numFmt numFmtId="205" formatCode="#.#####"/>
    <numFmt numFmtId="206" formatCode="#,"/>
    <numFmt numFmtId="20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"/>
      <color indexed="8"/>
      <name val="Courier New"/>
      <family val="3"/>
    </font>
    <font>
      <sz val="12"/>
      <name val="Courier New"/>
      <family val="3"/>
    </font>
    <font>
      <b/>
      <sz val="1"/>
      <color indexed="8"/>
      <name val="Courier New"/>
      <family val="3"/>
    </font>
    <font>
      <sz val="24"/>
      <name val="Switzerland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19" fillId="0" borderId="0">
      <alignment/>
      <protection locked="0"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0" fontId="19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20" fillId="0" borderId="0">
      <alignment/>
      <protection/>
    </xf>
    <xf numFmtId="203" fontId="2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204" fontId="19" fillId="0" borderId="0">
      <alignment/>
      <protection locked="0"/>
    </xf>
    <xf numFmtId="205" fontId="19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200" fontId="2" fillId="0" borderId="0" applyFill="0" applyBorder="0" applyAlignment="0" applyProtection="0"/>
    <xf numFmtId="194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6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206" fontId="21" fillId="0" borderId="0">
      <alignment/>
      <protection locked="0"/>
    </xf>
    <xf numFmtId="206" fontId="21" fillId="0" borderId="0">
      <alignment/>
      <protection locked="0"/>
    </xf>
    <xf numFmtId="0" fontId="63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4" fillId="33" borderId="11" xfId="87" applyNumberFormat="1" applyFont="1" applyFill="1" applyBorder="1" applyAlignment="1">
      <alignment horizontal="center"/>
      <protection/>
    </xf>
    <xf numFmtId="49" fontId="64" fillId="33" borderId="12" xfId="73" applyNumberFormat="1" applyFont="1" applyFill="1" applyBorder="1">
      <alignment/>
      <protection/>
    </xf>
    <xf numFmtId="4" fontId="64" fillId="33" borderId="12" xfId="73" applyNumberFormat="1" applyFont="1" applyFill="1" applyBorder="1" applyAlignment="1">
      <alignment horizontal="left" readingOrder="1"/>
      <protection/>
    </xf>
    <xf numFmtId="4" fontId="64" fillId="33" borderId="11" xfId="88" applyNumberFormat="1" applyFont="1" applyFill="1" applyBorder="1" applyAlignment="1">
      <alignment horizontal="left" vertical="center"/>
      <protection/>
    </xf>
    <xf numFmtId="4" fontId="64" fillId="33" borderId="12" xfId="0" applyNumberFormat="1" applyFont="1" applyFill="1" applyBorder="1" applyAlignment="1">
      <alignment horizontal="left"/>
    </xf>
    <xf numFmtId="4" fontId="64" fillId="33" borderId="12" xfId="87" applyNumberFormat="1" applyFont="1" applyFill="1" applyBorder="1" applyAlignment="1">
      <alignment horizontal="left"/>
      <protection/>
    </xf>
    <xf numFmtId="49" fontId="64" fillId="33" borderId="13" xfId="87" applyNumberFormat="1" applyFont="1" applyFill="1" applyBorder="1" applyAlignment="1">
      <alignment horizontal="center"/>
      <protection/>
    </xf>
    <xf numFmtId="49" fontId="64" fillId="33" borderId="0" xfId="73" applyNumberFormat="1" applyFont="1" applyFill="1" applyBorder="1">
      <alignment/>
      <protection/>
    </xf>
    <xf numFmtId="4" fontId="64" fillId="33" borderId="0" xfId="73" applyNumberFormat="1" applyFont="1" applyFill="1" applyBorder="1" applyAlignment="1">
      <alignment horizontal="left" readingOrder="1"/>
      <protection/>
    </xf>
    <xf numFmtId="4" fontId="64" fillId="33" borderId="13" xfId="88" applyNumberFormat="1" applyFont="1" applyFill="1" applyBorder="1" applyAlignment="1">
      <alignment horizontal="left" vertical="center"/>
      <protection/>
    </xf>
    <xf numFmtId="4" fontId="64" fillId="33" borderId="0" xfId="87" applyNumberFormat="1" applyFont="1" applyFill="1" applyBorder="1" applyAlignment="1">
      <alignment horizontal="left"/>
      <protection/>
    </xf>
    <xf numFmtId="4" fontId="64" fillId="33" borderId="0" xfId="73" applyNumberFormat="1" applyFont="1" applyFill="1" applyBorder="1" applyAlignment="1">
      <alignment horizontal="left"/>
      <protection/>
    </xf>
    <xf numFmtId="4" fontId="65" fillId="33" borderId="0" xfId="73" applyNumberFormat="1" applyFont="1" applyFill="1" applyBorder="1" applyAlignment="1">
      <alignment vertical="center" wrapText="1" readingOrder="1"/>
      <protection/>
    </xf>
    <xf numFmtId="4" fontId="65" fillId="33" borderId="0" xfId="73" applyNumberFormat="1" applyFont="1" applyFill="1" applyBorder="1">
      <alignment/>
      <protection/>
    </xf>
    <xf numFmtId="49" fontId="64" fillId="33" borderId="14" xfId="87" applyNumberFormat="1" applyFont="1" applyFill="1" applyBorder="1" applyAlignment="1">
      <alignment horizontal="center"/>
      <protection/>
    </xf>
    <xf numFmtId="49" fontId="64" fillId="33" borderId="15" xfId="88" applyNumberFormat="1" applyFont="1" applyFill="1" applyBorder="1" applyAlignment="1">
      <alignment horizontal="center"/>
      <protection/>
    </xf>
    <xf numFmtId="4" fontId="65" fillId="33" borderId="15" xfId="88" applyNumberFormat="1" applyFont="1" applyFill="1" applyBorder="1" applyAlignment="1">
      <alignment/>
      <protection/>
    </xf>
    <xf numFmtId="0" fontId="6" fillId="0" borderId="1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3" fillId="0" borderId="17" xfId="84" applyFont="1" applyBorder="1">
      <alignment/>
      <protection/>
    </xf>
    <xf numFmtId="0" fontId="3" fillId="0" borderId="0" xfId="84" applyFont="1">
      <alignment/>
      <protection/>
    </xf>
    <xf numFmtId="0" fontId="7" fillId="0" borderId="0" xfId="84">
      <alignment/>
      <protection/>
    </xf>
    <xf numFmtId="0" fontId="3" fillId="0" borderId="18" xfId="84" applyFont="1" applyBorder="1">
      <alignment/>
      <protection/>
    </xf>
    <xf numFmtId="0" fontId="3" fillId="0" borderId="19" xfId="84" applyFont="1" applyBorder="1">
      <alignment/>
      <protection/>
    </xf>
    <xf numFmtId="0" fontId="10" fillId="0" borderId="20" xfId="84" applyFont="1" applyBorder="1" applyAlignment="1">
      <alignment horizontal="center"/>
      <protection/>
    </xf>
    <xf numFmtId="0" fontId="7" fillId="0" borderId="0" xfId="84" applyBorder="1">
      <alignment/>
      <protection/>
    </xf>
    <xf numFmtId="0" fontId="10" fillId="0" borderId="16" xfId="84" applyFont="1" applyBorder="1" applyAlignment="1">
      <alignment horizontal="center"/>
      <protection/>
    </xf>
    <xf numFmtId="0" fontId="10" fillId="0" borderId="17" xfId="84" applyFont="1" applyBorder="1" applyAlignment="1">
      <alignment horizontal="center"/>
      <protection/>
    </xf>
    <xf numFmtId="0" fontId="8" fillId="0" borderId="0" xfId="84" applyFont="1">
      <alignment/>
      <protection/>
    </xf>
    <xf numFmtId="0" fontId="9" fillId="0" borderId="20" xfId="87" applyFont="1" applyFill="1" applyBorder="1" applyAlignment="1">
      <alignment vertical="top"/>
      <protection/>
    </xf>
    <xf numFmtId="0" fontId="8" fillId="0" borderId="20" xfId="87" applyFont="1" applyFill="1" applyBorder="1" applyAlignment="1">
      <alignment horizontal="left" vertical="top"/>
      <protection/>
    </xf>
    <xf numFmtId="4" fontId="9" fillId="0" borderId="20" xfId="70" applyNumberFormat="1" applyFont="1" applyFill="1" applyBorder="1" applyAlignment="1">
      <alignment horizontal="right"/>
      <protection/>
    </xf>
    <xf numFmtId="39" fontId="8" fillId="0" borderId="0" xfId="84" applyNumberFormat="1" applyFont="1">
      <alignment/>
      <protection/>
    </xf>
    <xf numFmtId="4" fontId="9" fillId="0" borderId="20" xfId="70" applyNumberFormat="1" applyFont="1" applyBorder="1">
      <alignment/>
      <protection/>
    </xf>
    <xf numFmtId="4" fontId="8" fillId="34" borderId="16" xfId="70" applyNumberFormat="1" applyFont="1" applyFill="1" applyBorder="1">
      <alignment/>
      <protection/>
    </xf>
    <xf numFmtId="0" fontId="8" fillId="34" borderId="21" xfId="70" applyFont="1" applyFill="1" applyBorder="1">
      <alignment/>
      <protection/>
    </xf>
    <xf numFmtId="172" fontId="9" fillId="34" borderId="21" xfId="96" applyNumberFormat="1" applyFont="1" applyFill="1" applyBorder="1" applyAlignment="1">
      <alignment horizontal="center"/>
    </xf>
    <xf numFmtId="0" fontId="8" fillId="34" borderId="22" xfId="84" applyFont="1" applyFill="1" applyBorder="1">
      <alignment/>
      <protection/>
    </xf>
    <xf numFmtId="0" fontId="13" fillId="0" borderId="0" xfId="84" applyFont="1">
      <alignment/>
      <protection/>
    </xf>
    <xf numFmtId="0" fontId="8" fillId="0" borderId="0" xfId="84" applyFont="1" applyBorder="1">
      <alignment/>
      <protection/>
    </xf>
    <xf numFmtId="4" fontId="8" fillId="0" borderId="0" xfId="84" applyNumberFormat="1" applyFont="1">
      <alignment/>
      <protection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justify" vertical="justify" wrapText="1"/>
    </xf>
    <xf numFmtId="0" fontId="63" fillId="0" borderId="0" xfId="0" applyFont="1" applyAlignment="1">
      <alignment/>
    </xf>
    <xf numFmtId="4" fontId="65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4" fontId="6" fillId="33" borderId="20" xfId="70" applyNumberFormat="1" applyFont="1" applyFill="1" applyBorder="1" applyAlignment="1">
      <alignment horizontal="right"/>
      <protection/>
    </xf>
    <xf numFmtId="4" fontId="5" fillId="33" borderId="0" xfId="70" applyNumberFormat="1" applyFont="1" applyFill="1" applyBorder="1" applyAlignment="1">
      <alignment horizontal="right"/>
      <protection/>
    </xf>
    <xf numFmtId="4" fontId="5" fillId="33" borderId="0" xfId="73" applyNumberFormat="1" applyFont="1" applyFill="1" applyBorder="1" applyAlignment="1">
      <alignment vertical="center" wrapText="1" readingOrder="1"/>
      <protection/>
    </xf>
    <xf numFmtId="4" fontId="6" fillId="33" borderId="0" xfId="88" applyNumberFormat="1" applyFont="1" applyFill="1" applyBorder="1" applyAlignment="1">
      <alignment horizontal="left"/>
      <protection/>
    </xf>
    <xf numFmtId="0" fontId="5" fillId="33" borderId="20" xfId="0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42" fillId="33" borderId="0" xfId="0" applyFont="1" applyFill="1" applyAlignment="1">
      <alignment horizontal="right"/>
    </xf>
    <xf numFmtId="194" fontId="5" fillId="33" borderId="20" xfId="0" applyNumberFormat="1" applyFont="1" applyFill="1" applyBorder="1" applyAlignment="1">
      <alignment/>
    </xf>
    <xf numFmtId="194" fontId="5" fillId="33" borderId="20" xfId="70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/>
    </xf>
    <xf numFmtId="0" fontId="9" fillId="35" borderId="23" xfId="85" applyFont="1" applyFill="1" applyBorder="1" applyAlignment="1">
      <alignment vertical="top"/>
      <protection/>
    </xf>
    <xf numFmtId="39" fontId="8" fillId="35" borderId="23" xfId="84" applyNumberFormat="1" applyFont="1" applyFill="1" applyBorder="1" applyAlignment="1">
      <alignment/>
      <protection/>
    </xf>
    <xf numFmtId="0" fontId="11" fillId="35" borderId="20" xfId="87" applyFont="1" applyFill="1" applyBorder="1" applyAlignment="1">
      <alignment vertical="top"/>
      <protection/>
    </xf>
    <xf numFmtId="0" fontId="11" fillId="35" borderId="20" xfId="87" applyFont="1" applyFill="1" applyBorder="1" applyAlignment="1">
      <alignment horizontal="left" vertical="top"/>
      <protection/>
    </xf>
    <xf numFmtId="10" fontId="12" fillId="35" borderId="20" xfId="96" applyNumberFormat="1" applyFont="1" applyFill="1" applyBorder="1" applyAlignment="1" quotePrefix="1">
      <alignment/>
    </xf>
    <xf numFmtId="39" fontId="12" fillId="35" borderId="20" xfId="84" applyNumberFormat="1" applyFont="1" applyFill="1" applyBorder="1" applyAlignment="1">
      <alignment/>
      <protection/>
    </xf>
    <xf numFmtId="4" fontId="22" fillId="0" borderId="0" xfId="84" applyNumberFormat="1" applyFont="1">
      <alignment/>
      <protection/>
    </xf>
    <xf numFmtId="0" fontId="65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justify" vertical="justify" wrapText="1"/>
    </xf>
    <xf numFmtId="0" fontId="64" fillId="33" borderId="20" xfId="0" applyFont="1" applyFill="1" applyBorder="1" applyAlignment="1">
      <alignment/>
    </xf>
    <xf numFmtId="4" fontId="4" fillId="33" borderId="20" xfId="70" applyNumberFormat="1" applyFont="1" applyFill="1" applyBorder="1" applyAlignment="1">
      <alignment horizontal="right"/>
      <protection/>
    </xf>
    <xf numFmtId="0" fontId="6" fillId="33" borderId="20" xfId="0" applyFont="1" applyFill="1" applyBorder="1" applyAlignment="1">
      <alignment/>
    </xf>
    <xf numFmtId="0" fontId="3" fillId="33" borderId="0" xfId="0" applyFont="1" applyFill="1" applyAlignment="1">
      <alignment/>
    </xf>
    <xf numFmtId="2" fontId="5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94" fontId="4" fillId="33" borderId="20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justify" vertical="justify" wrapText="1"/>
    </xf>
    <xf numFmtId="4" fontId="4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justify" vertical="justify" wrapText="1"/>
    </xf>
    <xf numFmtId="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justify" vertical="justify" wrapText="1"/>
    </xf>
    <xf numFmtId="4" fontId="41" fillId="33" borderId="0" xfId="0" applyNumberFormat="1" applyFont="1" applyFill="1" applyAlignment="1">
      <alignment/>
    </xf>
    <xf numFmtId="2" fontId="41" fillId="33" borderId="0" xfId="0" applyNumberFormat="1" applyFont="1" applyFill="1" applyAlignment="1">
      <alignment/>
    </xf>
    <xf numFmtId="167" fontId="4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10" fillId="0" borderId="24" xfId="84" applyFont="1" applyBorder="1" applyAlignment="1">
      <alignment/>
      <protection/>
    </xf>
    <xf numFmtId="0" fontId="10" fillId="0" borderId="23" xfId="84" applyFont="1" applyBorder="1" applyAlignment="1">
      <alignment/>
      <protection/>
    </xf>
    <xf numFmtId="4" fontId="8" fillId="33" borderId="20" xfId="84" applyNumberFormat="1" applyFont="1" applyFill="1" applyBorder="1" applyAlignment="1">
      <alignment/>
      <protection/>
    </xf>
    <xf numFmtId="10" fontId="8" fillId="33" borderId="20" xfId="96" applyNumberFormat="1" applyFont="1" applyFill="1" applyBorder="1" applyAlignment="1">
      <alignment/>
    </xf>
    <xf numFmtId="2" fontId="43" fillId="33" borderId="0" xfId="0" applyNumberFormat="1" applyFont="1" applyFill="1" applyAlignment="1">
      <alignment/>
    </xf>
    <xf numFmtId="2" fontId="42" fillId="33" borderId="0" xfId="0" applyNumberFormat="1" applyFont="1" applyFill="1" applyAlignment="1">
      <alignment horizontal="right"/>
    </xf>
    <xf numFmtId="2" fontId="4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5" fillId="36" borderId="20" xfId="0" applyFont="1" applyFill="1" applyBorder="1" applyAlignment="1">
      <alignment horizontal="center"/>
    </xf>
    <xf numFmtId="0" fontId="65" fillId="36" borderId="20" xfId="0" applyFont="1" applyFill="1" applyBorder="1" applyAlignment="1">
      <alignment/>
    </xf>
    <xf numFmtId="0" fontId="65" fillId="36" borderId="20" xfId="0" applyFont="1" applyFill="1" applyBorder="1" applyAlignment="1">
      <alignment horizontal="justify" vertical="justify" wrapText="1"/>
    </xf>
    <xf numFmtId="4" fontId="5" fillId="36" borderId="20" xfId="70" applyNumberFormat="1" applyFont="1" applyFill="1" applyBorder="1" applyAlignment="1">
      <alignment horizontal="right"/>
      <protection/>
    </xf>
    <xf numFmtId="0" fontId="5" fillId="33" borderId="0" xfId="0" applyFont="1" applyFill="1" applyBorder="1" applyAlignment="1">
      <alignment horizontal="right" vertical="justify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justify" wrapText="1"/>
    </xf>
    <xf numFmtId="4" fontId="5" fillId="33" borderId="0" xfId="0" applyNumberFormat="1" applyFont="1" applyFill="1" applyBorder="1" applyAlignment="1">
      <alignment horizontal="right"/>
    </xf>
    <xf numFmtId="4" fontId="63" fillId="0" borderId="20" xfId="0" applyNumberFormat="1" applyFont="1" applyBorder="1" applyAlignment="1">
      <alignment/>
    </xf>
    <xf numFmtId="0" fontId="65" fillId="37" borderId="20" xfId="0" applyFont="1" applyFill="1" applyBorder="1" applyAlignment="1">
      <alignment horizontal="center"/>
    </xf>
    <xf numFmtId="0" fontId="65" fillId="37" borderId="20" xfId="0" applyFont="1" applyFill="1" applyBorder="1" applyAlignment="1">
      <alignment/>
    </xf>
    <xf numFmtId="0" fontId="65" fillId="37" borderId="20" xfId="0" applyFont="1" applyFill="1" applyBorder="1" applyAlignment="1">
      <alignment horizontal="justify" vertical="justify" wrapText="1"/>
    </xf>
    <xf numFmtId="2" fontId="65" fillId="37" borderId="20" xfId="0" applyNumberFormat="1" applyFont="1" applyFill="1" applyBorder="1" applyAlignment="1">
      <alignment/>
    </xf>
    <xf numFmtId="194" fontId="65" fillId="37" borderId="20" xfId="0" applyNumberFormat="1" applyFont="1" applyFill="1" applyBorder="1" applyAlignment="1">
      <alignment/>
    </xf>
    <xf numFmtId="194" fontId="5" fillId="37" borderId="20" xfId="70" applyNumberFormat="1" applyFont="1" applyFill="1" applyBorder="1" applyAlignment="1">
      <alignment horizontal="right"/>
      <protection/>
    </xf>
    <xf numFmtId="194" fontId="63" fillId="0" borderId="20" xfId="0" applyNumberFormat="1" applyFont="1" applyBorder="1" applyAlignment="1">
      <alignment/>
    </xf>
    <xf numFmtId="194" fontId="4" fillId="33" borderId="20" xfId="70" applyNumberFormat="1" applyFont="1" applyFill="1" applyBorder="1" applyAlignment="1">
      <alignment horizontal="right"/>
      <protection/>
    </xf>
    <xf numFmtId="0" fontId="4" fillId="33" borderId="0" xfId="0" applyFont="1" applyFill="1" applyAlignment="1">
      <alignment/>
    </xf>
    <xf numFmtId="183" fontId="41" fillId="33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49" fontId="64" fillId="33" borderId="24" xfId="87" applyNumberFormat="1" applyFont="1" applyFill="1" applyBorder="1" applyAlignment="1">
      <alignment horizontal="center" vertical="center" wrapText="1"/>
      <protection/>
    </xf>
    <xf numFmtId="0" fontId="65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justify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center" vertical="justify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5" fillId="33" borderId="13" xfId="88" applyNumberFormat="1" applyFont="1" applyFill="1" applyBorder="1" applyAlignment="1">
      <alignment horizontal="left" vertical="center"/>
      <protection/>
    </xf>
    <xf numFmtId="4" fontId="65" fillId="33" borderId="0" xfId="88" applyNumberFormat="1" applyFont="1" applyFill="1" applyBorder="1" applyAlignment="1">
      <alignment horizontal="left" vertical="center"/>
      <protection/>
    </xf>
    <xf numFmtId="4" fontId="65" fillId="33" borderId="18" xfId="88" applyNumberFormat="1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8" xfId="0" applyFont="1" applyFill="1" applyBorder="1" applyAlignment="1">
      <alignment horizontal="left" vertical="center" wrapText="1" readingOrder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4" fontId="65" fillId="33" borderId="13" xfId="73" applyNumberFormat="1" applyFont="1" applyFill="1" applyBorder="1" applyAlignment="1">
      <alignment horizontal="left" vertical="center"/>
      <protection/>
    </xf>
    <xf numFmtId="4" fontId="65" fillId="33" borderId="0" xfId="73" applyNumberFormat="1" applyFont="1" applyFill="1" applyBorder="1" applyAlignment="1">
      <alignment horizontal="left" vertical="center"/>
      <protection/>
    </xf>
    <xf numFmtId="4" fontId="65" fillId="33" borderId="18" xfId="73" applyNumberFormat="1" applyFont="1" applyFill="1" applyBorder="1" applyAlignment="1">
      <alignment horizontal="left" vertical="center"/>
      <protection/>
    </xf>
    <xf numFmtId="0" fontId="5" fillId="33" borderId="14" xfId="88" applyFont="1" applyFill="1" applyBorder="1" applyAlignment="1">
      <alignment horizontal="left"/>
      <protection/>
    </xf>
    <xf numFmtId="0" fontId="5" fillId="33" borderId="15" xfId="88" applyFont="1" applyFill="1" applyBorder="1" applyAlignment="1">
      <alignment horizontal="left"/>
      <protection/>
    </xf>
    <xf numFmtId="0" fontId="5" fillId="33" borderId="19" xfId="88" applyFont="1" applyFill="1" applyBorder="1" applyAlignment="1">
      <alignment horizontal="left"/>
      <protection/>
    </xf>
    <xf numFmtId="49" fontId="4" fillId="33" borderId="24" xfId="87" applyNumberFormat="1" applyFont="1" applyFill="1" applyBorder="1" applyAlignment="1">
      <alignment horizontal="center" vertical="center" wrapText="1"/>
      <protection/>
    </xf>
    <xf numFmtId="49" fontId="4" fillId="33" borderId="23" xfId="87" applyNumberFormat="1" applyFont="1" applyFill="1" applyBorder="1" applyAlignment="1">
      <alignment horizontal="center" vertical="center" wrapText="1"/>
      <protection/>
    </xf>
    <xf numFmtId="49" fontId="4" fillId="33" borderId="15" xfId="87" applyNumberFormat="1" applyFont="1" applyFill="1" applyBorder="1" applyAlignment="1">
      <alignment horizontal="center" vertical="center" wrapText="1"/>
      <protection/>
    </xf>
    <xf numFmtId="4" fontId="4" fillId="33" borderId="24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167" fontId="4" fillId="33" borderId="0" xfId="0" applyNumberFormat="1" applyFont="1" applyFill="1" applyBorder="1" applyAlignment="1">
      <alignment horizontal="center"/>
    </xf>
    <xf numFmtId="167" fontId="43" fillId="33" borderId="0" xfId="0" applyNumberFormat="1" applyFont="1" applyFill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justify" wrapText="1"/>
    </xf>
    <xf numFmtId="0" fontId="4" fillId="33" borderId="22" xfId="0" applyFont="1" applyFill="1" applyBorder="1" applyAlignment="1">
      <alignment horizontal="center" vertical="justify" wrapText="1"/>
    </xf>
    <xf numFmtId="0" fontId="4" fillId="33" borderId="20" xfId="0" applyFont="1" applyFill="1" applyBorder="1" applyAlignment="1">
      <alignment horizontal="center" vertical="justify" wrapText="1"/>
    </xf>
    <xf numFmtId="4" fontId="4" fillId="33" borderId="20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169" fontId="9" fillId="0" borderId="11" xfId="73" applyNumberFormat="1" applyFont="1" applyBorder="1" applyAlignment="1">
      <alignment horizontal="center" vertical="center" wrapText="1" readingOrder="1"/>
      <protection/>
    </xf>
    <xf numFmtId="169" fontId="9" fillId="0" borderId="12" xfId="73" applyNumberFormat="1" applyFont="1" applyBorder="1" applyAlignment="1">
      <alignment horizontal="center" vertical="center" wrapText="1" readingOrder="1"/>
      <protection/>
    </xf>
    <xf numFmtId="169" fontId="9" fillId="0" borderId="13" xfId="73" applyNumberFormat="1" applyFont="1" applyBorder="1" applyAlignment="1">
      <alignment horizontal="center" vertical="center" wrapText="1" readingOrder="1"/>
      <protection/>
    </xf>
    <xf numFmtId="169" fontId="9" fillId="0" borderId="0" xfId="73" applyNumberFormat="1" applyFont="1" applyBorder="1" applyAlignment="1">
      <alignment horizontal="center" vertical="center" wrapText="1" readingOrder="1"/>
      <protection/>
    </xf>
    <xf numFmtId="4" fontId="8" fillId="0" borderId="13" xfId="73" applyNumberFormat="1" applyFont="1" applyFill="1" applyBorder="1" applyAlignment="1">
      <alignment horizontal="center" vertical="center" wrapText="1" readingOrder="1"/>
      <protection/>
    </xf>
    <xf numFmtId="4" fontId="8" fillId="0" borderId="0" xfId="73" applyNumberFormat="1" applyFont="1" applyFill="1" applyBorder="1" applyAlignment="1">
      <alignment horizontal="center" vertical="center" wrapText="1" readingOrder="1"/>
      <protection/>
    </xf>
    <xf numFmtId="0" fontId="8" fillId="0" borderId="13" xfId="88" applyFont="1" applyFill="1" applyBorder="1" applyAlignment="1">
      <alignment horizontal="center"/>
      <protection/>
    </xf>
    <xf numFmtId="0" fontId="8" fillId="0" borderId="0" xfId="88" applyFont="1" applyFill="1" applyBorder="1" applyAlignment="1">
      <alignment horizontal="center"/>
      <protection/>
    </xf>
    <xf numFmtId="39" fontId="9" fillId="0" borderId="24" xfId="84" applyNumberFormat="1" applyFont="1" applyBorder="1" applyAlignment="1">
      <alignment horizontal="center"/>
      <protection/>
    </xf>
    <xf numFmtId="39" fontId="9" fillId="0" borderId="25" xfId="84" applyNumberFormat="1" applyFont="1" applyBorder="1" applyAlignment="1">
      <alignment horizontal="center"/>
      <protection/>
    </xf>
    <xf numFmtId="4" fontId="9" fillId="0" borderId="24" xfId="86" applyNumberFormat="1" applyFont="1" applyBorder="1" applyAlignment="1">
      <alignment horizontal="center"/>
      <protection/>
    </xf>
    <xf numFmtId="4" fontId="9" fillId="0" borderId="25" xfId="86" applyNumberFormat="1" applyFont="1" applyBorder="1" applyAlignment="1">
      <alignment horizontal="center"/>
      <protection/>
    </xf>
    <xf numFmtId="4" fontId="8" fillId="0" borderId="13" xfId="73" applyNumberFormat="1" applyFont="1" applyFill="1" applyBorder="1" applyAlignment="1">
      <alignment horizontal="center" vertical="center" wrapText="1"/>
      <protection/>
    </xf>
    <xf numFmtId="4" fontId="8" fillId="0" borderId="0" xfId="73" applyNumberFormat="1" applyFont="1" applyFill="1" applyBorder="1" applyAlignment="1">
      <alignment horizontal="center" vertical="center" wrapText="1"/>
      <protection/>
    </xf>
    <xf numFmtId="4" fontId="8" fillId="0" borderId="13" xfId="88" applyNumberFormat="1" applyFont="1" applyFill="1" applyBorder="1" applyAlignment="1">
      <alignment horizontal="center" vertical="center" wrapText="1"/>
      <protection/>
    </xf>
    <xf numFmtId="4" fontId="8" fillId="0" borderId="0" xfId="88" applyNumberFormat="1" applyFont="1" applyFill="1" applyBorder="1" applyAlignment="1">
      <alignment horizontal="center" vertical="center" wrapText="1"/>
      <protection/>
    </xf>
    <xf numFmtId="4" fontId="8" fillId="0" borderId="14" xfId="88" applyNumberFormat="1" applyFont="1" applyFill="1" applyBorder="1" applyAlignment="1">
      <alignment horizontal="center" vertical="center" wrapText="1"/>
      <protection/>
    </xf>
    <xf numFmtId="4" fontId="8" fillId="0" borderId="15" xfId="88" applyNumberFormat="1" applyFont="1" applyFill="1" applyBorder="1" applyAlignment="1">
      <alignment horizontal="center" vertical="center" wrapText="1"/>
      <protection/>
    </xf>
    <xf numFmtId="0" fontId="10" fillId="0" borderId="16" xfId="84" applyFont="1" applyBorder="1" applyAlignment="1">
      <alignment horizontal="center" wrapText="1"/>
      <protection/>
    </xf>
    <xf numFmtId="0" fontId="10" fillId="0" borderId="21" xfId="84" applyFont="1" applyBorder="1" applyAlignment="1">
      <alignment horizontal="center" wrapText="1"/>
      <protection/>
    </xf>
    <xf numFmtId="0" fontId="10" fillId="0" borderId="22" xfId="84" applyFont="1" applyBorder="1" applyAlignment="1">
      <alignment horizontal="center" wrapText="1"/>
      <protection/>
    </xf>
    <xf numFmtId="0" fontId="10" fillId="0" borderId="24" xfId="84" applyFont="1" applyBorder="1" applyAlignment="1">
      <alignment horizontal="center"/>
      <protection/>
    </xf>
    <xf numFmtId="0" fontId="10" fillId="0" borderId="25" xfId="84" applyFont="1" applyBorder="1" applyAlignment="1">
      <alignment horizontal="center"/>
      <protection/>
    </xf>
    <xf numFmtId="0" fontId="9" fillId="0" borderId="24" xfId="88" applyFont="1" applyFill="1" applyBorder="1" applyAlignment="1">
      <alignment horizontal="center" vertical="center" wrapText="1"/>
      <protection/>
    </xf>
    <xf numFmtId="0" fontId="9" fillId="0" borderId="23" xfId="88" applyFont="1" applyFill="1" applyBorder="1" applyAlignment="1">
      <alignment horizontal="center" vertical="center" wrapText="1"/>
      <protection/>
    </xf>
    <xf numFmtId="0" fontId="9" fillId="0" borderId="25" xfId="88" applyFont="1" applyFill="1" applyBorder="1" applyAlignment="1">
      <alignment horizontal="center" vertical="center" wrapText="1"/>
      <protection/>
    </xf>
    <xf numFmtId="0" fontId="9" fillId="35" borderId="20" xfId="85" applyFont="1" applyFill="1" applyBorder="1" applyAlignment="1">
      <alignment horizontal="center" vertical="top"/>
      <protection/>
    </xf>
    <xf numFmtId="1" fontId="9" fillId="0" borderId="24" xfId="84" applyNumberFormat="1" applyFont="1" applyBorder="1" applyAlignment="1">
      <alignment horizontal="left" vertical="top"/>
      <protection/>
    </xf>
    <xf numFmtId="1" fontId="9" fillId="0" borderId="25" xfId="84" applyNumberFormat="1" applyFont="1" applyBorder="1" applyAlignment="1">
      <alignment horizontal="left" vertical="top"/>
      <protection/>
    </xf>
    <xf numFmtId="0" fontId="9" fillId="0" borderId="24" xfId="84" applyFont="1" applyBorder="1" applyAlignment="1">
      <alignment horizontal="left" vertical="top"/>
      <protection/>
    </xf>
    <xf numFmtId="0" fontId="9" fillId="0" borderId="25" xfId="84" applyFont="1" applyBorder="1" applyAlignment="1">
      <alignment horizontal="left" vertical="top"/>
      <protection/>
    </xf>
    <xf numFmtId="10" fontId="9" fillId="0" borderId="24" xfId="96" applyNumberFormat="1" applyFont="1" applyBorder="1" applyAlignment="1">
      <alignment horizontal="center"/>
    </xf>
    <xf numFmtId="10" fontId="9" fillId="0" borderId="25" xfId="96" applyNumberFormat="1" applyFont="1" applyBorder="1" applyAlignment="1">
      <alignment horizontal="center"/>
    </xf>
    <xf numFmtId="10" fontId="9" fillId="0" borderId="24" xfId="84" applyNumberFormat="1" applyFont="1" applyBorder="1" applyAlignment="1">
      <alignment horizontal="center"/>
      <protection/>
    </xf>
    <xf numFmtId="0" fontId="9" fillId="0" borderId="25" xfId="84" applyFont="1" applyBorder="1" applyAlignment="1">
      <alignment horizontal="center"/>
      <protection/>
    </xf>
  </cellXfs>
  <cellStyles count="10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Hyperlink" xfId="61"/>
    <cellStyle name="Followed Hyperlink" xfId="62"/>
    <cellStyle name="Currency" xfId="63"/>
    <cellStyle name="Currency [0]" xfId="64"/>
    <cellStyle name="Moeda 2" xfId="65"/>
    <cellStyle name="Moeda 3" xfId="66"/>
    <cellStyle name="Neutro" xfId="67"/>
    <cellStyle name="Normal 10" xfId="68"/>
    <cellStyle name="Normal 11" xfId="69"/>
    <cellStyle name="Normal 2" xfId="70"/>
    <cellStyle name="Normal 2 2" xfId="71"/>
    <cellStyle name="Normal 2 2 2" xfId="72"/>
    <cellStyle name="Normal 2 3" xfId="73"/>
    <cellStyle name="Normal 3" xfId="74"/>
    <cellStyle name="Normal 3 2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 9 2" xfId="83"/>
    <cellStyle name="Normal_CRONOGRAMA" xfId="84"/>
    <cellStyle name="Normal_CRUZEI~1" xfId="85"/>
    <cellStyle name="Normal_Orçamento nº057-2003- Esc. Munic. AMPARO revisão" xfId="86"/>
    <cellStyle name="Normal_P_Getulio Vargas" xfId="87"/>
    <cellStyle name="Normal_P_Getulio Vargas 2" xfId="88"/>
    <cellStyle name="Nota" xfId="89"/>
    <cellStyle name="Nota 2" xfId="90"/>
    <cellStyle name="Nota 3" xfId="91"/>
    <cellStyle name="Nota 4" xfId="92"/>
    <cellStyle name="Percentual" xfId="93"/>
    <cellStyle name="Ponto" xfId="94"/>
    <cellStyle name="Percent" xfId="95"/>
    <cellStyle name="Porcentagem 2" xfId="96"/>
    <cellStyle name="Porcentagem 3" xfId="97"/>
    <cellStyle name="Ruim" xfId="98"/>
    <cellStyle name="Saída" xfId="99"/>
    <cellStyle name="Comma [0]" xfId="100"/>
    <cellStyle name="Separador de milhares 15" xfId="101"/>
    <cellStyle name="Separador de milhares 2" xfId="102"/>
    <cellStyle name="TableStyleLight1" xfId="103"/>
    <cellStyle name="Texto de Aviso" xfId="104"/>
    <cellStyle name="Texto Explicativo" xfId="105"/>
    <cellStyle name="Título" xfId="106"/>
    <cellStyle name="Título 1" xfId="107"/>
    <cellStyle name="Título 1 1" xfId="108"/>
    <cellStyle name="Título 1 1 1" xfId="109"/>
    <cellStyle name="Título 1 1_PLAN   (2)" xfId="110"/>
    <cellStyle name="Título 2" xfId="111"/>
    <cellStyle name="Título 3" xfId="112"/>
    <cellStyle name="Título 4" xfId="113"/>
    <cellStyle name="Titulo1" xfId="114"/>
    <cellStyle name="Titulo2" xfId="115"/>
    <cellStyle name="Total" xfId="116"/>
    <cellStyle name="Comma" xfId="117"/>
    <cellStyle name="Vírgula 2" xfId="118"/>
    <cellStyle name="Vírgula 2 2" xfId="119"/>
    <cellStyle name="Vírgula 3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171450</xdr:rowOff>
    </xdr:from>
    <xdr:to>
      <xdr:col>6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vis&#227;o%20JAN-18_Or&#231;amento%20ATI%20Vila%20Br&#237;gida%20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92"/>
  <sheetViews>
    <sheetView view="pageBreakPreview" zoomScale="70" zoomScaleSheetLayoutView="70" zoomScalePageLayoutView="0" workbookViewId="0" topLeftCell="A1">
      <selection activeCell="D3" sqref="D3:G3"/>
    </sheetView>
  </sheetViews>
  <sheetFormatPr defaultColWidth="9.140625" defaultRowHeight="15"/>
  <cols>
    <col min="1" max="1" width="9.140625" style="53" customWidth="1"/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97" width="9.140625" style="101" customWidth="1"/>
  </cols>
  <sheetData>
    <row r="1" spans="1:7" ht="15.75">
      <c r="A1" s="2"/>
      <c r="B1" s="3"/>
      <c r="C1" s="4" t="s">
        <v>13</v>
      </c>
      <c r="D1" s="5"/>
      <c r="E1" s="6"/>
      <c r="F1" s="7"/>
      <c r="G1" s="7"/>
    </row>
    <row r="2" spans="1:7" ht="15.75">
      <c r="A2" s="8"/>
      <c r="B2" s="9"/>
      <c r="C2" s="10" t="s">
        <v>14</v>
      </c>
      <c r="D2" s="11"/>
      <c r="E2" s="12"/>
      <c r="F2" s="13"/>
      <c r="G2" s="13"/>
    </row>
    <row r="3" spans="1:7" ht="15.75">
      <c r="A3" s="8"/>
      <c r="B3" s="9"/>
      <c r="C3" s="10" t="s">
        <v>15</v>
      </c>
      <c r="D3" s="153" t="s">
        <v>206</v>
      </c>
      <c r="E3" s="154"/>
      <c r="F3" s="154"/>
      <c r="G3" s="155"/>
    </row>
    <row r="4" spans="1:7" ht="30">
      <c r="A4" s="8"/>
      <c r="B4" s="9"/>
      <c r="C4" s="14" t="s">
        <v>64</v>
      </c>
      <c r="D4" s="156" t="s">
        <v>66</v>
      </c>
      <c r="E4" s="157"/>
      <c r="F4" s="157"/>
      <c r="G4" s="158"/>
    </row>
    <row r="5" spans="1:7" ht="15.75">
      <c r="A5" s="8"/>
      <c r="B5" s="9"/>
      <c r="C5" s="50" t="s">
        <v>65</v>
      </c>
      <c r="D5" s="159" t="s">
        <v>53</v>
      </c>
      <c r="E5" s="160"/>
      <c r="F5" s="160"/>
      <c r="G5" s="161"/>
    </row>
    <row r="6" spans="1:7" ht="15.75">
      <c r="A6" s="8"/>
      <c r="B6" s="9"/>
      <c r="C6" s="15" t="s">
        <v>201</v>
      </c>
      <c r="D6" s="162" t="s">
        <v>54</v>
      </c>
      <c r="E6" s="163"/>
      <c r="F6" s="163"/>
      <c r="G6" s="164"/>
    </row>
    <row r="7" spans="1:7" ht="15.75">
      <c r="A7" s="8"/>
      <c r="B7" s="9"/>
      <c r="C7" s="51"/>
      <c r="D7" s="162" t="s">
        <v>23</v>
      </c>
      <c r="E7" s="163"/>
      <c r="F7" s="163"/>
      <c r="G7" s="164"/>
    </row>
    <row r="8" spans="1:7" ht="15.75">
      <c r="A8" s="16"/>
      <c r="B8" s="17"/>
      <c r="C8" s="18"/>
      <c r="D8" s="165" t="s">
        <v>42</v>
      </c>
      <c r="E8" s="166"/>
      <c r="F8" s="166"/>
      <c r="G8" s="167"/>
    </row>
    <row r="9" spans="1:7" ht="15">
      <c r="A9" s="144" t="s">
        <v>16</v>
      </c>
      <c r="B9" s="145"/>
      <c r="C9" s="145"/>
      <c r="D9" s="145"/>
      <c r="E9" s="145"/>
      <c r="F9" s="145"/>
      <c r="G9" s="145"/>
    </row>
    <row r="10" spans="1:7" ht="15.75">
      <c r="A10" s="146" t="s">
        <v>17</v>
      </c>
      <c r="B10" s="148" t="s">
        <v>18</v>
      </c>
      <c r="C10" s="150" t="s">
        <v>19</v>
      </c>
      <c r="D10" s="146" t="s">
        <v>11</v>
      </c>
      <c r="E10" s="151" t="s">
        <v>20</v>
      </c>
      <c r="F10" s="151" t="s">
        <v>21</v>
      </c>
      <c r="G10" s="151"/>
    </row>
    <row r="11" spans="1:7" ht="15.75">
      <c r="A11" s="147"/>
      <c r="B11" s="149"/>
      <c r="C11" s="148"/>
      <c r="D11" s="147"/>
      <c r="E11" s="152"/>
      <c r="F11" s="19" t="s">
        <v>22</v>
      </c>
      <c r="G11" s="20" t="s">
        <v>4</v>
      </c>
    </row>
    <row r="12" spans="1:97" s="45" customFormat="1" ht="15.75">
      <c r="A12" s="68" t="s">
        <v>12</v>
      </c>
      <c r="B12" s="70"/>
      <c r="C12" s="69" t="s">
        <v>33</v>
      </c>
      <c r="D12" s="70"/>
      <c r="E12" s="70"/>
      <c r="F12" s="70"/>
      <c r="G12" s="48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</row>
    <row r="13" spans="1:7" s="102" customFormat="1" ht="60">
      <c r="A13" s="117" t="s">
        <v>5</v>
      </c>
      <c r="B13" s="118" t="s">
        <v>67</v>
      </c>
      <c r="C13" s="119" t="s">
        <v>68</v>
      </c>
      <c r="D13" s="118" t="s">
        <v>1</v>
      </c>
      <c r="E13" s="118">
        <v>12</v>
      </c>
      <c r="F13" s="118">
        <f>TRUNC(F14,2)</f>
        <v>98.13</v>
      </c>
      <c r="G13" s="120">
        <f>TRUNC((E13*F13),2)</f>
        <v>1177.56</v>
      </c>
    </row>
    <row r="14" spans="1:7" s="102" customFormat="1" ht="60">
      <c r="A14" s="66"/>
      <c r="B14" s="66" t="s">
        <v>67</v>
      </c>
      <c r="C14" s="44" t="s">
        <v>68</v>
      </c>
      <c r="D14" s="43" t="s">
        <v>1</v>
      </c>
      <c r="E14" s="43">
        <v>1</v>
      </c>
      <c r="F14" s="46">
        <f>G25</f>
        <v>98.13</v>
      </c>
      <c r="G14" s="49">
        <f aca="true" t="shared" si="0" ref="G14:G24">TRUNC(E14*F14,2)</f>
        <v>98.13</v>
      </c>
    </row>
    <row r="15" spans="1:7" s="102" customFormat="1" ht="15.75">
      <c r="A15" s="66"/>
      <c r="B15" s="66" t="s">
        <v>69</v>
      </c>
      <c r="C15" s="44" t="s">
        <v>70</v>
      </c>
      <c r="D15" s="43" t="s">
        <v>11</v>
      </c>
      <c r="E15" s="43">
        <v>0.396</v>
      </c>
      <c r="F15" s="43">
        <f>TRUNC(38.54,2)</f>
        <v>38.54</v>
      </c>
      <c r="G15" s="49">
        <f t="shared" si="0"/>
        <v>15.26</v>
      </c>
    </row>
    <row r="16" spans="1:7" s="102" customFormat="1" ht="30">
      <c r="A16" s="66"/>
      <c r="B16" s="66" t="s">
        <v>71</v>
      </c>
      <c r="C16" s="44" t="s">
        <v>72</v>
      </c>
      <c r="D16" s="43" t="s">
        <v>11</v>
      </c>
      <c r="E16" s="43">
        <v>0.7992</v>
      </c>
      <c r="F16" s="43">
        <f>TRUNC(2.68,2)</f>
        <v>2.68</v>
      </c>
      <c r="G16" s="49">
        <f t="shared" si="0"/>
        <v>2.14</v>
      </c>
    </row>
    <row r="17" spans="1:7" s="102" customFormat="1" ht="15.75">
      <c r="A17" s="66"/>
      <c r="B17" s="66" t="s">
        <v>73</v>
      </c>
      <c r="C17" s="44" t="s">
        <v>74</v>
      </c>
      <c r="D17" s="43" t="s">
        <v>11</v>
      </c>
      <c r="E17" s="43">
        <v>0.396</v>
      </c>
      <c r="F17" s="43">
        <f>TRUNC(67.84,2)</f>
        <v>67.84</v>
      </c>
      <c r="G17" s="49">
        <f t="shared" si="0"/>
        <v>26.86</v>
      </c>
    </row>
    <row r="18" spans="1:7" s="102" customFormat="1" ht="15.75">
      <c r="A18" s="66"/>
      <c r="B18" s="66" t="s">
        <v>75</v>
      </c>
      <c r="C18" s="44" t="s">
        <v>76</v>
      </c>
      <c r="D18" s="43" t="s">
        <v>11</v>
      </c>
      <c r="E18" s="43">
        <v>3.192</v>
      </c>
      <c r="F18" s="43">
        <f>TRUNC(0.08,2)</f>
        <v>0.08</v>
      </c>
      <c r="G18" s="49">
        <f t="shared" si="0"/>
        <v>0.25</v>
      </c>
    </row>
    <row r="19" spans="1:7" s="102" customFormat="1" ht="15.75">
      <c r="A19" s="66"/>
      <c r="B19" s="66" t="s">
        <v>77</v>
      </c>
      <c r="C19" s="44" t="s">
        <v>78</v>
      </c>
      <c r="D19" s="43" t="s">
        <v>11</v>
      </c>
      <c r="E19" s="43">
        <v>1.596</v>
      </c>
      <c r="F19" s="43">
        <f>TRUNC(1.55,2)</f>
        <v>1.55</v>
      </c>
      <c r="G19" s="49">
        <f t="shared" si="0"/>
        <v>2.47</v>
      </c>
    </row>
    <row r="20" spans="1:7" s="102" customFormat="1" ht="15.75">
      <c r="A20" s="66"/>
      <c r="B20" s="66" t="s">
        <v>79</v>
      </c>
      <c r="C20" s="44" t="s">
        <v>80</v>
      </c>
      <c r="D20" s="43" t="s">
        <v>11</v>
      </c>
      <c r="E20" s="43">
        <v>0.7992</v>
      </c>
      <c r="F20" s="43">
        <f>TRUNC(12.2,2)</f>
        <v>12.2</v>
      </c>
      <c r="G20" s="49">
        <f t="shared" si="0"/>
        <v>9.75</v>
      </c>
    </row>
    <row r="21" spans="1:7" s="102" customFormat="1" ht="15.75">
      <c r="A21" s="66"/>
      <c r="B21" s="66" t="s">
        <v>81</v>
      </c>
      <c r="C21" s="44" t="s">
        <v>82</v>
      </c>
      <c r="D21" s="43" t="s">
        <v>11</v>
      </c>
      <c r="E21" s="43">
        <v>3.192</v>
      </c>
      <c r="F21" s="43">
        <f>TRUNC(0.07,2)</f>
        <v>0.07</v>
      </c>
      <c r="G21" s="49">
        <f t="shared" si="0"/>
        <v>0.22</v>
      </c>
    </row>
    <row r="22" spans="1:7" s="102" customFormat="1" ht="15.75">
      <c r="A22" s="66"/>
      <c r="B22" s="66" t="s">
        <v>83</v>
      </c>
      <c r="C22" s="44" t="s">
        <v>84</v>
      </c>
      <c r="D22" s="43" t="s">
        <v>11</v>
      </c>
      <c r="E22" s="43">
        <v>0.01596</v>
      </c>
      <c r="F22" s="43">
        <f>TRUNC(38,2)</f>
        <v>38</v>
      </c>
      <c r="G22" s="49">
        <f t="shared" si="0"/>
        <v>0.6</v>
      </c>
    </row>
    <row r="23" spans="1:7" s="102" customFormat="1" ht="15.75">
      <c r="A23" s="66"/>
      <c r="B23" s="66" t="s">
        <v>85</v>
      </c>
      <c r="C23" s="44" t="s">
        <v>86</v>
      </c>
      <c r="D23" s="43" t="s">
        <v>3</v>
      </c>
      <c r="E23" s="43">
        <v>1.03</v>
      </c>
      <c r="F23" s="43">
        <f>TRUNC(16.55,2)</f>
        <v>16.55</v>
      </c>
      <c r="G23" s="49">
        <f t="shared" si="0"/>
        <v>17.04</v>
      </c>
    </row>
    <row r="24" spans="1:7" s="102" customFormat="1" ht="15.75">
      <c r="A24" s="66"/>
      <c r="B24" s="66" t="s">
        <v>87</v>
      </c>
      <c r="C24" s="44" t="s">
        <v>88</v>
      </c>
      <c r="D24" s="43" t="s">
        <v>3</v>
      </c>
      <c r="E24" s="43">
        <v>1.03</v>
      </c>
      <c r="F24" s="43">
        <f>TRUNC(22.86,2)</f>
        <v>22.86</v>
      </c>
      <c r="G24" s="49">
        <f t="shared" si="0"/>
        <v>23.54</v>
      </c>
    </row>
    <row r="25" spans="1:7" s="102" customFormat="1" ht="15.75">
      <c r="A25" s="66"/>
      <c r="B25" s="66"/>
      <c r="C25" s="44"/>
      <c r="D25" s="43"/>
      <c r="E25" s="43" t="s">
        <v>4</v>
      </c>
      <c r="F25" s="43"/>
      <c r="G25" s="49">
        <f>TRUNC(SUM(G15:G24),2)</f>
        <v>98.13</v>
      </c>
    </row>
    <row r="26" spans="1:7" s="102" customFormat="1" ht="30">
      <c r="A26" s="117" t="s">
        <v>6</v>
      </c>
      <c r="B26" s="118" t="s">
        <v>89</v>
      </c>
      <c r="C26" s="119" t="s">
        <v>90</v>
      </c>
      <c r="D26" s="118" t="s">
        <v>11</v>
      </c>
      <c r="E26" s="118">
        <v>28</v>
      </c>
      <c r="F26" s="118">
        <f>TRUNC(F27,2)</f>
        <v>54.28</v>
      </c>
      <c r="G26" s="120">
        <f>TRUNC((E26*F26),2)</f>
        <v>1519.84</v>
      </c>
    </row>
    <row r="27" spans="1:7" s="102" customFormat="1" ht="30">
      <c r="A27" s="66"/>
      <c r="B27" s="66" t="s">
        <v>89</v>
      </c>
      <c r="C27" s="44" t="s">
        <v>90</v>
      </c>
      <c r="D27" s="43" t="s">
        <v>11</v>
      </c>
      <c r="E27" s="43">
        <v>1</v>
      </c>
      <c r="F27" s="46">
        <f>G32</f>
        <v>54.28</v>
      </c>
      <c r="G27" s="49">
        <f>TRUNC(E27*F27,2)</f>
        <v>54.28</v>
      </c>
    </row>
    <row r="28" spans="1:7" s="102" customFormat="1" ht="15.75">
      <c r="A28" s="66"/>
      <c r="B28" s="66" t="s">
        <v>91</v>
      </c>
      <c r="C28" s="44" t="s">
        <v>49</v>
      </c>
      <c r="D28" s="43" t="s">
        <v>11</v>
      </c>
      <c r="E28" s="43">
        <v>1</v>
      </c>
      <c r="F28" s="43">
        <f>TRUNC(48.11,2)</f>
        <v>48.11</v>
      </c>
      <c r="G28" s="49">
        <f>TRUNC(E28*F28,2)</f>
        <v>48.11</v>
      </c>
    </row>
    <row r="29" spans="1:7" s="102" customFormat="1" ht="30">
      <c r="A29" s="66"/>
      <c r="B29" s="66" t="s">
        <v>92</v>
      </c>
      <c r="C29" s="44" t="s">
        <v>50</v>
      </c>
      <c r="D29" s="43" t="s">
        <v>11</v>
      </c>
      <c r="E29" s="43">
        <v>2</v>
      </c>
      <c r="F29" s="43">
        <f>TRUNC(0.65,2)</f>
        <v>0.65</v>
      </c>
      <c r="G29" s="49">
        <f>TRUNC(E29*F29,2)</f>
        <v>1.3</v>
      </c>
    </row>
    <row r="30" spans="1:7" s="102" customFormat="1" ht="15.75">
      <c r="A30" s="66"/>
      <c r="B30" s="66" t="s">
        <v>93</v>
      </c>
      <c r="C30" s="44" t="s">
        <v>44</v>
      </c>
      <c r="D30" s="43" t="s">
        <v>3</v>
      </c>
      <c r="E30" s="43">
        <v>0.0952</v>
      </c>
      <c r="F30" s="43">
        <f>TRUNC(28.88,2)</f>
        <v>28.88</v>
      </c>
      <c r="G30" s="49">
        <f>TRUNC(E30*F30,2)</f>
        <v>2.74</v>
      </c>
    </row>
    <row r="31" spans="1:7" s="102" customFormat="1" ht="15.75">
      <c r="A31" s="66"/>
      <c r="B31" s="66" t="s">
        <v>94</v>
      </c>
      <c r="C31" s="44" t="s">
        <v>47</v>
      </c>
      <c r="D31" s="43" t="s">
        <v>3</v>
      </c>
      <c r="E31" s="43">
        <v>0.0952</v>
      </c>
      <c r="F31" s="43">
        <f>TRUNC(22.4,2)</f>
        <v>22.4</v>
      </c>
      <c r="G31" s="49">
        <f>TRUNC(E31*F31,2)</f>
        <v>2.13</v>
      </c>
    </row>
    <row r="32" spans="1:7" s="102" customFormat="1" ht="15.75">
      <c r="A32" s="66"/>
      <c r="B32" s="66"/>
      <c r="C32" s="44"/>
      <c r="D32" s="43"/>
      <c r="E32" s="43" t="s">
        <v>4</v>
      </c>
      <c r="F32" s="43"/>
      <c r="G32" s="49">
        <f>TRUNC(SUM(G28:G31),2)</f>
        <v>54.28</v>
      </c>
    </row>
    <row r="33" spans="1:7" s="102" customFormat="1" ht="30">
      <c r="A33" s="117" t="s">
        <v>7</v>
      </c>
      <c r="B33" s="117" t="s">
        <v>95</v>
      </c>
      <c r="C33" s="119" t="s">
        <v>110</v>
      </c>
      <c r="D33" s="118" t="s">
        <v>11</v>
      </c>
      <c r="E33" s="118">
        <v>1</v>
      </c>
      <c r="F33" s="118">
        <f>TRUNC(F34,2)</f>
        <v>56.59</v>
      </c>
      <c r="G33" s="120">
        <f>TRUNC((E33*F33),2)</f>
        <v>56.59</v>
      </c>
    </row>
    <row r="34" spans="1:7" s="102" customFormat="1" ht="30">
      <c r="A34" s="66"/>
      <c r="B34" s="66" t="s">
        <v>95</v>
      </c>
      <c r="C34" s="44" t="s">
        <v>110</v>
      </c>
      <c r="D34" s="43" t="s">
        <v>11</v>
      </c>
      <c r="E34" s="43">
        <v>1</v>
      </c>
      <c r="F34" s="46">
        <f>G39</f>
        <v>56.59</v>
      </c>
      <c r="G34" s="49">
        <f>TRUNC(E34*F34,2)</f>
        <v>56.59</v>
      </c>
    </row>
    <row r="35" spans="1:7" s="102" customFormat="1" ht="15.75">
      <c r="A35" s="66"/>
      <c r="B35" s="66" t="s">
        <v>91</v>
      </c>
      <c r="C35" s="44" t="s">
        <v>49</v>
      </c>
      <c r="D35" s="43" t="s">
        <v>11</v>
      </c>
      <c r="E35" s="43">
        <v>1</v>
      </c>
      <c r="F35" s="43">
        <f>TRUNC(48.11,2)</f>
        <v>48.11</v>
      </c>
      <c r="G35" s="49">
        <f>TRUNC(E35*F35,2)</f>
        <v>48.11</v>
      </c>
    </row>
    <row r="36" spans="1:7" s="102" customFormat="1" ht="30">
      <c r="A36" s="66"/>
      <c r="B36" s="66" t="s">
        <v>111</v>
      </c>
      <c r="C36" s="44" t="s">
        <v>51</v>
      </c>
      <c r="D36" s="43" t="s">
        <v>11</v>
      </c>
      <c r="E36" s="43">
        <v>2</v>
      </c>
      <c r="F36" s="43">
        <f>TRUNC(0.85,2)</f>
        <v>0.85</v>
      </c>
      <c r="G36" s="49">
        <f>TRUNC(E36*F36,2)</f>
        <v>1.7</v>
      </c>
    </row>
    <row r="37" spans="1:7" s="102" customFormat="1" ht="15.75">
      <c r="A37" s="66"/>
      <c r="B37" s="66" t="s">
        <v>93</v>
      </c>
      <c r="C37" s="44" t="s">
        <v>44</v>
      </c>
      <c r="D37" s="43" t="s">
        <v>3</v>
      </c>
      <c r="E37" s="43">
        <v>0.1325</v>
      </c>
      <c r="F37" s="43">
        <f>TRUNC(28.88,2)</f>
        <v>28.88</v>
      </c>
      <c r="G37" s="49">
        <f>TRUNC(E37*F37,2)</f>
        <v>3.82</v>
      </c>
    </row>
    <row r="38" spans="1:7" s="102" customFormat="1" ht="15.75">
      <c r="A38" s="66"/>
      <c r="B38" s="66" t="s">
        <v>94</v>
      </c>
      <c r="C38" s="44" t="s">
        <v>47</v>
      </c>
      <c r="D38" s="43" t="s">
        <v>3</v>
      </c>
      <c r="E38" s="43">
        <v>0.1325</v>
      </c>
      <c r="F38" s="43">
        <f>TRUNC(22.4,2)</f>
        <v>22.4</v>
      </c>
      <c r="G38" s="49">
        <f>TRUNC(E38*F38,2)</f>
        <v>2.96</v>
      </c>
    </row>
    <row r="39" spans="1:7" s="102" customFormat="1" ht="15.75">
      <c r="A39" s="66"/>
      <c r="B39" s="66"/>
      <c r="C39" s="44"/>
      <c r="D39" s="43"/>
      <c r="E39" s="43" t="s">
        <v>4</v>
      </c>
      <c r="F39" s="43"/>
      <c r="G39" s="49">
        <f>TRUNC(SUM(G35:G38),2)</f>
        <v>56.59</v>
      </c>
    </row>
    <row r="40" spans="1:7" s="102" customFormat="1" ht="30">
      <c r="A40" s="117" t="s">
        <v>8</v>
      </c>
      <c r="B40" s="117" t="s">
        <v>96</v>
      </c>
      <c r="C40" s="119" t="s">
        <v>112</v>
      </c>
      <c r="D40" s="117" t="s">
        <v>11</v>
      </c>
      <c r="E40" s="118">
        <v>5</v>
      </c>
      <c r="F40" s="118">
        <f>TRUNC(F41,2)</f>
        <v>56.59</v>
      </c>
      <c r="G40" s="120">
        <f>TRUNC((E40*F40),2)</f>
        <v>282.95</v>
      </c>
    </row>
    <row r="41" spans="1:7" s="102" customFormat="1" ht="30">
      <c r="A41" s="66"/>
      <c r="B41" s="66" t="s">
        <v>96</v>
      </c>
      <c r="C41" s="44" t="s">
        <v>112</v>
      </c>
      <c r="D41" s="43" t="s">
        <v>11</v>
      </c>
      <c r="E41" s="43">
        <v>1</v>
      </c>
      <c r="F41" s="46">
        <f>G46</f>
        <v>56.59</v>
      </c>
      <c r="G41" s="49">
        <f>TRUNC(E41*F41,2)</f>
        <v>56.59</v>
      </c>
    </row>
    <row r="42" spans="1:7" s="102" customFormat="1" ht="15.75">
      <c r="A42" s="66"/>
      <c r="B42" s="66" t="s">
        <v>91</v>
      </c>
      <c r="C42" s="44" t="s">
        <v>49</v>
      </c>
      <c r="D42" s="43" t="s">
        <v>11</v>
      </c>
      <c r="E42" s="43">
        <v>1</v>
      </c>
      <c r="F42" s="43">
        <f>TRUNC(48.11,2)</f>
        <v>48.11</v>
      </c>
      <c r="G42" s="49">
        <f>TRUNC(E42*F42,2)</f>
        <v>48.11</v>
      </c>
    </row>
    <row r="43" spans="1:7" s="102" customFormat="1" ht="30">
      <c r="A43" s="66"/>
      <c r="B43" s="66" t="s">
        <v>111</v>
      </c>
      <c r="C43" s="44" t="s">
        <v>51</v>
      </c>
      <c r="D43" s="43" t="s">
        <v>11</v>
      </c>
      <c r="E43" s="43">
        <v>2</v>
      </c>
      <c r="F43" s="43">
        <f>TRUNC(0.85,2)</f>
        <v>0.85</v>
      </c>
      <c r="G43" s="49">
        <f>TRUNC(E43*F43,2)</f>
        <v>1.7</v>
      </c>
    </row>
    <row r="44" spans="1:7" s="102" customFormat="1" ht="15.75">
      <c r="A44" s="66"/>
      <c r="B44" s="66" t="s">
        <v>93</v>
      </c>
      <c r="C44" s="44" t="s">
        <v>44</v>
      </c>
      <c r="D44" s="43" t="s">
        <v>3</v>
      </c>
      <c r="E44" s="43">
        <v>0.1325</v>
      </c>
      <c r="F44" s="43">
        <f>TRUNC(28.88,2)</f>
        <v>28.88</v>
      </c>
      <c r="G44" s="49">
        <f>TRUNC(E44*F44,2)</f>
        <v>3.82</v>
      </c>
    </row>
    <row r="45" spans="1:7" s="102" customFormat="1" ht="15.75">
      <c r="A45" s="66"/>
      <c r="B45" s="66" t="s">
        <v>94</v>
      </c>
      <c r="C45" s="44" t="s">
        <v>47</v>
      </c>
      <c r="D45" s="43" t="s">
        <v>3</v>
      </c>
      <c r="E45" s="43">
        <v>0.1325</v>
      </c>
      <c r="F45" s="43">
        <f>TRUNC(22.4,2)</f>
        <v>22.4</v>
      </c>
      <c r="G45" s="49">
        <f>TRUNC(E45*F45,2)</f>
        <v>2.96</v>
      </c>
    </row>
    <row r="46" spans="1:7" s="102" customFormat="1" ht="15.75">
      <c r="A46" s="66"/>
      <c r="B46" s="66"/>
      <c r="C46" s="44"/>
      <c r="D46" s="43"/>
      <c r="E46" s="43" t="s">
        <v>4</v>
      </c>
      <c r="F46" s="43"/>
      <c r="G46" s="49">
        <f>TRUNC(SUM(G42:G45),2)</f>
        <v>56.59</v>
      </c>
    </row>
    <row r="47" spans="1:7" s="102" customFormat="1" ht="30">
      <c r="A47" s="117" t="s">
        <v>9</v>
      </c>
      <c r="B47" s="117" t="s">
        <v>97</v>
      </c>
      <c r="C47" s="119" t="s">
        <v>113</v>
      </c>
      <c r="D47" s="117" t="s">
        <v>11</v>
      </c>
      <c r="E47" s="118">
        <v>2</v>
      </c>
      <c r="F47" s="118">
        <f>TRUNC(F48,2)</f>
        <v>59.47</v>
      </c>
      <c r="G47" s="120">
        <f>TRUNC((E47*F47),2)</f>
        <v>118.94</v>
      </c>
    </row>
    <row r="48" spans="1:7" s="102" customFormat="1" ht="30">
      <c r="A48" s="66"/>
      <c r="B48" s="66" t="s">
        <v>97</v>
      </c>
      <c r="C48" s="44" t="s">
        <v>113</v>
      </c>
      <c r="D48" s="43" t="s">
        <v>11</v>
      </c>
      <c r="E48" s="43">
        <v>1</v>
      </c>
      <c r="F48" s="46">
        <f>G53</f>
        <v>59.47</v>
      </c>
      <c r="G48" s="49">
        <f>TRUNC(E48*F48,2)</f>
        <v>59.47</v>
      </c>
    </row>
    <row r="49" spans="1:7" s="102" customFormat="1" ht="15.75">
      <c r="A49" s="66"/>
      <c r="B49" s="66" t="s">
        <v>91</v>
      </c>
      <c r="C49" s="44" t="s">
        <v>49</v>
      </c>
      <c r="D49" s="43" t="s">
        <v>11</v>
      </c>
      <c r="E49" s="43">
        <v>1</v>
      </c>
      <c r="F49" s="43">
        <f>TRUNC(48.11,2)</f>
        <v>48.11</v>
      </c>
      <c r="G49" s="49">
        <f>TRUNC(E49*F49,2)</f>
        <v>48.11</v>
      </c>
    </row>
    <row r="50" spans="1:7" s="102" customFormat="1" ht="30">
      <c r="A50" s="66"/>
      <c r="B50" s="66" t="s">
        <v>114</v>
      </c>
      <c r="C50" s="44" t="s">
        <v>48</v>
      </c>
      <c r="D50" s="43" t="s">
        <v>11</v>
      </c>
      <c r="E50" s="43">
        <v>2</v>
      </c>
      <c r="F50" s="43">
        <f>TRUNC(1.01,2)</f>
        <v>1.01</v>
      </c>
      <c r="G50" s="49">
        <f>TRUNC(E50*F50,2)</f>
        <v>2.02</v>
      </c>
    </row>
    <row r="51" spans="1:7" s="102" customFormat="1" ht="15.75">
      <c r="A51" s="66"/>
      <c r="B51" s="66" t="s">
        <v>93</v>
      </c>
      <c r="C51" s="44" t="s">
        <v>44</v>
      </c>
      <c r="D51" s="43" t="s">
        <v>3</v>
      </c>
      <c r="E51" s="43">
        <v>0.1823</v>
      </c>
      <c r="F51" s="43">
        <f>TRUNC(28.88,2)</f>
        <v>28.88</v>
      </c>
      <c r="G51" s="49">
        <f>TRUNC(E51*F51,2)</f>
        <v>5.26</v>
      </c>
    </row>
    <row r="52" spans="1:7" s="102" customFormat="1" ht="15.75">
      <c r="A52" s="66"/>
      <c r="B52" s="66" t="s">
        <v>94</v>
      </c>
      <c r="C52" s="44" t="s">
        <v>47</v>
      </c>
      <c r="D52" s="43" t="s">
        <v>3</v>
      </c>
      <c r="E52" s="43">
        <v>0.1823</v>
      </c>
      <c r="F52" s="43">
        <f>TRUNC(22.4,2)</f>
        <v>22.4</v>
      </c>
      <c r="G52" s="49">
        <f>TRUNC(E52*F52,2)</f>
        <v>4.08</v>
      </c>
    </row>
    <row r="53" spans="1:7" s="102" customFormat="1" ht="15.75">
      <c r="A53" s="66"/>
      <c r="B53" s="66"/>
      <c r="C53" s="44"/>
      <c r="D53" s="43"/>
      <c r="E53" s="43" t="s">
        <v>4</v>
      </c>
      <c r="F53" s="43"/>
      <c r="G53" s="49">
        <f>TRUNC(SUM(G49:G52),2)</f>
        <v>59.47</v>
      </c>
    </row>
    <row r="54" spans="1:7" s="102" customFormat="1" ht="30">
      <c r="A54" s="117" t="s">
        <v>10</v>
      </c>
      <c r="B54" s="117" t="s">
        <v>98</v>
      </c>
      <c r="C54" s="119" t="s">
        <v>115</v>
      </c>
      <c r="D54" s="117" t="s">
        <v>11</v>
      </c>
      <c r="E54" s="118">
        <v>2</v>
      </c>
      <c r="F54" s="118">
        <f>TRUNC(F55,2)</f>
        <v>75.98</v>
      </c>
      <c r="G54" s="120">
        <f>TRUNC((E54*F54),2)</f>
        <v>151.96</v>
      </c>
    </row>
    <row r="55" spans="1:7" s="102" customFormat="1" ht="30">
      <c r="A55" s="66"/>
      <c r="B55" s="66" t="s">
        <v>98</v>
      </c>
      <c r="C55" s="44" t="s">
        <v>115</v>
      </c>
      <c r="D55" s="43" t="s">
        <v>11</v>
      </c>
      <c r="E55" s="43">
        <v>1</v>
      </c>
      <c r="F55" s="46">
        <f>G60</f>
        <v>75.98</v>
      </c>
      <c r="G55" s="49">
        <f>TRUNC(E55*F55,2)</f>
        <v>75.98</v>
      </c>
    </row>
    <row r="56" spans="1:7" s="102" customFormat="1" ht="15.75">
      <c r="A56" s="66"/>
      <c r="B56" s="66" t="s">
        <v>116</v>
      </c>
      <c r="C56" s="44" t="s">
        <v>52</v>
      </c>
      <c r="D56" s="43" t="s">
        <v>11</v>
      </c>
      <c r="E56" s="43">
        <v>1</v>
      </c>
      <c r="F56" s="43">
        <f>TRUNC(58.94,2)</f>
        <v>58.94</v>
      </c>
      <c r="G56" s="49">
        <f>TRUNC(E56*F56,2)</f>
        <v>58.94</v>
      </c>
    </row>
    <row r="57" spans="1:7" s="102" customFormat="1" ht="30">
      <c r="A57" s="66"/>
      <c r="B57" s="66" t="s">
        <v>114</v>
      </c>
      <c r="C57" s="44" t="s">
        <v>48</v>
      </c>
      <c r="D57" s="43" t="s">
        <v>11</v>
      </c>
      <c r="E57" s="43">
        <v>3</v>
      </c>
      <c r="F57" s="43">
        <f>TRUNC(1.01,2)</f>
        <v>1.01</v>
      </c>
      <c r="G57" s="49">
        <f>TRUNC(E57*F57,2)</f>
        <v>3.03</v>
      </c>
    </row>
    <row r="58" spans="1:7" s="102" customFormat="1" ht="15.75">
      <c r="A58" s="66"/>
      <c r="B58" s="66" t="s">
        <v>93</v>
      </c>
      <c r="C58" s="44" t="s">
        <v>44</v>
      </c>
      <c r="D58" s="43" t="s">
        <v>3</v>
      </c>
      <c r="E58" s="43">
        <v>0.2734</v>
      </c>
      <c r="F58" s="43">
        <f>TRUNC(28.88,2)</f>
        <v>28.88</v>
      </c>
      <c r="G58" s="49">
        <f>TRUNC(E58*F58,2)</f>
        <v>7.89</v>
      </c>
    </row>
    <row r="59" spans="1:7" s="102" customFormat="1" ht="15.75">
      <c r="A59" s="66"/>
      <c r="B59" s="66" t="s">
        <v>94</v>
      </c>
      <c r="C59" s="44" t="s">
        <v>47</v>
      </c>
      <c r="D59" s="43" t="s">
        <v>3</v>
      </c>
      <c r="E59" s="43">
        <v>0.2734</v>
      </c>
      <c r="F59" s="43">
        <f>TRUNC(22.4,2)</f>
        <v>22.4</v>
      </c>
      <c r="G59" s="49">
        <f>TRUNC(E59*F59,2)</f>
        <v>6.12</v>
      </c>
    </row>
    <row r="60" spans="1:7" s="102" customFormat="1" ht="15.75">
      <c r="A60" s="66"/>
      <c r="B60" s="66"/>
      <c r="C60" s="44"/>
      <c r="D60" s="43"/>
      <c r="E60" s="43" t="s">
        <v>4</v>
      </c>
      <c r="F60" s="43"/>
      <c r="G60" s="49">
        <f>TRUNC(SUM(G56:G59),2)</f>
        <v>75.98</v>
      </c>
    </row>
    <row r="61" spans="1:7" s="102" customFormat="1" ht="30">
      <c r="A61" s="117" t="s">
        <v>39</v>
      </c>
      <c r="B61" s="117" t="s">
        <v>117</v>
      </c>
      <c r="C61" s="119" t="s">
        <v>124</v>
      </c>
      <c r="D61" s="117" t="s">
        <v>11</v>
      </c>
      <c r="E61" s="118">
        <v>4</v>
      </c>
      <c r="F61" s="118">
        <f>TRUNC(F62,2)</f>
        <v>51.41</v>
      </c>
      <c r="G61" s="120">
        <f>TRUNC((E61*F61),2)</f>
        <v>205.64</v>
      </c>
    </row>
    <row r="62" spans="1:7" s="102" customFormat="1" ht="30">
      <c r="A62" s="66"/>
      <c r="B62" s="66" t="s">
        <v>117</v>
      </c>
      <c r="C62" s="44" t="s">
        <v>124</v>
      </c>
      <c r="D62" s="43" t="s">
        <v>11</v>
      </c>
      <c r="E62" s="43">
        <v>1</v>
      </c>
      <c r="F62" s="46">
        <f>G66</f>
        <v>51.41</v>
      </c>
      <c r="G62" s="49">
        <f>TRUNC(E62*F62,2)</f>
        <v>51.41</v>
      </c>
    </row>
    <row r="63" spans="1:7" s="102" customFormat="1" ht="15.75">
      <c r="A63" s="66"/>
      <c r="B63" s="66" t="s">
        <v>125</v>
      </c>
      <c r="C63" s="44" t="s">
        <v>126</v>
      </c>
      <c r="D63" s="43" t="s">
        <v>11</v>
      </c>
      <c r="E63" s="43">
        <v>1</v>
      </c>
      <c r="F63" s="43">
        <f>TRUNC(45.33,2)</f>
        <v>45.33</v>
      </c>
      <c r="G63" s="49">
        <f>TRUNC(E63*F63,2)</f>
        <v>45.33</v>
      </c>
    </row>
    <row r="64" spans="1:7" s="102" customFormat="1" ht="15.75">
      <c r="A64" s="66"/>
      <c r="B64" s="66" t="s">
        <v>85</v>
      </c>
      <c r="C64" s="44" t="s">
        <v>86</v>
      </c>
      <c r="D64" s="43" t="s">
        <v>3</v>
      </c>
      <c r="E64" s="43">
        <v>0.1545</v>
      </c>
      <c r="F64" s="43">
        <f>TRUNC(16.55,2)</f>
        <v>16.55</v>
      </c>
      <c r="G64" s="49">
        <f>TRUNC(E64*F64,2)</f>
        <v>2.55</v>
      </c>
    </row>
    <row r="65" spans="1:7" s="102" customFormat="1" ht="15.75">
      <c r="A65" s="66"/>
      <c r="B65" s="66" t="s">
        <v>87</v>
      </c>
      <c r="C65" s="44" t="s">
        <v>88</v>
      </c>
      <c r="D65" s="43" t="s">
        <v>3</v>
      </c>
      <c r="E65" s="43">
        <v>0.1545</v>
      </c>
      <c r="F65" s="43">
        <f>TRUNC(22.86,2)</f>
        <v>22.86</v>
      </c>
      <c r="G65" s="49">
        <f>TRUNC(E65*F65,2)</f>
        <v>3.53</v>
      </c>
    </row>
    <row r="66" spans="1:7" s="102" customFormat="1" ht="15.75">
      <c r="A66" s="66"/>
      <c r="B66" s="66"/>
      <c r="C66" s="44"/>
      <c r="D66" s="43"/>
      <c r="E66" s="43" t="s">
        <v>4</v>
      </c>
      <c r="F66" s="43"/>
      <c r="G66" s="49">
        <f>TRUNC(SUM(G63:G65),2)</f>
        <v>51.41</v>
      </c>
    </row>
    <row r="67" spans="1:7" s="102" customFormat="1" ht="45">
      <c r="A67" s="117" t="s">
        <v>40</v>
      </c>
      <c r="B67" s="117" t="s">
        <v>118</v>
      </c>
      <c r="C67" s="119" t="s">
        <v>127</v>
      </c>
      <c r="D67" s="117" t="s">
        <v>11</v>
      </c>
      <c r="E67" s="118">
        <v>1</v>
      </c>
      <c r="F67" s="118">
        <f>TRUNC(F68,2)</f>
        <v>314.98</v>
      </c>
      <c r="G67" s="120">
        <f>TRUNC((E67*F67),2)</f>
        <v>314.98</v>
      </c>
    </row>
    <row r="68" spans="1:7" s="102" customFormat="1" ht="45">
      <c r="A68" s="66"/>
      <c r="B68" s="66" t="s">
        <v>118</v>
      </c>
      <c r="C68" s="44" t="s">
        <v>127</v>
      </c>
      <c r="D68" s="43" t="s">
        <v>11</v>
      </c>
      <c r="E68" s="43">
        <v>1</v>
      </c>
      <c r="F68" s="46">
        <f>G72</f>
        <v>314.98</v>
      </c>
      <c r="G68" s="49">
        <f>TRUNC(E68*F68,2)</f>
        <v>314.98</v>
      </c>
    </row>
    <row r="69" spans="1:7" s="102" customFormat="1" ht="15.75">
      <c r="A69" s="66"/>
      <c r="B69" s="66" t="s">
        <v>128</v>
      </c>
      <c r="C69" s="44" t="s">
        <v>129</v>
      </c>
      <c r="D69" s="43" t="s">
        <v>11</v>
      </c>
      <c r="E69" s="43">
        <v>1</v>
      </c>
      <c r="F69" s="43">
        <f>TRUNC(308.9,2)</f>
        <v>308.9</v>
      </c>
      <c r="G69" s="49">
        <f>TRUNC(E69*F69,2)</f>
        <v>308.9</v>
      </c>
    </row>
    <row r="70" spans="1:7" s="102" customFormat="1" ht="15.75">
      <c r="A70" s="66"/>
      <c r="B70" s="66" t="s">
        <v>85</v>
      </c>
      <c r="C70" s="44" t="s">
        <v>86</v>
      </c>
      <c r="D70" s="43" t="s">
        <v>3</v>
      </c>
      <c r="E70" s="43">
        <v>0.1545</v>
      </c>
      <c r="F70" s="43">
        <f>TRUNC(16.55,2)</f>
        <v>16.55</v>
      </c>
      <c r="G70" s="49">
        <f>TRUNC(E70*F70,2)</f>
        <v>2.55</v>
      </c>
    </row>
    <row r="71" spans="1:7" s="102" customFormat="1" ht="15.75">
      <c r="A71" s="66"/>
      <c r="B71" s="66" t="s">
        <v>87</v>
      </c>
      <c r="C71" s="44" t="s">
        <v>88</v>
      </c>
      <c r="D71" s="43" t="s">
        <v>3</v>
      </c>
      <c r="E71" s="43">
        <v>0.1545</v>
      </c>
      <c r="F71" s="43">
        <f>TRUNC(22.86,2)</f>
        <v>22.86</v>
      </c>
      <c r="G71" s="49">
        <f>TRUNC(E71*F71,2)</f>
        <v>3.53</v>
      </c>
    </row>
    <row r="72" spans="1:7" s="102" customFormat="1" ht="15.75">
      <c r="A72" s="66"/>
      <c r="B72" s="66"/>
      <c r="C72" s="44"/>
      <c r="D72" s="43"/>
      <c r="E72" s="43" t="s">
        <v>4</v>
      </c>
      <c r="F72" s="43"/>
      <c r="G72" s="49">
        <f>TRUNC(SUM(G69:G71),2)</f>
        <v>314.98</v>
      </c>
    </row>
    <row r="73" spans="1:7" s="102" customFormat="1" ht="45">
      <c r="A73" s="117" t="s">
        <v>182</v>
      </c>
      <c r="B73" s="117" t="s">
        <v>151</v>
      </c>
      <c r="C73" s="119" t="s">
        <v>152</v>
      </c>
      <c r="D73" s="117" t="s">
        <v>11</v>
      </c>
      <c r="E73" s="118">
        <v>4</v>
      </c>
      <c r="F73" s="118">
        <f>TRUNC(F74,2)</f>
        <v>376.17</v>
      </c>
      <c r="G73" s="120">
        <f>TRUNC((E73*F73),2)</f>
        <v>1504.68</v>
      </c>
    </row>
    <row r="74" spans="1:7" s="102" customFormat="1" ht="45">
      <c r="A74" s="66"/>
      <c r="B74" s="66" t="s">
        <v>151</v>
      </c>
      <c r="C74" s="44" t="s">
        <v>152</v>
      </c>
      <c r="D74" s="43" t="s">
        <v>11</v>
      </c>
      <c r="E74" s="43">
        <v>1</v>
      </c>
      <c r="F74" s="46">
        <f>G78</f>
        <v>376.17</v>
      </c>
      <c r="G74" s="49">
        <f>TRUNC(E74*F74,2)</f>
        <v>376.17</v>
      </c>
    </row>
    <row r="75" spans="1:7" s="102" customFormat="1" ht="30">
      <c r="A75" s="66"/>
      <c r="B75" s="66" t="s">
        <v>153</v>
      </c>
      <c r="C75" s="44" t="s">
        <v>55</v>
      </c>
      <c r="D75" s="43" t="s">
        <v>11</v>
      </c>
      <c r="E75" s="43">
        <v>1</v>
      </c>
      <c r="F75" s="43">
        <f>TRUNC(298.06,2)</f>
        <v>298.06</v>
      </c>
      <c r="G75" s="49">
        <f>TRUNC(E75*F75,2)</f>
        <v>298.06</v>
      </c>
    </row>
    <row r="76" spans="1:7" s="102" customFormat="1" ht="15.75">
      <c r="A76" s="66"/>
      <c r="B76" s="66" t="s">
        <v>93</v>
      </c>
      <c r="C76" s="44" t="s">
        <v>44</v>
      </c>
      <c r="D76" s="43" t="s">
        <v>3</v>
      </c>
      <c r="E76" s="43">
        <v>1.5233</v>
      </c>
      <c r="F76" s="43">
        <f>TRUNC(28.88,2)</f>
        <v>28.88</v>
      </c>
      <c r="G76" s="49">
        <f>TRUNC(E76*F76,2)</f>
        <v>43.99</v>
      </c>
    </row>
    <row r="77" spans="1:7" s="102" customFormat="1" ht="15.75">
      <c r="A77" s="66"/>
      <c r="B77" s="66" t="s">
        <v>94</v>
      </c>
      <c r="C77" s="44" t="s">
        <v>47</v>
      </c>
      <c r="D77" s="43" t="s">
        <v>3</v>
      </c>
      <c r="E77" s="43">
        <v>1.5233</v>
      </c>
      <c r="F77" s="43">
        <f>TRUNC(22.4,2)</f>
        <v>22.4</v>
      </c>
      <c r="G77" s="49">
        <f>TRUNC(E77*F77,2)</f>
        <v>34.12</v>
      </c>
    </row>
    <row r="78" spans="1:7" s="102" customFormat="1" ht="15.75">
      <c r="A78" s="66"/>
      <c r="B78" s="66"/>
      <c r="C78" s="44"/>
      <c r="D78" s="43"/>
      <c r="E78" s="43" t="s">
        <v>4</v>
      </c>
      <c r="F78" s="43"/>
      <c r="G78" s="49">
        <f>TRUNC(SUM(G75:G77),2)</f>
        <v>376.17</v>
      </c>
    </row>
    <row r="79" spans="1:7" s="102" customFormat="1" ht="30">
      <c r="A79" s="117" t="s">
        <v>183</v>
      </c>
      <c r="B79" s="117" t="s">
        <v>119</v>
      </c>
      <c r="C79" s="119" t="s">
        <v>130</v>
      </c>
      <c r="D79" s="117" t="s">
        <v>11</v>
      </c>
      <c r="E79" s="118">
        <v>2</v>
      </c>
      <c r="F79" s="118">
        <f>TRUNC(F80,2)</f>
        <v>34.92</v>
      </c>
      <c r="G79" s="120">
        <f>TRUNC((E79*F79),2)</f>
        <v>69.84</v>
      </c>
    </row>
    <row r="80" spans="1:7" s="102" customFormat="1" ht="30">
      <c r="A80" s="66"/>
      <c r="B80" s="66" t="s">
        <v>119</v>
      </c>
      <c r="C80" s="44" t="s">
        <v>130</v>
      </c>
      <c r="D80" s="43" t="s">
        <v>11</v>
      </c>
      <c r="E80" s="43">
        <v>1</v>
      </c>
      <c r="F80" s="46">
        <f>G82</f>
        <v>34.92</v>
      </c>
      <c r="G80" s="49">
        <f>TRUNC(E80*F80,2)</f>
        <v>34.92</v>
      </c>
    </row>
    <row r="81" spans="1:7" s="102" customFormat="1" ht="30">
      <c r="A81" s="66"/>
      <c r="B81" s="66" t="s">
        <v>131</v>
      </c>
      <c r="C81" s="44" t="s">
        <v>132</v>
      </c>
      <c r="D81" s="43" t="s">
        <v>11</v>
      </c>
      <c r="E81" s="43">
        <v>1</v>
      </c>
      <c r="F81" s="43">
        <f>TRUNC(34.92,2)</f>
        <v>34.92</v>
      </c>
      <c r="G81" s="49">
        <f>TRUNC(E81*F81,2)</f>
        <v>34.92</v>
      </c>
    </row>
    <row r="82" spans="1:7" s="102" customFormat="1" ht="15.75">
      <c r="A82" s="66"/>
      <c r="B82" s="66"/>
      <c r="C82" s="44"/>
      <c r="D82" s="43"/>
      <c r="E82" s="43" t="s">
        <v>4</v>
      </c>
      <c r="F82" s="43"/>
      <c r="G82" s="49">
        <f>TRUNC(SUM(G81:G81),2)</f>
        <v>34.92</v>
      </c>
    </row>
    <row r="83" spans="1:7" s="102" customFormat="1" ht="45">
      <c r="A83" s="117" t="s">
        <v>184</v>
      </c>
      <c r="B83" s="117" t="s">
        <v>120</v>
      </c>
      <c r="C83" s="119" t="s">
        <v>133</v>
      </c>
      <c r="D83" s="117" t="s">
        <v>1</v>
      </c>
      <c r="E83" s="118">
        <v>30</v>
      </c>
      <c r="F83" s="118">
        <f>TRUNC(F84,2)</f>
        <v>38.32</v>
      </c>
      <c r="G83" s="120">
        <f>TRUNC((E83*F83),2)</f>
        <v>1149.6</v>
      </c>
    </row>
    <row r="84" spans="1:7" s="102" customFormat="1" ht="45">
      <c r="A84" s="66"/>
      <c r="B84" s="66" t="s">
        <v>120</v>
      </c>
      <c r="C84" s="44" t="s">
        <v>133</v>
      </c>
      <c r="D84" s="43" t="s">
        <v>1</v>
      </c>
      <c r="E84" s="43">
        <v>1</v>
      </c>
      <c r="F84" s="46">
        <f>G88</f>
        <v>38.32</v>
      </c>
      <c r="G84" s="49">
        <f>TRUNC(E84*F84,2)</f>
        <v>38.32</v>
      </c>
    </row>
    <row r="85" spans="1:7" s="102" customFormat="1" ht="30">
      <c r="A85" s="66"/>
      <c r="B85" s="66" t="s">
        <v>134</v>
      </c>
      <c r="C85" s="44" t="s">
        <v>135</v>
      </c>
      <c r="D85" s="43" t="s">
        <v>2</v>
      </c>
      <c r="E85" s="43">
        <v>0.446</v>
      </c>
      <c r="F85" s="43">
        <f>TRUNC(76.8488,2)</f>
        <v>76.84</v>
      </c>
      <c r="G85" s="49">
        <f>TRUNC(E85*F85,2)</f>
        <v>34.27</v>
      </c>
    </row>
    <row r="86" spans="1:7" s="102" customFormat="1" ht="15.75">
      <c r="A86" s="66"/>
      <c r="B86" s="66" t="s">
        <v>85</v>
      </c>
      <c r="C86" s="44" t="s">
        <v>86</v>
      </c>
      <c r="D86" s="43" t="s">
        <v>3</v>
      </c>
      <c r="E86" s="43">
        <v>0.10300000000000001</v>
      </c>
      <c r="F86" s="43">
        <f>TRUNC(16.55,2)</f>
        <v>16.55</v>
      </c>
      <c r="G86" s="49">
        <f>TRUNC(E86*F86,2)</f>
        <v>1.7</v>
      </c>
    </row>
    <row r="87" spans="1:7" s="102" customFormat="1" ht="15.75">
      <c r="A87" s="66"/>
      <c r="B87" s="66" t="s">
        <v>87</v>
      </c>
      <c r="C87" s="44" t="s">
        <v>88</v>
      </c>
      <c r="D87" s="43" t="s">
        <v>3</v>
      </c>
      <c r="E87" s="43">
        <v>0.10300000000000001</v>
      </c>
      <c r="F87" s="43">
        <f>TRUNC(22.86,2)</f>
        <v>22.86</v>
      </c>
      <c r="G87" s="49">
        <f>TRUNC(E87*F87,2)</f>
        <v>2.35</v>
      </c>
    </row>
    <row r="88" spans="1:7" s="102" customFormat="1" ht="15.75">
      <c r="A88" s="66"/>
      <c r="B88" s="66"/>
      <c r="C88" s="44"/>
      <c r="D88" s="43"/>
      <c r="E88" s="43" t="s">
        <v>4</v>
      </c>
      <c r="F88" s="43"/>
      <c r="G88" s="49">
        <f>TRUNC(SUM(G85:G87),2)</f>
        <v>38.32</v>
      </c>
    </row>
    <row r="89" spans="1:7" s="102" customFormat="1" ht="30">
      <c r="A89" s="117" t="s">
        <v>185</v>
      </c>
      <c r="B89" s="117" t="s">
        <v>99</v>
      </c>
      <c r="C89" s="119" t="s">
        <v>154</v>
      </c>
      <c r="D89" s="117" t="s">
        <v>1</v>
      </c>
      <c r="E89" s="118">
        <v>330</v>
      </c>
      <c r="F89" s="118">
        <f>TRUNC(F90,2)</f>
        <v>89.02</v>
      </c>
      <c r="G89" s="120">
        <f>TRUNC((E89*F89),2)</f>
        <v>29376.6</v>
      </c>
    </row>
    <row r="90" spans="1:7" s="102" customFormat="1" ht="30">
      <c r="A90" s="66"/>
      <c r="B90" s="66" t="s">
        <v>99</v>
      </c>
      <c r="C90" s="44" t="s">
        <v>154</v>
      </c>
      <c r="D90" s="43" t="s">
        <v>1</v>
      </c>
      <c r="E90" s="43">
        <v>1</v>
      </c>
      <c r="F90" s="46">
        <f>G95</f>
        <v>89.02</v>
      </c>
      <c r="G90" s="49">
        <f>TRUNC(E90*F90,2)</f>
        <v>89.02</v>
      </c>
    </row>
    <row r="91" spans="1:7" s="102" customFormat="1" ht="15.75">
      <c r="A91" s="66"/>
      <c r="B91" s="66" t="s">
        <v>155</v>
      </c>
      <c r="C91" s="44" t="s">
        <v>58</v>
      </c>
      <c r="D91" s="43" t="s">
        <v>11</v>
      </c>
      <c r="E91" s="43">
        <v>0.009</v>
      </c>
      <c r="F91" s="43">
        <f>TRUNC(7.35,2)</f>
        <v>7.35</v>
      </c>
      <c r="G91" s="49">
        <f>TRUNC(E91*F91,2)</f>
        <v>0.06</v>
      </c>
    </row>
    <row r="92" spans="1:7" s="102" customFormat="1" ht="45">
      <c r="A92" s="66"/>
      <c r="B92" s="66" t="s">
        <v>156</v>
      </c>
      <c r="C92" s="44" t="s">
        <v>157</v>
      </c>
      <c r="D92" s="43" t="s">
        <v>1</v>
      </c>
      <c r="E92" s="43">
        <v>1.015</v>
      </c>
      <c r="F92" s="43">
        <f>TRUNC(81.2,2)</f>
        <v>81.2</v>
      </c>
      <c r="G92" s="49">
        <f>TRUNC(E92*F92,2)</f>
        <v>82.41</v>
      </c>
    </row>
    <row r="93" spans="1:7" s="102" customFormat="1" ht="15.75">
      <c r="A93" s="66"/>
      <c r="B93" s="66" t="s">
        <v>93</v>
      </c>
      <c r="C93" s="44" t="s">
        <v>44</v>
      </c>
      <c r="D93" s="43" t="s">
        <v>3</v>
      </c>
      <c r="E93" s="43">
        <v>0.128</v>
      </c>
      <c r="F93" s="43">
        <f>TRUNC(28.88,2)</f>
        <v>28.88</v>
      </c>
      <c r="G93" s="49">
        <f>TRUNC(E93*F93,2)</f>
        <v>3.69</v>
      </c>
    </row>
    <row r="94" spans="1:7" s="102" customFormat="1" ht="15.75">
      <c r="A94" s="66"/>
      <c r="B94" s="66" t="s">
        <v>94</v>
      </c>
      <c r="C94" s="44" t="s">
        <v>47</v>
      </c>
      <c r="D94" s="43" t="s">
        <v>3</v>
      </c>
      <c r="E94" s="43">
        <v>0.128</v>
      </c>
      <c r="F94" s="43">
        <f>TRUNC(22.4,2)</f>
        <v>22.4</v>
      </c>
      <c r="G94" s="49">
        <f>TRUNC(E94*F94,2)</f>
        <v>2.86</v>
      </c>
    </row>
    <row r="95" spans="1:7" s="102" customFormat="1" ht="15.75">
      <c r="A95" s="66"/>
      <c r="B95" s="66"/>
      <c r="C95" s="44"/>
      <c r="D95" s="43"/>
      <c r="E95" s="43" t="s">
        <v>4</v>
      </c>
      <c r="F95" s="43"/>
      <c r="G95" s="49">
        <f>TRUNC(SUM(G91:G94),2)</f>
        <v>89.02</v>
      </c>
    </row>
    <row r="96" spans="1:7" s="102" customFormat="1" ht="30">
      <c r="A96" s="117" t="s">
        <v>186</v>
      </c>
      <c r="B96" s="117" t="s">
        <v>100</v>
      </c>
      <c r="C96" s="119" t="s">
        <v>158</v>
      </c>
      <c r="D96" s="117" t="s">
        <v>1</v>
      </c>
      <c r="E96" s="118">
        <v>20</v>
      </c>
      <c r="F96" s="118">
        <f>TRUNC(F97,2)</f>
        <v>34.22</v>
      </c>
      <c r="G96" s="120">
        <f>TRUNC((E96*F96),2)</f>
        <v>684.4</v>
      </c>
    </row>
    <row r="97" spans="1:7" s="102" customFormat="1" ht="30">
      <c r="A97" s="66"/>
      <c r="B97" s="66" t="s">
        <v>100</v>
      </c>
      <c r="C97" s="44" t="s">
        <v>158</v>
      </c>
      <c r="D97" s="43" t="s">
        <v>1</v>
      </c>
      <c r="E97" s="43">
        <v>1</v>
      </c>
      <c r="F97" s="46">
        <f>G102</f>
        <v>34.22</v>
      </c>
      <c r="G97" s="49">
        <f>TRUNC(E97*F97,2)</f>
        <v>34.22</v>
      </c>
    </row>
    <row r="98" spans="1:7" s="102" customFormat="1" ht="30">
      <c r="A98" s="66"/>
      <c r="B98" s="66" t="s">
        <v>159</v>
      </c>
      <c r="C98" s="44" t="s">
        <v>160</v>
      </c>
      <c r="D98" s="43" t="s">
        <v>1</v>
      </c>
      <c r="E98" s="43">
        <v>1.015</v>
      </c>
      <c r="F98" s="43">
        <f>TRUNC(29.99,2)</f>
        <v>29.99</v>
      </c>
      <c r="G98" s="49">
        <f>TRUNC(E98*F98,2)</f>
        <v>30.43</v>
      </c>
    </row>
    <row r="99" spans="1:7" s="102" customFormat="1" ht="15.75">
      <c r="A99" s="66"/>
      <c r="B99" s="66" t="s">
        <v>155</v>
      </c>
      <c r="C99" s="44" t="s">
        <v>58</v>
      </c>
      <c r="D99" s="43" t="s">
        <v>11</v>
      </c>
      <c r="E99" s="43">
        <v>0.009</v>
      </c>
      <c r="F99" s="43">
        <f>TRUNC(7.35,2)</f>
        <v>7.35</v>
      </c>
      <c r="G99" s="49">
        <f>TRUNC(E99*F99,2)</f>
        <v>0.06</v>
      </c>
    </row>
    <row r="100" spans="1:7" s="102" customFormat="1" ht="15.75">
      <c r="A100" s="66"/>
      <c r="B100" s="66" t="s">
        <v>93</v>
      </c>
      <c r="C100" s="44" t="s">
        <v>44</v>
      </c>
      <c r="D100" s="43" t="s">
        <v>3</v>
      </c>
      <c r="E100" s="43">
        <v>0.073</v>
      </c>
      <c r="F100" s="43">
        <f>TRUNC(28.88,2)</f>
        <v>28.88</v>
      </c>
      <c r="G100" s="49">
        <f>TRUNC(E100*F100,2)</f>
        <v>2.1</v>
      </c>
    </row>
    <row r="101" spans="1:7" s="102" customFormat="1" ht="15.75">
      <c r="A101" s="66"/>
      <c r="B101" s="66" t="s">
        <v>94</v>
      </c>
      <c r="C101" s="44" t="s">
        <v>47</v>
      </c>
      <c r="D101" s="43" t="s">
        <v>3</v>
      </c>
      <c r="E101" s="43">
        <v>0.073</v>
      </c>
      <c r="F101" s="43">
        <f>TRUNC(22.4,2)</f>
        <v>22.4</v>
      </c>
      <c r="G101" s="49">
        <f>TRUNC(E101*F101,2)</f>
        <v>1.63</v>
      </c>
    </row>
    <row r="102" spans="1:7" s="102" customFormat="1" ht="15.75">
      <c r="A102" s="66"/>
      <c r="B102" s="66"/>
      <c r="C102" s="44"/>
      <c r="D102" s="43"/>
      <c r="E102" s="43" t="s">
        <v>4</v>
      </c>
      <c r="F102" s="43"/>
      <c r="G102" s="49">
        <f>TRUNC(SUM(G98:G101),2)</f>
        <v>34.22</v>
      </c>
    </row>
    <row r="103" spans="1:7" s="102" customFormat="1" ht="30">
      <c r="A103" s="117" t="s">
        <v>187</v>
      </c>
      <c r="B103" s="117" t="s">
        <v>101</v>
      </c>
      <c r="C103" s="119" t="s">
        <v>161</v>
      </c>
      <c r="D103" s="117" t="s">
        <v>1</v>
      </c>
      <c r="E103" s="118">
        <v>65</v>
      </c>
      <c r="F103" s="118">
        <f>TRUNC(F104,2)</f>
        <v>14.33</v>
      </c>
      <c r="G103" s="120">
        <f>TRUNC((E103*F103),2)</f>
        <v>931.45</v>
      </c>
    </row>
    <row r="104" spans="1:7" s="102" customFormat="1" ht="30">
      <c r="A104" s="66"/>
      <c r="B104" s="66" t="s">
        <v>101</v>
      </c>
      <c r="C104" s="44" t="s">
        <v>161</v>
      </c>
      <c r="D104" s="43" t="s">
        <v>1</v>
      </c>
      <c r="E104" s="43">
        <v>1</v>
      </c>
      <c r="F104" s="46">
        <f>G109</f>
        <v>14.33</v>
      </c>
      <c r="G104" s="49">
        <f>TRUNC(E104*F104,2)</f>
        <v>14.33</v>
      </c>
    </row>
    <row r="105" spans="1:7" s="102" customFormat="1" ht="15.75">
      <c r="A105" s="66"/>
      <c r="B105" s="66" t="s">
        <v>155</v>
      </c>
      <c r="C105" s="44" t="s">
        <v>58</v>
      </c>
      <c r="D105" s="43" t="s">
        <v>11</v>
      </c>
      <c r="E105" s="43">
        <v>0.01</v>
      </c>
      <c r="F105" s="43">
        <f>TRUNC(7.35,2)</f>
        <v>7.35</v>
      </c>
      <c r="G105" s="49">
        <f>TRUNC(E105*F105,2)</f>
        <v>0.07</v>
      </c>
    </row>
    <row r="106" spans="1:7" s="102" customFormat="1" ht="30">
      <c r="A106" s="66"/>
      <c r="B106" s="66" t="s">
        <v>162</v>
      </c>
      <c r="C106" s="44" t="s">
        <v>163</v>
      </c>
      <c r="D106" s="43" t="s">
        <v>1</v>
      </c>
      <c r="E106" s="43">
        <v>1.027</v>
      </c>
      <c r="F106" s="43">
        <f>TRUNC(13.25,2)</f>
        <v>13.25</v>
      </c>
      <c r="G106" s="49">
        <f>TRUNC(E106*F106,2)</f>
        <v>13.6</v>
      </c>
    </row>
    <row r="107" spans="1:7" s="102" customFormat="1" ht="15.75">
      <c r="A107" s="66"/>
      <c r="B107" s="66" t="s">
        <v>93</v>
      </c>
      <c r="C107" s="44" t="s">
        <v>44</v>
      </c>
      <c r="D107" s="43" t="s">
        <v>3</v>
      </c>
      <c r="E107" s="43">
        <v>0.013</v>
      </c>
      <c r="F107" s="43">
        <f>TRUNC(28.88,2)</f>
        <v>28.88</v>
      </c>
      <c r="G107" s="49">
        <f>TRUNC(E107*F107,2)</f>
        <v>0.37</v>
      </c>
    </row>
    <row r="108" spans="1:7" s="102" customFormat="1" ht="15.75">
      <c r="A108" s="66"/>
      <c r="B108" s="66" t="s">
        <v>94</v>
      </c>
      <c r="C108" s="44" t="s">
        <v>47</v>
      </c>
      <c r="D108" s="43" t="s">
        <v>3</v>
      </c>
      <c r="E108" s="43">
        <v>0.013</v>
      </c>
      <c r="F108" s="43">
        <f>TRUNC(22.4,2)</f>
        <v>22.4</v>
      </c>
      <c r="G108" s="49">
        <f>TRUNC(E108*F108,2)</f>
        <v>0.29</v>
      </c>
    </row>
    <row r="109" spans="1:7" s="102" customFormat="1" ht="15.75">
      <c r="A109" s="66"/>
      <c r="B109" s="66"/>
      <c r="C109" s="44"/>
      <c r="D109" s="43"/>
      <c r="E109" s="43" t="s">
        <v>4</v>
      </c>
      <c r="F109" s="43"/>
      <c r="G109" s="49">
        <f>TRUNC(SUM(G105:G108),2)</f>
        <v>14.33</v>
      </c>
    </row>
    <row r="110" spans="1:7" s="102" customFormat="1" ht="30">
      <c r="A110" s="117" t="s">
        <v>188</v>
      </c>
      <c r="B110" s="117" t="s">
        <v>102</v>
      </c>
      <c r="C110" s="119" t="s">
        <v>62</v>
      </c>
      <c r="D110" s="117" t="s">
        <v>1</v>
      </c>
      <c r="E110" s="118">
        <v>40</v>
      </c>
      <c r="F110" s="118">
        <f>TRUNC(F111,2)</f>
        <v>8.86</v>
      </c>
      <c r="G110" s="120">
        <f>TRUNC((E110*F110),2)</f>
        <v>354.4</v>
      </c>
    </row>
    <row r="111" spans="1:7" s="102" customFormat="1" ht="30">
      <c r="A111" s="66"/>
      <c r="B111" s="66" t="s">
        <v>102</v>
      </c>
      <c r="C111" s="44" t="s">
        <v>62</v>
      </c>
      <c r="D111" s="43" t="s">
        <v>1</v>
      </c>
      <c r="E111" s="43">
        <v>1</v>
      </c>
      <c r="F111" s="46">
        <f>G116</f>
        <v>8.86</v>
      </c>
      <c r="G111" s="49">
        <f>TRUNC(E111*F111,2)</f>
        <v>8.86</v>
      </c>
    </row>
    <row r="112" spans="1:7" s="102" customFormat="1" ht="15.75">
      <c r="A112" s="66"/>
      <c r="B112" s="66" t="s">
        <v>155</v>
      </c>
      <c r="C112" s="44" t="s">
        <v>58</v>
      </c>
      <c r="D112" s="43" t="s">
        <v>11</v>
      </c>
      <c r="E112" s="43">
        <v>0.009</v>
      </c>
      <c r="F112" s="43">
        <f>TRUNC(7.35,2)</f>
        <v>7.35</v>
      </c>
      <c r="G112" s="49">
        <f>TRUNC(E112*F112,2)</f>
        <v>0.06</v>
      </c>
    </row>
    <row r="113" spans="1:7" s="102" customFormat="1" ht="30">
      <c r="A113" s="66"/>
      <c r="B113" s="66" t="s">
        <v>164</v>
      </c>
      <c r="C113" s="44" t="s">
        <v>63</v>
      </c>
      <c r="D113" s="43" t="s">
        <v>1</v>
      </c>
      <c r="E113" s="43">
        <v>1.19</v>
      </c>
      <c r="F113" s="43">
        <f>TRUNC(5.16,2)</f>
        <v>5.16</v>
      </c>
      <c r="G113" s="49">
        <f>TRUNC(E113*F113,2)</f>
        <v>6.14</v>
      </c>
    </row>
    <row r="114" spans="1:7" s="102" customFormat="1" ht="15.75">
      <c r="A114" s="66"/>
      <c r="B114" s="66" t="s">
        <v>93</v>
      </c>
      <c r="C114" s="44" t="s">
        <v>44</v>
      </c>
      <c r="D114" s="43" t="s">
        <v>3</v>
      </c>
      <c r="E114" s="43">
        <v>0.052</v>
      </c>
      <c r="F114" s="43">
        <f>TRUNC(28.88,2)</f>
        <v>28.88</v>
      </c>
      <c r="G114" s="49">
        <f>TRUNC(E114*F114,2)</f>
        <v>1.5</v>
      </c>
    </row>
    <row r="115" spans="1:7" s="102" customFormat="1" ht="15.75">
      <c r="A115" s="66"/>
      <c r="B115" s="66" t="s">
        <v>94</v>
      </c>
      <c r="C115" s="44" t="s">
        <v>47</v>
      </c>
      <c r="D115" s="43" t="s">
        <v>3</v>
      </c>
      <c r="E115" s="43">
        <v>0.052</v>
      </c>
      <c r="F115" s="43">
        <f>TRUNC(22.4,2)</f>
        <v>22.4</v>
      </c>
      <c r="G115" s="49">
        <f>TRUNC(E115*F115,2)</f>
        <v>1.16</v>
      </c>
    </row>
    <row r="116" spans="1:7" s="102" customFormat="1" ht="15.75">
      <c r="A116" s="66"/>
      <c r="B116" s="66"/>
      <c r="C116" s="44"/>
      <c r="D116" s="43"/>
      <c r="E116" s="43" t="s">
        <v>4</v>
      </c>
      <c r="F116" s="43"/>
      <c r="G116" s="49">
        <f>TRUNC(SUM(G112:G115),2)</f>
        <v>8.86</v>
      </c>
    </row>
    <row r="117" spans="1:7" s="102" customFormat="1" ht="30">
      <c r="A117" s="117" t="s">
        <v>189</v>
      </c>
      <c r="B117" s="117" t="s">
        <v>103</v>
      </c>
      <c r="C117" s="119" t="s">
        <v>60</v>
      </c>
      <c r="D117" s="117" t="s">
        <v>1</v>
      </c>
      <c r="E117" s="118">
        <v>307</v>
      </c>
      <c r="F117" s="118">
        <f>TRUNC(F118,2)</f>
        <v>6.49</v>
      </c>
      <c r="G117" s="120">
        <f>TRUNC((E117*F117),2)</f>
        <v>1992.43</v>
      </c>
    </row>
    <row r="118" spans="1:7" s="102" customFormat="1" ht="30">
      <c r="A118" s="66"/>
      <c r="B118" s="66" t="s">
        <v>103</v>
      </c>
      <c r="C118" s="44" t="s">
        <v>60</v>
      </c>
      <c r="D118" s="43" t="s">
        <v>1</v>
      </c>
      <c r="E118" s="43">
        <v>1</v>
      </c>
      <c r="F118" s="46">
        <f>G123</f>
        <v>6.49</v>
      </c>
      <c r="G118" s="49">
        <f>TRUNC(E118*F118,2)</f>
        <v>6.49</v>
      </c>
    </row>
    <row r="119" spans="1:7" s="102" customFormat="1" ht="15.75">
      <c r="A119" s="66"/>
      <c r="B119" s="66" t="s">
        <v>155</v>
      </c>
      <c r="C119" s="44" t="s">
        <v>58</v>
      </c>
      <c r="D119" s="43" t="s">
        <v>11</v>
      </c>
      <c r="E119" s="43">
        <v>0.009</v>
      </c>
      <c r="F119" s="43">
        <f>TRUNC(7.35,2)</f>
        <v>7.35</v>
      </c>
      <c r="G119" s="49">
        <f>TRUNC(E119*F119,2)</f>
        <v>0.06</v>
      </c>
    </row>
    <row r="120" spans="1:7" s="102" customFormat="1" ht="30">
      <c r="A120" s="66"/>
      <c r="B120" s="66" t="s">
        <v>165</v>
      </c>
      <c r="C120" s="44" t="s">
        <v>61</v>
      </c>
      <c r="D120" s="43" t="s">
        <v>1</v>
      </c>
      <c r="E120" s="43">
        <v>1.19</v>
      </c>
      <c r="F120" s="43">
        <f>TRUNC(3.69,2)</f>
        <v>3.69</v>
      </c>
      <c r="G120" s="49">
        <f>TRUNC(E120*F120,2)</f>
        <v>4.39</v>
      </c>
    </row>
    <row r="121" spans="1:7" s="102" customFormat="1" ht="15.75">
      <c r="A121" s="66"/>
      <c r="B121" s="66" t="s">
        <v>93</v>
      </c>
      <c r="C121" s="44" t="s">
        <v>44</v>
      </c>
      <c r="D121" s="43" t="s">
        <v>3</v>
      </c>
      <c r="E121" s="43">
        <v>0.04</v>
      </c>
      <c r="F121" s="43">
        <f>TRUNC(28.88,2)</f>
        <v>28.88</v>
      </c>
      <c r="G121" s="49">
        <f>TRUNC(E121*F121,2)</f>
        <v>1.15</v>
      </c>
    </row>
    <row r="122" spans="1:7" s="102" customFormat="1" ht="15.75">
      <c r="A122" s="66"/>
      <c r="B122" s="66" t="s">
        <v>94</v>
      </c>
      <c r="C122" s="44" t="s">
        <v>47</v>
      </c>
      <c r="D122" s="43" t="s">
        <v>3</v>
      </c>
      <c r="E122" s="43">
        <v>0.04</v>
      </c>
      <c r="F122" s="43">
        <f>TRUNC(22.4,2)</f>
        <v>22.4</v>
      </c>
      <c r="G122" s="49">
        <f>TRUNC(E122*F122,2)</f>
        <v>0.89</v>
      </c>
    </row>
    <row r="123" spans="1:7" s="102" customFormat="1" ht="15.75">
      <c r="A123" s="66"/>
      <c r="B123" s="66"/>
      <c r="C123" s="44"/>
      <c r="D123" s="43"/>
      <c r="E123" s="43" t="s">
        <v>4</v>
      </c>
      <c r="F123" s="43"/>
      <c r="G123" s="49">
        <f>TRUNC(SUM(G119:G122),2)</f>
        <v>6.49</v>
      </c>
    </row>
    <row r="124" spans="1:7" s="102" customFormat="1" ht="30">
      <c r="A124" s="117" t="s">
        <v>190</v>
      </c>
      <c r="B124" s="117" t="s">
        <v>104</v>
      </c>
      <c r="C124" s="119" t="s">
        <v>57</v>
      </c>
      <c r="D124" s="117" t="s">
        <v>1</v>
      </c>
      <c r="E124" s="118">
        <v>2200</v>
      </c>
      <c r="F124" s="118">
        <f>TRUNC(F125,2)</f>
        <v>4.04</v>
      </c>
      <c r="G124" s="120">
        <f>TRUNC((E124*F124),2)</f>
        <v>8888</v>
      </c>
    </row>
    <row r="125" spans="1:7" s="102" customFormat="1" ht="30">
      <c r="A125" s="66"/>
      <c r="B125" s="66" t="s">
        <v>104</v>
      </c>
      <c r="C125" s="44" t="s">
        <v>57</v>
      </c>
      <c r="D125" s="43" t="s">
        <v>1</v>
      </c>
      <c r="E125" s="43">
        <v>1</v>
      </c>
      <c r="F125" s="46">
        <f>G130</f>
        <v>4.04</v>
      </c>
      <c r="G125" s="49">
        <f>TRUNC(E125*F125,2)</f>
        <v>4.04</v>
      </c>
    </row>
    <row r="126" spans="1:7" s="102" customFormat="1" ht="15.75">
      <c r="A126" s="66"/>
      <c r="B126" s="66" t="s">
        <v>155</v>
      </c>
      <c r="C126" s="44" t="s">
        <v>58</v>
      </c>
      <c r="D126" s="43" t="s">
        <v>11</v>
      </c>
      <c r="E126" s="43">
        <v>0.009</v>
      </c>
      <c r="F126" s="43">
        <f>TRUNC(7.35,2)</f>
        <v>7.35</v>
      </c>
      <c r="G126" s="49">
        <f>TRUNC(E126*F126,2)</f>
        <v>0.06</v>
      </c>
    </row>
    <row r="127" spans="1:7" s="102" customFormat="1" ht="30">
      <c r="A127" s="66"/>
      <c r="B127" s="66" t="s">
        <v>166</v>
      </c>
      <c r="C127" s="44" t="s">
        <v>59</v>
      </c>
      <c r="D127" s="43" t="s">
        <v>1</v>
      </c>
      <c r="E127" s="43">
        <v>1.19</v>
      </c>
      <c r="F127" s="43">
        <f>TRUNC(2.06,2)</f>
        <v>2.06</v>
      </c>
      <c r="G127" s="49">
        <f>TRUNC(E127*F127,2)</f>
        <v>2.45</v>
      </c>
    </row>
    <row r="128" spans="1:7" s="102" customFormat="1" ht="15.75">
      <c r="A128" s="66"/>
      <c r="B128" s="66" t="s">
        <v>93</v>
      </c>
      <c r="C128" s="44" t="s">
        <v>44</v>
      </c>
      <c r="D128" s="43" t="s">
        <v>3</v>
      </c>
      <c r="E128" s="43">
        <v>0.03</v>
      </c>
      <c r="F128" s="43">
        <f>TRUNC(28.88,2)</f>
        <v>28.88</v>
      </c>
      <c r="G128" s="49">
        <f>TRUNC(E128*F128,2)</f>
        <v>0.86</v>
      </c>
    </row>
    <row r="129" spans="1:7" s="102" customFormat="1" ht="15.75">
      <c r="A129" s="66"/>
      <c r="B129" s="66" t="s">
        <v>94</v>
      </c>
      <c r="C129" s="44" t="s">
        <v>47</v>
      </c>
      <c r="D129" s="43" t="s">
        <v>3</v>
      </c>
      <c r="E129" s="43">
        <v>0.03</v>
      </c>
      <c r="F129" s="43">
        <f>TRUNC(22.4,2)</f>
        <v>22.4</v>
      </c>
      <c r="G129" s="49">
        <f>TRUNC(E129*F129,2)</f>
        <v>0.67</v>
      </c>
    </row>
    <row r="130" spans="1:7" s="102" customFormat="1" ht="15.75">
      <c r="A130" s="66"/>
      <c r="B130" s="66"/>
      <c r="C130" s="44"/>
      <c r="D130" s="43"/>
      <c r="E130" s="43" t="s">
        <v>4</v>
      </c>
      <c r="F130" s="43"/>
      <c r="G130" s="49">
        <f>TRUNC(SUM(G126:G129),2)</f>
        <v>4.04</v>
      </c>
    </row>
    <row r="131" spans="1:7" s="102" customFormat="1" ht="30">
      <c r="A131" s="117" t="s">
        <v>191</v>
      </c>
      <c r="B131" s="117" t="s">
        <v>105</v>
      </c>
      <c r="C131" s="119" t="s">
        <v>167</v>
      </c>
      <c r="D131" s="117" t="s">
        <v>1</v>
      </c>
      <c r="E131" s="118">
        <v>80</v>
      </c>
      <c r="F131" s="118">
        <f>TRUNC(F132,2)</f>
        <v>20.26</v>
      </c>
      <c r="G131" s="120">
        <f>TRUNC((E131*F131),2)</f>
        <v>1620.8</v>
      </c>
    </row>
    <row r="132" spans="1:7" s="112" customFormat="1" ht="30">
      <c r="A132" s="103"/>
      <c r="B132" s="103" t="s">
        <v>105</v>
      </c>
      <c r="C132" s="121" t="s">
        <v>167</v>
      </c>
      <c r="D132" s="104" t="s">
        <v>1</v>
      </c>
      <c r="E132" s="104">
        <v>1</v>
      </c>
      <c r="F132" s="125">
        <f>G136</f>
        <v>20.26</v>
      </c>
      <c r="G132" s="49">
        <f>TRUNC(E132*F132,2)</f>
        <v>20.26</v>
      </c>
    </row>
    <row r="133" spans="1:7" s="112" customFormat="1" ht="15.75">
      <c r="A133" s="103"/>
      <c r="B133" s="103" t="s">
        <v>168</v>
      </c>
      <c r="C133" s="121" t="s">
        <v>169</v>
      </c>
      <c r="D133" s="104" t="s">
        <v>1</v>
      </c>
      <c r="E133" s="104">
        <v>1.1</v>
      </c>
      <c r="F133" s="104">
        <f>TRUNC(12.42,2)</f>
        <v>12.42</v>
      </c>
      <c r="G133" s="49">
        <f>TRUNC(E133*F133,2)</f>
        <v>13.66</v>
      </c>
    </row>
    <row r="134" spans="1:7" s="112" customFormat="1" ht="15.75">
      <c r="A134" s="103"/>
      <c r="B134" s="103" t="s">
        <v>93</v>
      </c>
      <c r="C134" s="121" t="s">
        <v>44</v>
      </c>
      <c r="D134" s="104" t="s">
        <v>3</v>
      </c>
      <c r="E134" s="104">
        <v>0.129</v>
      </c>
      <c r="F134" s="104">
        <f>TRUNC(28.88,2)</f>
        <v>28.88</v>
      </c>
      <c r="G134" s="49">
        <f>TRUNC(E134*F134,2)</f>
        <v>3.72</v>
      </c>
    </row>
    <row r="135" spans="1:7" s="112" customFormat="1" ht="15.75">
      <c r="A135" s="103"/>
      <c r="B135" s="103" t="s">
        <v>94</v>
      </c>
      <c r="C135" s="121" t="s">
        <v>47</v>
      </c>
      <c r="D135" s="104" t="s">
        <v>3</v>
      </c>
      <c r="E135" s="104">
        <v>0.129</v>
      </c>
      <c r="F135" s="104">
        <f>TRUNC(22.4,2)</f>
        <v>22.4</v>
      </c>
      <c r="G135" s="49">
        <f>TRUNC(E135*F135,2)</f>
        <v>2.88</v>
      </c>
    </row>
    <row r="136" spans="1:7" s="112" customFormat="1" ht="15.75">
      <c r="A136" s="103"/>
      <c r="B136" s="103"/>
      <c r="C136" s="121"/>
      <c r="D136" s="104"/>
      <c r="E136" s="104" t="s">
        <v>4</v>
      </c>
      <c r="F136" s="104"/>
      <c r="G136" s="49">
        <f>TRUNC(SUM(G133:G135),2)</f>
        <v>20.26</v>
      </c>
    </row>
    <row r="137" spans="1:7" s="102" customFormat="1" ht="30">
      <c r="A137" s="117" t="s">
        <v>192</v>
      </c>
      <c r="B137" s="117" t="s">
        <v>106</v>
      </c>
      <c r="C137" s="119" t="s">
        <v>170</v>
      </c>
      <c r="D137" s="117" t="s">
        <v>1</v>
      </c>
      <c r="E137" s="118">
        <v>35</v>
      </c>
      <c r="F137" s="118">
        <f>TRUNC(F138,2)</f>
        <v>14.09</v>
      </c>
      <c r="G137" s="120">
        <f>TRUNC((E137*F137),2)</f>
        <v>493.15</v>
      </c>
    </row>
    <row r="138" spans="1:7" ht="15">
      <c r="A138" s="113"/>
      <c r="B138" s="113" t="s">
        <v>106</v>
      </c>
      <c r="C138" s="114" t="s">
        <v>170</v>
      </c>
      <c r="D138" s="115" t="s">
        <v>1</v>
      </c>
      <c r="E138" s="115">
        <v>1</v>
      </c>
      <c r="F138" s="115">
        <f>G142</f>
        <v>14.09</v>
      </c>
      <c r="G138" s="115">
        <f>TRUNC(E138*F138,2)</f>
        <v>14.09</v>
      </c>
    </row>
    <row r="139" spans="1:7" ht="15">
      <c r="A139" s="113"/>
      <c r="B139" s="113" t="s">
        <v>171</v>
      </c>
      <c r="C139" s="114" t="s">
        <v>172</v>
      </c>
      <c r="D139" s="115" t="s">
        <v>1</v>
      </c>
      <c r="E139" s="115">
        <v>1.1</v>
      </c>
      <c r="F139" s="115">
        <f>TRUNC(7.6,2)</f>
        <v>7.6</v>
      </c>
      <c r="G139" s="115">
        <f>TRUNC(E139*F139,2)</f>
        <v>8.36</v>
      </c>
    </row>
    <row r="140" spans="1:7" ht="15">
      <c r="A140" s="113"/>
      <c r="B140" s="113" t="s">
        <v>93</v>
      </c>
      <c r="C140" s="114" t="s">
        <v>44</v>
      </c>
      <c r="D140" s="115" t="s">
        <v>3</v>
      </c>
      <c r="E140" s="115">
        <v>0.112</v>
      </c>
      <c r="F140" s="115">
        <f>TRUNC(28.88,2)</f>
        <v>28.88</v>
      </c>
      <c r="G140" s="115">
        <f>TRUNC(E140*F140,2)</f>
        <v>3.23</v>
      </c>
    </row>
    <row r="141" spans="1:7" ht="15">
      <c r="A141" s="113"/>
      <c r="B141" s="113" t="s">
        <v>94</v>
      </c>
      <c r="C141" s="114" t="s">
        <v>47</v>
      </c>
      <c r="D141" s="115" t="s">
        <v>3</v>
      </c>
      <c r="E141" s="115">
        <v>0.112</v>
      </c>
      <c r="F141" s="115">
        <f>TRUNC(22.4,2)</f>
        <v>22.4</v>
      </c>
      <c r="G141" s="115">
        <f>TRUNC(E141*F141,2)</f>
        <v>2.5</v>
      </c>
    </row>
    <row r="142" spans="1:7" ht="15">
      <c r="A142" s="113"/>
      <c r="B142" s="113"/>
      <c r="C142" s="114"/>
      <c r="D142" s="115"/>
      <c r="E142" s="115" t="s">
        <v>4</v>
      </c>
      <c r="F142" s="115"/>
      <c r="G142" s="115">
        <f>TRUNC(SUM(G139:G141),2)</f>
        <v>14.09</v>
      </c>
    </row>
    <row r="143" spans="1:7" s="102" customFormat="1" ht="30">
      <c r="A143" s="117" t="s">
        <v>193</v>
      </c>
      <c r="B143" s="117" t="s">
        <v>107</v>
      </c>
      <c r="C143" s="119" t="s">
        <v>173</v>
      </c>
      <c r="D143" s="117" t="s">
        <v>1</v>
      </c>
      <c r="E143" s="118">
        <v>10</v>
      </c>
      <c r="F143" s="118">
        <f>TRUNC(F144,2)</f>
        <v>14.93</v>
      </c>
      <c r="G143" s="120">
        <f>TRUNC((E143*F143),2)</f>
        <v>149.3</v>
      </c>
    </row>
    <row r="144" spans="1:7" ht="30">
      <c r="A144" s="113"/>
      <c r="B144" s="113" t="s">
        <v>107</v>
      </c>
      <c r="C144" s="114" t="s">
        <v>173</v>
      </c>
      <c r="D144" s="115" t="s">
        <v>1</v>
      </c>
      <c r="E144" s="115">
        <v>1</v>
      </c>
      <c r="F144" s="116">
        <f>G149</f>
        <v>14.93</v>
      </c>
      <c r="G144" s="116">
        <f>TRUNC(E144*F144,2)</f>
        <v>14.93</v>
      </c>
    </row>
    <row r="145" spans="1:7" ht="15">
      <c r="A145" s="113"/>
      <c r="B145" s="113" t="s">
        <v>174</v>
      </c>
      <c r="C145" s="114" t="s">
        <v>175</v>
      </c>
      <c r="D145" s="115" t="s">
        <v>2</v>
      </c>
      <c r="E145" s="115">
        <v>0.0023</v>
      </c>
      <c r="F145" s="115">
        <f>TRUNC(16.7,2)</f>
        <v>16.7</v>
      </c>
      <c r="G145" s="116">
        <f>TRUNC(E145*F145,2)</f>
        <v>0.03</v>
      </c>
    </row>
    <row r="146" spans="1:7" ht="15">
      <c r="A146" s="113"/>
      <c r="B146" s="113" t="s">
        <v>176</v>
      </c>
      <c r="C146" s="114" t="s">
        <v>177</v>
      </c>
      <c r="D146" s="115" t="s">
        <v>1</v>
      </c>
      <c r="E146" s="115">
        <v>1.017</v>
      </c>
      <c r="F146" s="115">
        <f>TRUNC(6.91,2)</f>
        <v>6.91</v>
      </c>
      <c r="G146" s="116">
        <f>TRUNC(E146*F146,2)</f>
        <v>7.02</v>
      </c>
    </row>
    <row r="147" spans="1:7" ht="15">
      <c r="A147" s="113"/>
      <c r="B147" s="113" t="s">
        <v>93</v>
      </c>
      <c r="C147" s="114" t="s">
        <v>44</v>
      </c>
      <c r="D147" s="115" t="s">
        <v>3</v>
      </c>
      <c r="E147" s="115">
        <v>0.154</v>
      </c>
      <c r="F147" s="115">
        <f>TRUNC(28.88,2)</f>
        <v>28.88</v>
      </c>
      <c r="G147" s="116">
        <f>TRUNC(E147*F147,2)</f>
        <v>4.44</v>
      </c>
    </row>
    <row r="148" spans="1:7" ht="15">
      <c r="A148" s="113"/>
      <c r="B148" s="113" t="s">
        <v>94</v>
      </c>
      <c r="C148" s="114" t="s">
        <v>47</v>
      </c>
      <c r="D148" s="115" t="s">
        <v>3</v>
      </c>
      <c r="E148" s="115">
        <v>0.154</v>
      </c>
      <c r="F148" s="115">
        <f>TRUNC(22.4,2)</f>
        <v>22.4</v>
      </c>
      <c r="G148" s="116">
        <f>TRUNC(E148*F148,2)</f>
        <v>3.44</v>
      </c>
    </row>
    <row r="149" spans="1:7" ht="15">
      <c r="A149" s="113"/>
      <c r="B149" s="113"/>
      <c r="C149" s="114"/>
      <c r="D149" s="115"/>
      <c r="E149" s="115" t="s">
        <v>4</v>
      </c>
      <c r="F149" s="115"/>
      <c r="G149" s="116">
        <f>TRUNC(SUM(G145:G148),2)</f>
        <v>14.93</v>
      </c>
    </row>
    <row r="150" spans="1:7" s="102" customFormat="1" ht="30">
      <c r="A150" s="117" t="s">
        <v>194</v>
      </c>
      <c r="B150" s="117" t="s">
        <v>108</v>
      </c>
      <c r="C150" s="119" t="s">
        <v>56</v>
      </c>
      <c r="D150" s="117" t="s">
        <v>1</v>
      </c>
      <c r="E150" s="118">
        <v>8</v>
      </c>
      <c r="F150" s="118">
        <f>TRUNC(F151,2)</f>
        <v>11.75</v>
      </c>
      <c r="G150" s="120">
        <f>TRUNC((E150*F150),2)</f>
        <v>94</v>
      </c>
    </row>
    <row r="151" spans="1:7" ht="30">
      <c r="A151" s="113"/>
      <c r="B151" s="113" t="s">
        <v>108</v>
      </c>
      <c r="C151" s="114" t="s">
        <v>56</v>
      </c>
      <c r="D151" s="115" t="s">
        <v>1</v>
      </c>
      <c r="E151" s="115">
        <v>1</v>
      </c>
      <c r="F151" s="115">
        <f>G156</f>
        <v>11.75</v>
      </c>
      <c r="G151" s="115">
        <f>TRUNC(E151*F151,2)</f>
        <v>11.75</v>
      </c>
    </row>
    <row r="152" spans="1:7" ht="15">
      <c r="A152" s="113"/>
      <c r="B152" s="113" t="s">
        <v>174</v>
      </c>
      <c r="C152" s="114" t="s">
        <v>175</v>
      </c>
      <c r="D152" s="115" t="s">
        <v>2</v>
      </c>
      <c r="E152" s="115">
        <v>0.002</v>
      </c>
      <c r="F152" s="115">
        <f>TRUNC(16.7,2)</f>
        <v>16.7</v>
      </c>
      <c r="G152" s="115">
        <f>TRUNC(E152*F152,2)</f>
        <v>0.03</v>
      </c>
    </row>
    <row r="153" spans="1:7" ht="15">
      <c r="A153" s="113"/>
      <c r="B153" s="113" t="s">
        <v>178</v>
      </c>
      <c r="C153" s="114" t="s">
        <v>43</v>
      </c>
      <c r="D153" s="115" t="s">
        <v>1</v>
      </c>
      <c r="E153" s="115">
        <v>1.017</v>
      </c>
      <c r="F153" s="115">
        <f>TRUNC(5.19,2)</f>
        <v>5.19</v>
      </c>
      <c r="G153" s="115">
        <f>TRUNC(E153*F153,2)</f>
        <v>5.27</v>
      </c>
    </row>
    <row r="154" spans="1:7" ht="15">
      <c r="A154" s="113"/>
      <c r="B154" s="113" t="s">
        <v>93</v>
      </c>
      <c r="C154" s="114" t="s">
        <v>44</v>
      </c>
      <c r="D154" s="115" t="s">
        <v>3</v>
      </c>
      <c r="E154" s="115">
        <v>0.126</v>
      </c>
      <c r="F154" s="115">
        <f>TRUNC(28.88,2)</f>
        <v>28.88</v>
      </c>
      <c r="G154" s="115">
        <f>TRUNC(E154*F154,2)</f>
        <v>3.63</v>
      </c>
    </row>
    <row r="155" spans="1:7" ht="15">
      <c r="A155" s="113"/>
      <c r="B155" s="113" t="s">
        <v>94</v>
      </c>
      <c r="C155" s="114" t="s">
        <v>47</v>
      </c>
      <c r="D155" s="115" t="s">
        <v>3</v>
      </c>
      <c r="E155" s="115">
        <v>0.126</v>
      </c>
      <c r="F155" s="115">
        <f>TRUNC(22.4,2)</f>
        <v>22.4</v>
      </c>
      <c r="G155" s="115">
        <f>TRUNC(E155*F155,2)</f>
        <v>2.82</v>
      </c>
    </row>
    <row r="156" spans="1:7" ht="15">
      <c r="A156" s="113"/>
      <c r="B156" s="113"/>
      <c r="C156" s="114"/>
      <c r="D156" s="115"/>
      <c r="E156" s="115" t="s">
        <v>4</v>
      </c>
      <c r="F156" s="115"/>
      <c r="G156" s="115">
        <f>TRUNC(SUM(G152:G155),2)</f>
        <v>11.75</v>
      </c>
    </row>
    <row r="157" spans="1:7" s="102" customFormat="1" ht="30">
      <c r="A157" s="117" t="s">
        <v>195</v>
      </c>
      <c r="B157" s="117" t="s">
        <v>109</v>
      </c>
      <c r="C157" s="119" t="s">
        <v>179</v>
      </c>
      <c r="D157" s="117" t="s">
        <v>1</v>
      </c>
      <c r="E157" s="118">
        <v>42</v>
      </c>
      <c r="F157" s="118">
        <f>TRUNC(F158,2)</f>
        <v>8.62</v>
      </c>
      <c r="G157" s="120">
        <f>TRUNC((E157*F157),2)</f>
        <v>362.04</v>
      </c>
    </row>
    <row r="158" spans="1:7" ht="30">
      <c r="A158" s="113"/>
      <c r="B158" s="113" t="s">
        <v>109</v>
      </c>
      <c r="C158" s="114" t="s">
        <v>179</v>
      </c>
      <c r="D158" s="115" t="s">
        <v>1</v>
      </c>
      <c r="E158" s="115">
        <v>1</v>
      </c>
      <c r="F158" s="115">
        <f>G163</f>
        <v>8.62</v>
      </c>
      <c r="G158" s="115">
        <f>TRUNC(E158*F158,2)</f>
        <v>8.62</v>
      </c>
    </row>
    <row r="159" spans="1:7" ht="15">
      <c r="A159" s="113"/>
      <c r="B159" s="113" t="s">
        <v>174</v>
      </c>
      <c r="C159" s="114" t="s">
        <v>175</v>
      </c>
      <c r="D159" s="115" t="s">
        <v>2</v>
      </c>
      <c r="E159" s="115">
        <v>0.0018</v>
      </c>
      <c r="F159" s="115">
        <f>TRUNC(16.7,2)</f>
        <v>16.7</v>
      </c>
      <c r="G159" s="115">
        <f>TRUNC(E159*F159,2)</f>
        <v>0.03</v>
      </c>
    </row>
    <row r="160" spans="1:7" ht="15">
      <c r="A160" s="113"/>
      <c r="B160" s="113" t="s">
        <v>180</v>
      </c>
      <c r="C160" s="114" t="s">
        <v>181</v>
      </c>
      <c r="D160" s="115" t="s">
        <v>1</v>
      </c>
      <c r="E160" s="115">
        <v>1.017</v>
      </c>
      <c r="F160" s="115">
        <f>TRUNC(3.32,2)</f>
        <v>3.32</v>
      </c>
      <c r="G160" s="115">
        <f>TRUNC(E160*F160,2)</f>
        <v>3.37</v>
      </c>
    </row>
    <row r="161" spans="1:7" ht="15">
      <c r="A161" s="113"/>
      <c r="B161" s="113" t="s">
        <v>93</v>
      </c>
      <c r="C161" s="114" t="s">
        <v>44</v>
      </c>
      <c r="D161" s="115" t="s">
        <v>3</v>
      </c>
      <c r="E161" s="115">
        <v>0.102</v>
      </c>
      <c r="F161" s="115">
        <f>TRUNC(28.88,2)</f>
        <v>28.88</v>
      </c>
      <c r="G161" s="115">
        <f>TRUNC(E161*F161,2)</f>
        <v>2.94</v>
      </c>
    </row>
    <row r="162" spans="1:7" ht="15">
      <c r="A162" s="113"/>
      <c r="B162" s="113" t="s">
        <v>94</v>
      </c>
      <c r="C162" s="114" t="s">
        <v>47</v>
      </c>
      <c r="D162" s="115" t="s">
        <v>3</v>
      </c>
      <c r="E162" s="115">
        <v>0.102</v>
      </c>
      <c r="F162" s="115">
        <f>TRUNC(22.4,2)</f>
        <v>22.4</v>
      </c>
      <c r="G162" s="115">
        <f>TRUNC(E162*F162,2)</f>
        <v>2.28</v>
      </c>
    </row>
    <row r="163" spans="1:7" ht="15">
      <c r="A163" s="113"/>
      <c r="B163" s="113"/>
      <c r="C163" s="114"/>
      <c r="D163" s="115"/>
      <c r="E163" s="115" t="s">
        <v>4</v>
      </c>
      <c r="F163" s="115"/>
      <c r="G163" s="115">
        <f>TRUNC(SUM(G159:G162),2)</f>
        <v>8.62</v>
      </c>
    </row>
    <row r="164" spans="1:7" s="102" customFormat="1" ht="30">
      <c r="A164" s="117" t="s">
        <v>196</v>
      </c>
      <c r="B164" s="117" t="s">
        <v>121</v>
      </c>
      <c r="C164" s="119" t="s">
        <v>136</v>
      </c>
      <c r="D164" s="117" t="s">
        <v>11</v>
      </c>
      <c r="E164" s="118">
        <v>3</v>
      </c>
      <c r="F164" s="118">
        <f>TRUNC(F165,2)</f>
        <v>44.55</v>
      </c>
      <c r="G164" s="120">
        <f>TRUNC((E164*F164),2)</f>
        <v>133.65</v>
      </c>
    </row>
    <row r="165" spans="1:7" ht="30">
      <c r="A165" s="113"/>
      <c r="B165" s="113" t="s">
        <v>121</v>
      </c>
      <c r="C165" s="114" t="s">
        <v>136</v>
      </c>
      <c r="D165" s="115" t="s">
        <v>11</v>
      </c>
      <c r="E165" s="115">
        <v>1</v>
      </c>
      <c r="F165" s="115">
        <f>G169</f>
        <v>44.55</v>
      </c>
      <c r="G165" s="115">
        <f>TRUNC(E165*F165,2)</f>
        <v>44.55</v>
      </c>
    </row>
    <row r="166" spans="1:7" ht="15">
      <c r="A166" s="113"/>
      <c r="B166" s="113" t="s">
        <v>137</v>
      </c>
      <c r="C166" s="114" t="s">
        <v>138</v>
      </c>
      <c r="D166" s="115" t="s">
        <v>11</v>
      </c>
      <c r="E166" s="115">
        <v>1</v>
      </c>
      <c r="F166" s="115">
        <f>TRUNC(23.05,2)</f>
        <v>23.05</v>
      </c>
      <c r="G166" s="115">
        <f>TRUNC(E166*F166,2)</f>
        <v>23.05</v>
      </c>
    </row>
    <row r="167" spans="1:7" ht="15">
      <c r="A167" s="113"/>
      <c r="B167" s="113" t="s">
        <v>85</v>
      </c>
      <c r="C167" s="114" t="s">
        <v>86</v>
      </c>
      <c r="D167" s="115" t="s">
        <v>3</v>
      </c>
      <c r="E167" s="115">
        <v>0.5459</v>
      </c>
      <c r="F167" s="115">
        <f>TRUNC(16.55,2)</f>
        <v>16.55</v>
      </c>
      <c r="G167" s="115">
        <f>TRUNC(E167*F167,2)</f>
        <v>9.03</v>
      </c>
    </row>
    <row r="168" spans="1:7" ht="15">
      <c r="A168" s="113"/>
      <c r="B168" s="113" t="s">
        <v>87</v>
      </c>
      <c r="C168" s="114" t="s">
        <v>88</v>
      </c>
      <c r="D168" s="115" t="s">
        <v>3</v>
      </c>
      <c r="E168" s="115">
        <v>0.5459</v>
      </c>
      <c r="F168" s="115">
        <f>TRUNC(22.86,2)</f>
        <v>22.86</v>
      </c>
      <c r="G168" s="115">
        <f>TRUNC(E168*F168,2)</f>
        <v>12.47</v>
      </c>
    </row>
    <row r="169" spans="1:7" ht="15">
      <c r="A169" s="113"/>
      <c r="B169" s="113"/>
      <c r="C169" s="114"/>
      <c r="D169" s="115"/>
      <c r="E169" s="115" t="s">
        <v>4</v>
      </c>
      <c r="F169" s="115"/>
      <c r="G169" s="115">
        <f>TRUNC(SUM(G166:G168),2)</f>
        <v>44.55</v>
      </c>
    </row>
    <row r="170" spans="1:7" s="102" customFormat="1" ht="30">
      <c r="A170" s="117" t="s">
        <v>197</v>
      </c>
      <c r="B170" s="117" t="s">
        <v>122</v>
      </c>
      <c r="C170" s="119" t="s">
        <v>139</v>
      </c>
      <c r="D170" s="117" t="s">
        <v>11</v>
      </c>
      <c r="E170" s="118">
        <v>27</v>
      </c>
      <c r="F170" s="118">
        <f>TRUNC(F171,2)</f>
        <v>37.57</v>
      </c>
      <c r="G170" s="120">
        <f>TRUNC((E170*F170),2)</f>
        <v>1014.39</v>
      </c>
    </row>
    <row r="171" spans="1:7" ht="30">
      <c r="A171" s="113"/>
      <c r="B171" s="113" t="s">
        <v>122</v>
      </c>
      <c r="C171" s="114" t="s">
        <v>139</v>
      </c>
      <c r="D171" s="115" t="s">
        <v>11</v>
      </c>
      <c r="E171" s="115">
        <v>1</v>
      </c>
      <c r="F171" s="115">
        <f>G175</f>
        <v>37.57</v>
      </c>
      <c r="G171" s="115">
        <f>TRUNC(E171*F171,2)</f>
        <v>37.57</v>
      </c>
    </row>
    <row r="172" spans="1:7" ht="15">
      <c r="A172" s="113"/>
      <c r="B172" s="113" t="s">
        <v>140</v>
      </c>
      <c r="C172" s="114" t="s">
        <v>141</v>
      </c>
      <c r="D172" s="115" t="s">
        <v>11</v>
      </c>
      <c r="E172" s="115">
        <v>1</v>
      </c>
      <c r="F172" s="115">
        <f>TRUNC(16.07,2)</f>
        <v>16.07</v>
      </c>
      <c r="G172" s="115">
        <f>TRUNC(E172*F172,2)</f>
        <v>16.07</v>
      </c>
    </row>
    <row r="173" spans="1:7" ht="15">
      <c r="A173" s="113"/>
      <c r="B173" s="113" t="s">
        <v>85</v>
      </c>
      <c r="C173" s="114" t="s">
        <v>86</v>
      </c>
      <c r="D173" s="115" t="s">
        <v>3</v>
      </c>
      <c r="E173" s="115">
        <v>0.5459</v>
      </c>
      <c r="F173" s="115">
        <f>TRUNC(16.55,2)</f>
        <v>16.55</v>
      </c>
      <c r="G173" s="115">
        <f>TRUNC(E173*F173,2)</f>
        <v>9.03</v>
      </c>
    </row>
    <row r="174" spans="1:7" ht="15">
      <c r="A174" s="113"/>
      <c r="B174" s="113" t="s">
        <v>87</v>
      </c>
      <c r="C174" s="114" t="s">
        <v>88</v>
      </c>
      <c r="D174" s="115" t="s">
        <v>3</v>
      </c>
      <c r="E174" s="115">
        <v>0.5459</v>
      </c>
      <c r="F174" s="115">
        <f>TRUNC(22.86,2)</f>
        <v>22.86</v>
      </c>
      <c r="G174" s="115">
        <f>TRUNC(E174*F174,2)</f>
        <v>12.47</v>
      </c>
    </row>
    <row r="175" spans="1:7" ht="15">
      <c r="A175" s="113"/>
      <c r="B175" s="113"/>
      <c r="C175" s="114"/>
      <c r="D175" s="115"/>
      <c r="E175" s="115" t="s">
        <v>4</v>
      </c>
      <c r="F175" s="115"/>
      <c r="G175" s="115">
        <f>TRUNC(SUM(G172:G174),2)</f>
        <v>37.57</v>
      </c>
    </row>
    <row r="176" spans="1:7" s="102" customFormat="1" ht="30">
      <c r="A176" s="117" t="s">
        <v>198</v>
      </c>
      <c r="B176" s="117" t="s">
        <v>123</v>
      </c>
      <c r="C176" s="119" t="s">
        <v>142</v>
      </c>
      <c r="D176" s="117" t="s">
        <v>11</v>
      </c>
      <c r="E176" s="118">
        <v>10</v>
      </c>
      <c r="F176" s="118">
        <f>TRUNC(F177,2)</f>
        <v>26.05</v>
      </c>
      <c r="G176" s="120">
        <f>TRUNC((E176*F176),2)</f>
        <v>260.5</v>
      </c>
    </row>
    <row r="177" spans="1:7" ht="30">
      <c r="A177" s="113"/>
      <c r="B177" s="113" t="s">
        <v>123</v>
      </c>
      <c r="C177" s="114" t="s">
        <v>142</v>
      </c>
      <c r="D177" s="115" t="s">
        <v>11</v>
      </c>
      <c r="E177" s="115">
        <v>1</v>
      </c>
      <c r="F177" s="115">
        <f>G181</f>
        <v>26.05</v>
      </c>
      <c r="G177" s="115">
        <f>TRUNC(E177*F177,2)</f>
        <v>26.05</v>
      </c>
    </row>
    <row r="178" spans="1:7" ht="15">
      <c r="A178" s="113"/>
      <c r="B178" s="113" t="s">
        <v>143</v>
      </c>
      <c r="C178" s="114" t="s">
        <v>144</v>
      </c>
      <c r="D178" s="115" t="s">
        <v>11</v>
      </c>
      <c r="E178" s="115">
        <v>1</v>
      </c>
      <c r="F178" s="115">
        <f>TRUNC(5.76,2)</f>
        <v>5.76</v>
      </c>
      <c r="G178" s="115">
        <f>TRUNC(E178*F178,2)</f>
        <v>5.76</v>
      </c>
    </row>
    <row r="179" spans="1:7" ht="15">
      <c r="A179" s="113"/>
      <c r="B179" s="113" t="s">
        <v>85</v>
      </c>
      <c r="C179" s="114" t="s">
        <v>86</v>
      </c>
      <c r="D179" s="115" t="s">
        <v>3</v>
      </c>
      <c r="E179" s="115">
        <v>0.515</v>
      </c>
      <c r="F179" s="115">
        <f>TRUNC(16.55,2)</f>
        <v>16.55</v>
      </c>
      <c r="G179" s="115">
        <f>TRUNC(E179*F179,2)</f>
        <v>8.52</v>
      </c>
    </row>
    <row r="180" spans="1:7" ht="15">
      <c r="A180" s="113"/>
      <c r="B180" s="113" t="s">
        <v>87</v>
      </c>
      <c r="C180" s="114" t="s">
        <v>88</v>
      </c>
      <c r="D180" s="115" t="s">
        <v>3</v>
      </c>
      <c r="E180" s="115">
        <v>0.515</v>
      </c>
      <c r="F180" s="115">
        <f>TRUNC(22.86,2)</f>
        <v>22.86</v>
      </c>
      <c r="G180" s="115">
        <f>TRUNC(E180*F180,2)</f>
        <v>11.77</v>
      </c>
    </row>
    <row r="181" spans="1:7" ht="15">
      <c r="A181" s="113"/>
      <c r="B181" s="113"/>
      <c r="C181" s="114"/>
      <c r="D181" s="115"/>
      <c r="E181" s="115" t="s">
        <v>4</v>
      </c>
      <c r="F181" s="115"/>
      <c r="G181" s="115">
        <f>TRUNC(SUM(G178:G180),2)</f>
        <v>26.05</v>
      </c>
    </row>
    <row r="182" spans="1:7" s="102" customFormat="1" ht="45">
      <c r="A182" s="117" t="s">
        <v>199</v>
      </c>
      <c r="B182" s="117" t="s">
        <v>145</v>
      </c>
      <c r="C182" s="119" t="s">
        <v>146</v>
      </c>
      <c r="D182" s="117" t="s">
        <v>1</v>
      </c>
      <c r="E182" s="118">
        <v>1.5</v>
      </c>
      <c r="F182" s="118">
        <f>TRUNC(F183,2)</f>
        <v>30.62</v>
      </c>
      <c r="G182" s="120">
        <f>TRUNC((E182*F182),2)</f>
        <v>45.93</v>
      </c>
    </row>
    <row r="183" spans="1:7" ht="30">
      <c r="A183" s="113"/>
      <c r="B183" s="113" t="s">
        <v>145</v>
      </c>
      <c r="C183" s="114" t="s">
        <v>146</v>
      </c>
      <c r="D183" s="115" t="s">
        <v>1</v>
      </c>
      <c r="E183" s="115">
        <v>1</v>
      </c>
      <c r="F183" s="115">
        <f>G187</f>
        <v>30.62</v>
      </c>
      <c r="G183" s="115">
        <f>TRUNC(E183*F183,2)</f>
        <v>30.62</v>
      </c>
    </row>
    <row r="184" spans="1:7" ht="15">
      <c r="A184" s="113"/>
      <c r="B184" s="113" t="s">
        <v>85</v>
      </c>
      <c r="C184" s="114" t="s">
        <v>86</v>
      </c>
      <c r="D184" s="115" t="s">
        <v>3</v>
      </c>
      <c r="E184" s="115">
        <v>1.03</v>
      </c>
      <c r="F184" s="115">
        <f>TRUNC(16.55,2)</f>
        <v>16.55</v>
      </c>
      <c r="G184" s="115">
        <f>TRUNC(E184*F184,2)</f>
        <v>17.04</v>
      </c>
    </row>
    <row r="185" spans="1:7" ht="15">
      <c r="A185" s="113"/>
      <c r="B185" s="113" t="s">
        <v>147</v>
      </c>
      <c r="C185" s="114" t="s">
        <v>148</v>
      </c>
      <c r="D185" s="115" t="s">
        <v>3</v>
      </c>
      <c r="E185" s="115">
        <v>0.515</v>
      </c>
      <c r="F185" s="115">
        <f>TRUNC(22.86,2)</f>
        <v>22.86</v>
      </c>
      <c r="G185" s="115">
        <f>TRUNC(E185*F185,2)</f>
        <v>11.77</v>
      </c>
    </row>
    <row r="186" spans="1:7" ht="15">
      <c r="A186" s="113"/>
      <c r="B186" s="113" t="s">
        <v>149</v>
      </c>
      <c r="C186" s="114" t="s">
        <v>150</v>
      </c>
      <c r="D186" s="115" t="s">
        <v>0</v>
      </c>
      <c r="E186" s="115">
        <v>0.005</v>
      </c>
      <c r="F186" s="115">
        <f>TRUNC(362.6891,2)</f>
        <v>362.68</v>
      </c>
      <c r="G186" s="115">
        <f>TRUNC(E186*F186,2)</f>
        <v>1.81</v>
      </c>
    </row>
    <row r="187" spans="1:7" ht="15">
      <c r="A187" s="113"/>
      <c r="B187" s="113"/>
      <c r="C187" s="114"/>
      <c r="D187" s="115"/>
      <c r="E187" s="115" t="s">
        <v>4</v>
      </c>
      <c r="F187" s="115"/>
      <c r="G187" s="115">
        <f>TRUNC(SUM(G184:G186),2)</f>
        <v>30.62</v>
      </c>
    </row>
    <row r="188" spans="1:7" ht="15">
      <c r="A188" s="122" t="s">
        <v>38</v>
      </c>
      <c r="B188" s="123"/>
      <c r="C188" s="124"/>
      <c r="D188" s="123"/>
      <c r="E188" s="142" t="s">
        <v>41</v>
      </c>
      <c r="F188" s="143"/>
      <c r="G188" s="126">
        <f>G13+G26+G33+G40+G47+G54+G61+G67+G73+G79+G83+G89+G96+G103+G110+G117+G124+G131+G137+G143+G150+G157+G164+G170+G176+G182</f>
        <v>52953.62000000001</v>
      </c>
    </row>
    <row r="189" spans="1:7" ht="15">
      <c r="A189" s="113"/>
      <c r="B189" s="115"/>
      <c r="C189" s="114"/>
      <c r="D189" s="115"/>
      <c r="E189" s="115"/>
      <c r="F189" s="115"/>
      <c r="G189" s="115"/>
    </row>
    <row r="190" spans="1:7" ht="15">
      <c r="A190" s="113"/>
      <c r="B190" s="115"/>
      <c r="C190" s="114"/>
      <c r="D190" s="115"/>
      <c r="E190" s="115"/>
      <c r="F190" s="115"/>
      <c r="G190" s="115"/>
    </row>
    <row r="191" spans="1:7" ht="15">
      <c r="A191" s="113"/>
      <c r="B191" s="115"/>
      <c r="C191" s="114"/>
      <c r="D191" s="115"/>
      <c r="E191" s="115"/>
      <c r="F191" s="115"/>
      <c r="G191" s="115"/>
    </row>
    <row r="192" spans="1:7" ht="15">
      <c r="A192" s="113"/>
      <c r="B192" s="115"/>
      <c r="C192" s="114"/>
      <c r="D192" s="115"/>
      <c r="E192" s="115"/>
      <c r="F192" s="115"/>
      <c r="G192" s="115"/>
    </row>
  </sheetData>
  <sheetProtection/>
  <mergeCells count="14">
    <mergeCell ref="D3:G3"/>
    <mergeCell ref="D4:G4"/>
    <mergeCell ref="D5:G5"/>
    <mergeCell ref="D6:G6"/>
    <mergeCell ref="D7:G7"/>
    <mergeCell ref="D8:G8"/>
    <mergeCell ref="E188:F188"/>
    <mergeCell ref="A9:G9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6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9"/>
  <sheetViews>
    <sheetView view="pageBreakPreview" zoomScale="70" zoomScaleSheetLayoutView="70" zoomScalePageLayoutView="0" workbookViewId="0" topLeftCell="A1">
      <selection activeCell="D3" sqref="D3:G3"/>
    </sheetView>
  </sheetViews>
  <sheetFormatPr defaultColWidth="9.140625" defaultRowHeight="15"/>
  <cols>
    <col min="1" max="1" width="9.140625" style="53" customWidth="1"/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97" width="9.140625" style="101" customWidth="1"/>
  </cols>
  <sheetData>
    <row r="1" spans="1:7" ht="15.75">
      <c r="A1" s="2"/>
      <c r="B1" s="3"/>
      <c r="C1" s="4" t="s">
        <v>13</v>
      </c>
      <c r="D1" s="5"/>
      <c r="E1" s="6"/>
      <c r="F1" s="7"/>
      <c r="G1" s="7"/>
    </row>
    <row r="2" spans="1:7" ht="15.75">
      <c r="A2" s="8"/>
      <c r="B2" s="9"/>
      <c r="C2" s="10" t="s">
        <v>14</v>
      </c>
      <c r="D2" s="11"/>
      <c r="E2" s="12"/>
      <c r="F2" s="13"/>
      <c r="G2" s="13"/>
    </row>
    <row r="3" spans="1:7" ht="15.75">
      <c r="A3" s="8"/>
      <c r="B3" s="9"/>
      <c r="C3" s="10" t="s">
        <v>15</v>
      </c>
      <c r="D3" s="153" t="s">
        <v>206</v>
      </c>
      <c r="E3" s="154"/>
      <c r="F3" s="154"/>
      <c r="G3" s="155"/>
    </row>
    <row r="4" spans="1:7" ht="30">
      <c r="A4" s="8"/>
      <c r="B4" s="9"/>
      <c r="C4" s="14" t="s">
        <v>64</v>
      </c>
      <c r="D4" s="156" t="s">
        <v>66</v>
      </c>
      <c r="E4" s="157"/>
      <c r="F4" s="157"/>
      <c r="G4" s="158"/>
    </row>
    <row r="5" spans="1:7" ht="15.75">
      <c r="A5" s="8"/>
      <c r="B5" s="9"/>
      <c r="C5" s="50" t="s">
        <v>65</v>
      </c>
      <c r="D5" s="159" t="s">
        <v>53</v>
      </c>
      <c r="E5" s="160"/>
      <c r="F5" s="160"/>
      <c r="G5" s="161"/>
    </row>
    <row r="6" spans="1:7" ht="15.75">
      <c r="A6" s="8"/>
      <c r="B6" s="9"/>
      <c r="C6" s="15" t="s">
        <v>201</v>
      </c>
      <c r="D6" s="162" t="s">
        <v>54</v>
      </c>
      <c r="E6" s="163"/>
      <c r="F6" s="163"/>
      <c r="G6" s="164"/>
    </row>
    <row r="7" spans="1:7" ht="15.75">
      <c r="A7" s="8"/>
      <c r="B7" s="9"/>
      <c r="C7" s="51"/>
      <c r="D7" s="162" t="s">
        <v>23</v>
      </c>
      <c r="E7" s="163"/>
      <c r="F7" s="163"/>
      <c r="G7" s="164"/>
    </row>
    <row r="8" spans="1:7" ht="15.75">
      <c r="A8" s="16"/>
      <c r="B8" s="17"/>
      <c r="C8" s="18"/>
      <c r="D8" s="165" t="s">
        <v>42</v>
      </c>
      <c r="E8" s="166"/>
      <c r="F8" s="166"/>
      <c r="G8" s="167"/>
    </row>
    <row r="9" spans="1:7" ht="15">
      <c r="A9" s="144" t="s">
        <v>202</v>
      </c>
      <c r="B9" s="145"/>
      <c r="C9" s="145"/>
      <c r="D9" s="145"/>
      <c r="E9" s="145"/>
      <c r="F9" s="145"/>
      <c r="G9" s="145"/>
    </row>
    <row r="10" spans="1:7" ht="15.75">
      <c r="A10" s="146" t="s">
        <v>17</v>
      </c>
      <c r="B10" s="148" t="s">
        <v>18</v>
      </c>
      <c r="C10" s="150" t="s">
        <v>19</v>
      </c>
      <c r="D10" s="146" t="s">
        <v>11</v>
      </c>
      <c r="E10" s="151" t="s">
        <v>20</v>
      </c>
      <c r="F10" s="151" t="s">
        <v>21</v>
      </c>
      <c r="G10" s="151"/>
    </row>
    <row r="11" spans="1:7" ht="15.75">
      <c r="A11" s="147"/>
      <c r="B11" s="149"/>
      <c r="C11" s="148"/>
      <c r="D11" s="147"/>
      <c r="E11" s="152"/>
      <c r="F11" s="19" t="s">
        <v>22</v>
      </c>
      <c r="G11" s="20" t="s">
        <v>4</v>
      </c>
    </row>
    <row r="12" spans="1:97" s="45" customFormat="1" ht="15.75">
      <c r="A12" s="68" t="s">
        <v>12</v>
      </c>
      <c r="B12" s="70"/>
      <c r="C12" s="69" t="s">
        <v>33</v>
      </c>
      <c r="D12" s="70"/>
      <c r="E12" s="70"/>
      <c r="F12" s="70"/>
      <c r="G12" s="48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</row>
    <row r="13" spans="1:7" s="102" customFormat="1" ht="60">
      <c r="A13" s="127" t="s">
        <v>5</v>
      </c>
      <c r="B13" s="128" t="s">
        <v>67</v>
      </c>
      <c r="C13" s="129" t="s">
        <v>68</v>
      </c>
      <c r="D13" s="128" t="s">
        <v>1</v>
      </c>
      <c r="E13" s="130">
        <f>'MEMÓRIA DESONERADA'!E13</f>
        <v>12</v>
      </c>
      <c r="F13" s="131">
        <f>TRUNC('MEMÓRIA DESONERADA'!F13,2)</f>
        <v>98.13</v>
      </c>
      <c r="G13" s="132">
        <f aca="true" t="shared" si="0" ref="G13:G38">TRUNC((E13*F13),2)</f>
        <v>1177.56</v>
      </c>
    </row>
    <row r="14" spans="1:7" s="102" customFormat="1" ht="30">
      <c r="A14" s="127" t="s">
        <v>6</v>
      </c>
      <c r="B14" s="128" t="s">
        <v>89</v>
      </c>
      <c r="C14" s="129" t="s">
        <v>90</v>
      </c>
      <c r="D14" s="128" t="s">
        <v>11</v>
      </c>
      <c r="E14" s="130">
        <f>'MEMÓRIA DESONERADA'!E26</f>
        <v>28</v>
      </c>
      <c r="F14" s="131">
        <f>TRUNC('MEMÓRIA DESONERADA'!F26,2)</f>
        <v>54.28</v>
      </c>
      <c r="G14" s="132">
        <f t="shared" si="0"/>
        <v>1519.84</v>
      </c>
    </row>
    <row r="15" spans="1:7" s="102" customFormat="1" ht="30">
      <c r="A15" s="127" t="s">
        <v>7</v>
      </c>
      <c r="B15" s="127" t="s">
        <v>95</v>
      </c>
      <c r="C15" s="129" t="s">
        <v>110</v>
      </c>
      <c r="D15" s="128" t="s">
        <v>11</v>
      </c>
      <c r="E15" s="130">
        <f>'MEMÓRIA DESONERADA'!E33</f>
        <v>1</v>
      </c>
      <c r="F15" s="131">
        <f>TRUNC('MEMÓRIA DESONERADA'!F33,2)</f>
        <v>56.59</v>
      </c>
      <c r="G15" s="132">
        <f t="shared" si="0"/>
        <v>56.59</v>
      </c>
    </row>
    <row r="16" spans="1:7" s="102" customFormat="1" ht="30">
      <c r="A16" s="127" t="s">
        <v>8</v>
      </c>
      <c r="B16" s="127" t="s">
        <v>96</v>
      </c>
      <c r="C16" s="129" t="s">
        <v>112</v>
      </c>
      <c r="D16" s="127" t="s">
        <v>11</v>
      </c>
      <c r="E16" s="130">
        <f>'MEMÓRIA DESONERADA'!E40</f>
        <v>5</v>
      </c>
      <c r="F16" s="131">
        <f>TRUNC('MEMÓRIA DESONERADA'!F40,2)</f>
        <v>56.59</v>
      </c>
      <c r="G16" s="132">
        <f t="shared" si="0"/>
        <v>282.95</v>
      </c>
    </row>
    <row r="17" spans="1:7" s="102" customFormat="1" ht="30">
      <c r="A17" s="127" t="s">
        <v>9</v>
      </c>
      <c r="B17" s="127" t="s">
        <v>97</v>
      </c>
      <c r="C17" s="129" t="s">
        <v>113</v>
      </c>
      <c r="D17" s="127" t="s">
        <v>11</v>
      </c>
      <c r="E17" s="130">
        <f>'MEMÓRIA DESONERADA'!E47</f>
        <v>2</v>
      </c>
      <c r="F17" s="131">
        <f>TRUNC('MEMÓRIA DESONERADA'!F47,2)</f>
        <v>59.47</v>
      </c>
      <c r="G17" s="132">
        <f t="shared" si="0"/>
        <v>118.94</v>
      </c>
    </row>
    <row r="18" spans="1:7" s="102" customFormat="1" ht="30">
      <c r="A18" s="127" t="s">
        <v>10</v>
      </c>
      <c r="B18" s="127" t="s">
        <v>98</v>
      </c>
      <c r="C18" s="129" t="s">
        <v>115</v>
      </c>
      <c r="D18" s="127" t="s">
        <v>11</v>
      </c>
      <c r="E18" s="130">
        <f>'MEMÓRIA DESONERADA'!E54</f>
        <v>2</v>
      </c>
      <c r="F18" s="131">
        <f>TRUNC('MEMÓRIA DESONERADA'!F54,2)</f>
        <v>75.98</v>
      </c>
      <c r="G18" s="132">
        <f t="shared" si="0"/>
        <v>151.96</v>
      </c>
    </row>
    <row r="19" spans="1:7" s="102" customFormat="1" ht="30">
      <c r="A19" s="127" t="s">
        <v>39</v>
      </c>
      <c r="B19" s="127" t="s">
        <v>117</v>
      </c>
      <c r="C19" s="129" t="s">
        <v>124</v>
      </c>
      <c r="D19" s="127" t="s">
        <v>11</v>
      </c>
      <c r="E19" s="130">
        <f>'MEMÓRIA DESONERADA'!E61</f>
        <v>4</v>
      </c>
      <c r="F19" s="131">
        <f>TRUNC('MEMÓRIA DESONERADA'!F61,2)</f>
        <v>51.41</v>
      </c>
      <c r="G19" s="132">
        <f t="shared" si="0"/>
        <v>205.64</v>
      </c>
    </row>
    <row r="20" spans="1:7" s="102" customFormat="1" ht="45">
      <c r="A20" s="127" t="s">
        <v>40</v>
      </c>
      <c r="B20" s="127" t="s">
        <v>118</v>
      </c>
      <c r="C20" s="129" t="s">
        <v>127</v>
      </c>
      <c r="D20" s="127" t="s">
        <v>11</v>
      </c>
      <c r="E20" s="130">
        <f>'MEMÓRIA DESONERADA'!E67</f>
        <v>1</v>
      </c>
      <c r="F20" s="131">
        <f>TRUNC('MEMÓRIA DESONERADA'!F67,2)</f>
        <v>314.98</v>
      </c>
      <c r="G20" s="132">
        <f t="shared" si="0"/>
        <v>314.98</v>
      </c>
    </row>
    <row r="21" spans="1:7" s="102" customFormat="1" ht="45">
      <c r="A21" s="127" t="s">
        <v>182</v>
      </c>
      <c r="B21" s="127" t="s">
        <v>151</v>
      </c>
      <c r="C21" s="129" t="s">
        <v>152</v>
      </c>
      <c r="D21" s="127" t="s">
        <v>11</v>
      </c>
      <c r="E21" s="130">
        <f>'MEMÓRIA DESONERADA'!E73</f>
        <v>4</v>
      </c>
      <c r="F21" s="131">
        <f>TRUNC('MEMÓRIA DESONERADA'!F73,2)</f>
        <v>376.17</v>
      </c>
      <c r="G21" s="132">
        <f t="shared" si="0"/>
        <v>1504.68</v>
      </c>
    </row>
    <row r="22" spans="1:7" s="102" customFormat="1" ht="30">
      <c r="A22" s="127" t="s">
        <v>183</v>
      </c>
      <c r="B22" s="127" t="s">
        <v>119</v>
      </c>
      <c r="C22" s="129" t="s">
        <v>130</v>
      </c>
      <c r="D22" s="127" t="s">
        <v>11</v>
      </c>
      <c r="E22" s="130">
        <f>'MEMÓRIA DESONERADA'!E79</f>
        <v>2</v>
      </c>
      <c r="F22" s="131">
        <f>TRUNC('MEMÓRIA DESONERADA'!F79,2)</f>
        <v>34.92</v>
      </c>
      <c r="G22" s="132">
        <f t="shared" si="0"/>
        <v>69.84</v>
      </c>
    </row>
    <row r="23" spans="1:7" s="102" customFormat="1" ht="45">
      <c r="A23" s="127" t="s">
        <v>184</v>
      </c>
      <c r="B23" s="127" t="s">
        <v>120</v>
      </c>
      <c r="C23" s="129" t="s">
        <v>133</v>
      </c>
      <c r="D23" s="127" t="s">
        <v>1</v>
      </c>
      <c r="E23" s="130">
        <f>'MEMÓRIA DESONERADA'!E83</f>
        <v>30</v>
      </c>
      <c r="F23" s="131">
        <f>TRUNC('MEMÓRIA DESONERADA'!F83,2)</f>
        <v>38.32</v>
      </c>
      <c r="G23" s="132">
        <f t="shared" si="0"/>
        <v>1149.6</v>
      </c>
    </row>
    <row r="24" spans="1:7" s="102" customFormat="1" ht="30">
      <c r="A24" s="127" t="s">
        <v>185</v>
      </c>
      <c r="B24" s="127" t="s">
        <v>99</v>
      </c>
      <c r="C24" s="129" t="s">
        <v>154</v>
      </c>
      <c r="D24" s="127" t="s">
        <v>1</v>
      </c>
      <c r="E24" s="130">
        <f>'MEMÓRIA DESONERADA'!E89</f>
        <v>330</v>
      </c>
      <c r="F24" s="131">
        <f>TRUNC('MEMÓRIA DESONERADA'!F89,2)</f>
        <v>89.02</v>
      </c>
      <c r="G24" s="132">
        <f t="shared" si="0"/>
        <v>29376.6</v>
      </c>
    </row>
    <row r="25" spans="1:7" s="102" customFormat="1" ht="30">
      <c r="A25" s="127" t="s">
        <v>186</v>
      </c>
      <c r="B25" s="127" t="s">
        <v>100</v>
      </c>
      <c r="C25" s="129" t="s">
        <v>158</v>
      </c>
      <c r="D25" s="127" t="s">
        <v>1</v>
      </c>
      <c r="E25" s="130">
        <f>'MEMÓRIA DESONERADA'!E96</f>
        <v>20</v>
      </c>
      <c r="F25" s="131">
        <f>TRUNC('MEMÓRIA DESONERADA'!F96,2)</f>
        <v>34.22</v>
      </c>
      <c r="G25" s="132">
        <f t="shared" si="0"/>
        <v>684.4</v>
      </c>
    </row>
    <row r="26" spans="1:7" s="102" customFormat="1" ht="30">
      <c r="A26" s="127" t="s">
        <v>187</v>
      </c>
      <c r="B26" s="127" t="s">
        <v>101</v>
      </c>
      <c r="C26" s="129" t="s">
        <v>161</v>
      </c>
      <c r="D26" s="127" t="s">
        <v>1</v>
      </c>
      <c r="E26" s="130">
        <f>'MEMÓRIA DESONERADA'!E103</f>
        <v>65</v>
      </c>
      <c r="F26" s="131">
        <f>TRUNC('MEMÓRIA DESONERADA'!F103,2)</f>
        <v>14.33</v>
      </c>
      <c r="G26" s="132">
        <f t="shared" si="0"/>
        <v>931.45</v>
      </c>
    </row>
    <row r="27" spans="1:7" s="102" customFormat="1" ht="30">
      <c r="A27" s="127" t="s">
        <v>188</v>
      </c>
      <c r="B27" s="127" t="s">
        <v>102</v>
      </c>
      <c r="C27" s="129" t="s">
        <v>62</v>
      </c>
      <c r="D27" s="127" t="s">
        <v>1</v>
      </c>
      <c r="E27" s="130">
        <f>'MEMÓRIA DESONERADA'!E110</f>
        <v>40</v>
      </c>
      <c r="F27" s="131">
        <f>TRUNC('MEMÓRIA DESONERADA'!F110,2)</f>
        <v>8.86</v>
      </c>
      <c r="G27" s="132">
        <f t="shared" si="0"/>
        <v>354.4</v>
      </c>
    </row>
    <row r="28" spans="1:7" s="102" customFormat="1" ht="30">
      <c r="A28" s="127" t="s">
        <v>189</v>
      </c>
      <c r="B28" s="127" t="s">
        <v>103</v>
      </c>
      <c r="C28" s="129" t="s">
        <v>60</v>
      </c>
      <c r="D28" s="127" t="s">
        <v>1</v>
      </c>
      <c r="E28" s="130">
        <f>'MEMÓRIA DESONERADA'!E117</f>
        <v>307</v>
      </c>
      <c r="F28" s="131">
        <f>TRUNC('MEMÓRIA DESONERADA'!F117,2)</f>
        <v>6.49</v>
      </c>
      <c r="G28" s="132">
        <f t="shared" si="0"/>
        <v>1992.43</v>
      </c>
    </row>
    <row r="29" spans="1:7" s="102" customFormat="1" ht="30">
      <c r="A29" s="127" t="s">
        <v>190</v>
      </c>
      <c r="B29" s="127" t="s">
        <v>104</v>
      </c>
      <c r="C29" s="129" t="s">
        <v>57</v>
      </c>
      <c r="D29" s="127" t="s">
        <v>1</v>
      </c>
      <c r="E29" s="130">
        <f>'MEMÓRIA DESONERADA'!E124</f>
        <v>2200</v>
      </c>
      <c r="F29" s="131">
        <f>TRUNC('MEMÓRIA DESONERADA'!F124,2)</f>
        <v>4.04</v>
      </c>
      <c r="G29" s="132">
        <f t="shared" si="0"/>
        <v>8888</v>
      </c>
    </row>
    <row r="30" spans="1:7" s="102" customFormat="1" ht="30">
      <c r="A30" s="127" t="s">
        <v>191</v>
      </c>
      <c r="B30" s="127" t="s">
        <v>105</v>
      </c>
      <c r="C30" s="129" t="s">
        <v>167</v>
      </c>
      <c r="D30" s="127" t="s">
        <v>1</v>
      </c>
      <c r="E30" s="130">
        <f>'MEMÓRIA DESONERADA'!E131</f>
        <v>80</v>
      </c>
      <c r="F30" s="131">
        <f>TRUNC('MEMÓRIA DESONERADA'!F131,2)</f>
        <v>20.26</v>
      </c>
      <c r="G30" s="132">
        <f t="shared" si="0"/>
        <v>1620.8</v>
      </c>
    </row>
    <row r="31" spans="1:7" s="102" customFormat="1" ht="30">
      <c r="A31" s="127" t="s">
        <v>192</v>
      </c>
      <c r="B31" s="127" t="s">
        <v>106</v>
      </c>
      <c r="C31" s="129" t="s">
        <v>170</v>
      </c>
      <c r="D31" s="127" t="s">
        <v>1</v>
      </c>
      <c r="E31" s="130">
        <f>'MEMÓRIA DESONERADA'!E137</f>
        <v>35</v>
      </c>
      <c r="F31" s="131">
        <f>TRUNC('MEMÓRIA DESONERADA'!F137,2)</f>
        <v>14.09</v>
      </c>
      <c r="G31" s="132">
        <f t="shared" si="0"/>
        <v>493.15</v>
      </c>
    </row>
    <row r="32" spans="1:7" s="102" customFormat="1" ht="30">
      <c r="A32" s="127" t="s">
        <v>193</v>
      </c>
      <c r="B32" s="127" t="s">
        <v>107</v>
      </c>
      <c r="C32" s="129" t="s">
        <v>173</v>
      </c>
      <c r="D32" s="127" t="s">
        <v>1</v>
      </c>
      <c r="E32" s="130">
        <f>'MEMÓRIA DESONERADA'!E143</f>
        <v>10</v>
      </c>
      <c r="F32" s="131">
        <f>TRUNC('MEMÓRIA DESONERADA'!F143,2)</f>
        <v>14.93</v>
      </c>
      <c r="G32" s="132">
        <f t="shared" si="0"/>
        <v>149.3</v>
      </c>
    </row>
    <row r="33" spans="1:7" s="102" customFormat="1" ht="30">
      <c r="A33" s="127" t="s">
        <v>194</v>
      </c>
      <c r="B33" s="127" t="s">
        <v>108</v>
      </c>
      <c r="C33" s="129" t="s">
        <v>56</v>
      </c>
      <c r="D33" s="127" t="s">
        <v>1</v>
      </c>
      <c r="E33" s="130">
        <f>'MEMÓRIA DESONERADA'!E150</f>
        <v>8</v>
      </c>
      <c r="F33" s="131">
        <f>TRUNC('MEMÓRIA DESONERADA'!F150,2)</f>
        <v>11.75</v>
      </c>
      <c r="G33" s="132">
        <f t="shared" si="0"/>
        <v>94</v>
      </c>
    </row>
    <row r="34" spans="1:7" s="102" customFormat="1" ht="30">
      <c r="A34" s="127" t="s">
        <v>195</v>
      </c>
      <c r="B34" s="127" t="s">
        <v>109</v>
      </c>
      <c r="C34" s="129" t="s">
        <v>179</v>
      </c>
      <c r="D34" s="127" t="s">
        <v>1</v>
      </c>
      <c r="E34" s="130">
        <f>'MEMÓRIA DESONERADA'!E157</f>
        <v>42</v>
      </c>
      <c r="F34" s="131">
        <f>TRUNC('MEMÓRIA DESONERADA'!F157,2)</f>
        <v>8.62</v>
      </c>
      <c r="G34" s="132">
        <f t="shared" si="0"/>
        <v>362.04</v>
      </c>
    </row>
    <row r="35" spans="1:7" s="102" customFormat="1" ht="30">
      <c r="A35" s="127" t="s">
        <v>196</v>
      </c>
      <c r="B35" s="127" t="s">
        <v>121</v>
      </c>
      <c r="C35" s="129" t="s">
        <v>136</v>
      </c>
      <c r="D35" s="127" t="s">
        <v>11</v>
      </c>
      <c r="E35" s="130">
        <f>'MEMÓRIA DESONERADA'!E164</f>
        <v>3</v>
      </c>
      <c r="F35" s="131">
        <f>TRUNC('MEMÓRIA DESONERADA'!F164,2)</f>
        <v>44.55</v>
      </c>
      <c r="G35" s="132">
        <f t="shared" si="0"/>
        <v>133.65</v>
      </c>
    </row>
    <row r="36" spans="1:7" s="102" customFormat="1" ht="30">
      <c r="A36" s="127" t="s">
        <v>197</v>
      </c>
      <c r="B36" s="127" t="s">
        <v>122</v>
      </c>
      <c r="C36" s="129" t="s">
        <v>139</v>
      </c>
      <c r="D36" s="127" t="s">
        <v>11</v>
      </c>
      <c r="E36" s="130">
        <f>'MEMÓRIA DESONERADA'!E170</f>
        <v>27</v>
      </c>
      <c r="F36" s="131">
        <f>TRUNC('MEMÓRIA DESONERADA'!F170,2)</f>
        <v>37.57</v>
      </c>
      <c r="G36" s="132">
        <f t="shared" si="0"/>
        <v>1014.39</v>
      </c>
    </row>
    <row r="37" spans="1:7" s="102" customFormat="1" ht="30">
      <c r="A37" s="127" t="s">
        <v>198</v>
      </c>
      <c r="B37" s="127" t="s">
        <v>123</v>
      </c>
      <c r="C37" s="129" t="s">
        <v>142</v>
      </c>
      <c r="D37" s="127" t="s">
        <v>11</v>
      </c>
      <c r="E37" s="130">
        <f>'MEMÓRIA DESONERADA'!E176</f>
        <v>10</v>
      </c>
      <c r="F37" s="131">
        <f>TRUNC('MEMÓRIA DESONERADA'!F176,2)</f>
        <v>26.05</v>
      </c>
      <c r="G37" s="132">
        <f t="shared" si="0"/>
        <v>260.5</v>
      </c>
    </row>
    <row r="38" spans="1:7" s="102" customFormat="1" ht="45">
      <c r="A38" s="127" t="s">
        <v>199</v>
      </c>
      <c r="B38" s="127" t="s">
        <v>145</v>
      </c>
      <c r="C38" s="129" t="s">
        <v>146</v>
      </c>
      <c r="D38" s="127" t="s">
        <v>1</v>
      </c>
      <c r="E38" s="130">
        <f>'MEMÓRIA DESONERADA'!E182</f>
        <v>1.5</v>
      </c>
      <c r="F38" s="131">
        <f>TRUNC('MEMÓRIA DESONERADA'!F182,2)</f>
        <v>30.62</v>
      </c>
      <c r="G38" s="132">
        <f t="shared" si="0"/>
        <v>45.93</v>
      </c>
    </row>
    <row r="39" spans="1:7" s="101" customFormat="1" ht="15">
      <c r="A39" s="122" t="s">
        <v>38</v>
      </c>
      <c r="B39" s="123"/>
      <c r="C39" s="124"/>
      <c r="D39" s="123"/>
      <c r="E39" s="142" t="s">
        <v>41</v>
      </c>
      <c r="F39" s="143"/>
      <c r="G39" s="133">
        <f>G13+G14+G15+G16+G17+G18+G19+G20+G21+G22+G23+G24+G25+G26+G27+G28+G29+G30+G31+G32+G33+G34+G35+G36+G37+G38</f>
        <v>52953.62000000001</v>
      </c>
    </row>
  </sheetData>
  <sheetProtection/>
  <mergeCells count="14">
    <mergeCell ref="D3:G3"/>
    <mergeCell ref="D4:G4"/>
    <mergeCell ref="D5:G5"/>
    <mergeCell ref="D6:G6"/>
    <mergeCell ref="D7:G7"/>
    <mergeCell ref="D8:G8"/>
    <mergeCell ref="E39:F39"/>
    <mergeCell ref="A9:G9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6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8"/>
  <sheetViews>
    <sheetView tabSelected="1" view="pageBreakPreview" zoomScale="70" zoomScaleSheetLayoutView="70" zoomScalePageLayoutView="0" workbookViewId="0" topLeftCell="A1">
      <selection activeCell="A9" sqref="A9:I9"/>
    </sheetView>
  </sheetViews>
  <sheetFormatPr defaultColWidth="9.140625" defaultRowHeight="15"/>
  <cols>
    <col min="1" max="1" width="9.140625" style="96" customWidth="1"/>
    <col min="2" max="2" width="23.7109375" style="96" customWidth="1"/>
    <col min="3" max="3" width="104.00390625" style="97" customWidth="1"/>
    <col min="4" max="4" width="11.140625" style="96" customWidth="1"/>
    <col min="5" max="5" width="11.7109375" style="98" customWidth="1"/>
    <col min="6" max="6" width="17.57421875" style="47" customWidth="1"/>
    <col min="7" max="7" width="20.57421875" style="99" customWidth="1"/>
    <col min="8" max="9" width="21.421875" style="47" customWidth="1"/>
    <col min="10" max="10" width="13.140625" style="47" bestFit="1" customWidth="1"/>
    <col min="11" max="11" width="9.140625" style="47" customWidth="1"/>
    <col min="12" max="12" width="9.7109375" style="47" bestFit="1" customWidth="1"/>
    <col min="13" max="16384" width="9.140625" style="47" customWidth="1"/>
  </cols>
  <sheetData>
    <row r="1" spans="1:97" ht="15.75">
      <c r="A1" s="2"/>
      <c r="B1" s="3"/>
      <c r="C1" s="4" t="s">
        <v>13</v>
      </c>
      <c r="D1" s="5"/>
      <c r="E1" s="6"/>
      <c r="F1" s="7"/>
      <c r="G1" s="7"/>
      <c r="H1" s="137"/>
      <c r="I1" s="138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</row>
    <row r="2" spans="1:97" ht="15.75">
      <c r="A2" s="8"/>
      <c r="B2" s="9"/>
      <c r="C2" s="10" t="s">
        <v>14</v>
      </c>
      <c r="D2" s="11"/>
      <c r="E2" s="12"/>
      <c r="F2" s="13"/>
      <c r="G2" s="13"/>
      <c r="H2" s="101"/>
      <c r="I2" s="139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</row>
    <row r="3" spans="1:97" ht="15.75">
      <c r="A3" s="8"/>
      <c r="B3" s="9"/>
      <c r="C3" s="10" t="s">
        <v>15</v>
      </c>
      <c r="D3" s="153" t="s">
        <v>206</v>
      </c>
      <c r="E3" s="154"/>
      <c r="F3" s="154"/>
      <c r="G3" s="154"/>
      <c r="H3" s="101"/>
      <c r="I3" s="139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</row>
    <row r="4" spans="1:97" ht="30">
      <c r="A4" s="8"/>
      <c r="B4" s="9"/>
      <c r="C4" s="14" t="s">
        <v>64</v>
      </c>
      <c r="D4" s="156" t="s">
        <v>66</v>
      </c>
      <c r="E4" s="157"/>
      <c r="F4" s="157"/>
      <c r="G4" s="157"/>
      <c r="H4" s="101"/>
      <c r="I4" s="139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</row>
    <row r="5" spans="1:97" ht="15.75">
      <c r="A5" s="8"/>
      <c r="B5" s="9"/>
      <c r="C5" s="50" t="s">
        <v>65</v>
      </c>
      <c r="D5" s="159" t="s">
        <v>53</v>
      </c>
      <c r="E5" s="160"/>
      <c r="F5" s="160"/>
      <c r="G5" s="160"/>
      <c r="H5" s="101"/>
      <c r="I5" s="139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</row>
    <row r="6" spans="1:97" ht="15.75">
      <c r="A6" s="8"/>
      <c r="B6" s="9"/>
      <c r="C6" s="15" t="s">
        <v>200</v>
      </c>
      <c r="D6" s="162" t="s">
        <v>54</v>
      </c>
      <c r="E6" s="163"/>
      <c r="F6" s="163"/>
      <c r="G6" s="163"/>
      <c r="H6" s="101"/>
      <c r="I6" s="139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</row>
    <row r="7" spans="1:97" ht="15.75">
      <c r="A7" s="8"/>
      <c r="B7" s="9"/>
      <c r="C7" s="51"/>
      <c r="D7" s="162" t="s">
        <v>23</v>
      </c>
      <c r="E7" s="163"/>
      <c r="F7" s="163"/>
      <c r="G7" s="163"/>
      <c r="H7" s="101"/>
      <c r="I7" s="139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</row>
    <row r="8" spans="1:97" ht="15.75">
      <c r="A8" s="16"/>
      <c r="B8" s="17"/>
      <c r="C8" s="18"/>
      <c r="D8" s="165" t="s">
        <v>42</v>
      </c>
      <c r="E8" s="166"/>
      <c r="F8" s="166"/>
      <c r="G8" s="166"/>
      <c r="H8" s="140"/>
      <c r="I8" s="14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</row>
    <row r="9" spans="1:9" ht="18" customHeight="1">
      <c r="A9" s="168" t="s">
        <v>207</v>
      </c>
      <c r="B9" s="169"/>
      <c r="C9" s="169"/>
      <c r="D9" s="170"/>
      <c r="E9" s="170"/>
      <c r="F9" s="170"/>
      <c r="G9" s="170"/>
      <c r="H9" s="170"/>
      <c r="I9" s="170"/>
    </row>
    <row r="10" spans="1:9" ht="18">
      <c r="A10" s="176" t="s">
        <v>17</v>
      </c>
      <c r="B10" s="178" t="s">
        <v>18</v>
      </c>
      <c r="C10" s="180" t="s">
        <v>19</v>
      </c>
      <c r="D10" s="176" t="s">
        <v>11</v>
      </c>
      <c r="E10" s="181" t="s">
        <v>20</v>
      </c>
      <c r="F10" s="171" t="s">
        <v>21</v>
      </c>
      <c r="G10" s="172"/>
      <c r="H10" s="172"/>
      <c r="I10" s="173"/>
    </row>
    <row r="11" spans="1:9" ht="18">
      <c r="A11" s="177"/>
      <c r="B11" s="179"/>
      <c r="C11" s="178"/>
      <c r="D11" s="177"/>
      <c r="E11" s="182"/>
      <c r="F11" s="79" t="s">
        <v>22</v>
      </c>
      <c r="G11" s="80" t="s">
        <v>45</v>
      </c>
      <c r="H11" s="81" t="s">
        <v>4</v>
      </c>
      <c r="I11" s="82" t="s">
        <v>4</v>
      </c>
    </row>
    <row r="12" spans="1:9" s="90" customFormat="1" ht="18.75">
      <c r="A12" s="67" t="str">
        <f>RESUMIDA!A12</f>
        <v>1.0</v>
      </c>
      <c r="B12" s="67"/>
      <c r="C12" s="67" t="str">
        <f>RESUMIDA!C12</f>
        <v>SERVIÇOS</v>
      </c>
      <c r="D12" s="67"/>
      <c r="E12" s="77"/>
      <c r="F12" s="72"/>
      <c r="G12" s="89"/>
      <c r="H12" s="71"/>
      <c r="I12" s="71"/>
    </row>
    <row r="13" spans="1:12" ht="60">
      <c r="A13" s="67" t="str">
        <f>RESUMIDA!A13</f>
        <v>1.1</v>
      </c>
      <c r="B13" s="58" t="str">
        <f>RESUMIDA!B13</f>
        <v>15.018.0551-0</v>
      </c>
      <c r="C13" s="52" t="str">
        <f>RESUMIDA!C13</f>
        <v>ELETROCALHA LISA,COM TAMPA,TIPO "U",150X50MM,TRATAMENTO SUPERFICIAL PRE-ZINCADO A QUENTE,INCLUSIVE CONEXOES,ACESSORIOS E FIXACAO SUPERIOR.FORNECIMENTO E COLOCACAO (OBS.:3%-DESGASTE DE FERRAMENTAS E EPI 20%-CONEXOES).</v>
      </c>
      <c r="D13" s="58" t="str">
        <f>RESUMIDA!D13</f>
        <v>M</v>
      </c>
      <c r="E13" s="74">
        <f>RESUMIDA!E13</f>
        <v>12</v>
      </c>
      <c r="F13" s="55">
        <v>97.39</v>
      </c>
      <c r="G13" s="55">
        <f>ROUND((F13*1.2247),2)</f>
        <v>119.27</v>
      </c>
      <c r="H13" s="56">
        <f>ROUND((E13*F13),2)</f>
        <v>1168.68</v>
      </c>
      <c r="I13" s="56">
        <f>ROUND((E13*G13),2)</f>
        <v>1431.24</v>
      </c>
      <c r="J13" s="57"/>
      <c r="L13" s="136" t="e">
        <f>K13/J13</f>
        <v>#DIV/0!</v>
      </c>
    </row>
    <row r="14" spans="1:12" ht="30">
      <c r="A14" s="67" t="str">
        <f>RESUMIDA!A14</f>
        <v>1.2</v>
      </c>
      <c r="B14" s="58" t="str">
        <f>RESUMIDA!B14</f>
        <v>So00000093661</v>
      </c>
      <c r="C14" s="52" t="str">
        <f>RESUMIDA!C14</f>
        <v>DISJUNTOR BIPOLAR TIPO DIN, CORRENTE NOMINAL DE 16A - FORNECIMENTO E INSTALAÇÃO. AF_10/2020</v>
      </c>
      <c r="D14" s="58" t="str">
        <f>RESUMIDA!D14</f>
        <v>UN</v>
      </c>
      <c r="E14" s="74">
        <f>RESUMIDA!E14</f>
        <v>28</v>
      </c>
      <c r="F14" s="55">
        <v>54.28</v>
      </c>
      <c r="G14" s="55">
        <f aca="true" t="shared" si="0" ref="G14:G38">ROUND((F14*1.2247),2)</f>
        <v>66.48</v>
      </c>
      <c r="H14" s="56">
        <f aca="true" t="shared" si="1" ref="H14:H38">ROUND((E14*F14),2)</f>
        <v>1519.84</v>
      </c>
      <c r="I14" s="56">
        <f aca="true" t="shared" si="2" ref="I14:I38">ROUND((E14*G14),2)</f>
        <v>1861.44</v>
      </c>
      <c r="J14" s="57"/>
      <c r="L14" s="99"/>
    </row>
    <row r="15" spans="1:12" ht="30">
      <c r="A15" s="67" t="str">
        <f>RESUMIDA!A15</f>
        <v>1.3</v>
      </c>
      <c r="B15" s="58" t="str">
        <f>RESUMIDA!B15</f>
        <v>So00000093662</v>
      </c>
      <c r="C15" s="52" t="str">
        <f>RESUMIDA!C15</f>
        <v>DISJUNTOR BIPOLAR TIPO DIN, CORRENTE NOMINAL DE 20A - FORNECIMENTO E INSTALAÇÃO. AF_10/2020</v>
      </c>
      <c r="D15" s="58" t="str">
        <f>RESUMIDA!D15</f>
        <v>UN</v>
      </c>
      <c r="E15" s="74">
        <f>RESUMIDA!E15</f>
        <v>1</v>
      </c>
      <c r="F15" s="55">
        <v>56.59</v>
      </c>
      <c r="G15" s="55">
        <f t="shared" si="0"/>
        <v>69.31</v>
      </c>
      <c r="H15" s="56">
        <f t="shared" si="1"/>
        <v>56.59</v>
      </c>
      <c r="I15" s="56">
        <f t="shared" si="2"/>
        <v>69.31</v>
      </c>
      <c r="J15" s="57"/>
      <c r="L15" s="99"/>
    </row>
    <row r="16" spans="1:12" ht="30">
      <c r="A16" s="67" t="str">
        <f>RESUMIDA!A16</f>
        <v>1.4</v>
      </c>
      <c r="B16" s="58" t="str">
        <f>RESUMIDA!B16</f>
        <v>So00000093663</v>
      </c>
      <c r="C16" s="52" t="str">
        <f>RESUMIDA!C16</f>
        <v>DISJUNTOR BIPOLAR TIPO DIN, CORRENTE NOMINAL DE 25A - FORNECIMENTO E INSTALAÇÃO. AF_10/2020</v>
      </c>
      <c r="D16" s="58" t="str">
        <f>RESUMIDA!D16</f>
        <v>UN</v>
      </c>
      <c r="E16" s="74">
        <f>RESUMIDA!E16</f>
        <v>5</v>
      </c>
      <c r="F16" s="55">
        <v>56.59</v>
      </c>
      <c r="G16" s="55">
        <f t="shared" si="0"/>
        <v>69.31</v>
      </c>
      <c r="H16" s="56">
        <f t="shared" si="1"/>
        <v>282.95</v>
      </c>
      <c r="I16" s="56">
        <f t="shared" si="2"/>
        <v>346.55</v>
      </c>
      <c r="J16" s="57"/>
      <c r="L16" s="99"/>
    </row>
    <row r="17" spans="1:12" ht="30">
      <c r="A17" s="67" t="str">
        <f>RESUMIDA!A17</f>
        <v>1.5</v>
      </c>
      <c r="B17" s="58" t="str">
        <f>RESUMIDA!B17</f>
        <v>So00000093664</v>
      </c>
      <c r="C17" s="52" t="str">
        <f>RESUMIDA!C17</f>
        <v>DISJUNTOR BIPOLAR TIPO DIN, CORRENTE NOMINAL DE 32A - FORNECIMENTO E INSTALAÇÃO. AF_10/2020</v>
      </c>
      <c r="D17" s="58" t="str">
        <f>RESUMIDA!D17</f>
        <v>UN</v>
      </c>
      <c r="E17" s="74">
        <f>RESUMIDA!E17</f>
        <v>2</v>
      </c>
      <c r="F17" s="55">
        <v>59.47</v>
      </c>
      <c r="G17" s="55">
        <f t="shared" si="0"/>
        <v>72.83</v>
      </c>
      <c r="H17" s="56">
        <f t="shared" si="1"/>
        <v>118.94</v>
      </c>
      <c r="I17" s="56">
        <f t="shared" si="2"/>
        <v>145.66</v>
      </c>
      <c r="J17" s="57"/>
      <c r="L17" s="99"/>
    </row>
    <row r="18" spans="1:12" ht="30">
      <c r="A18" s="67" t="str">
        <f>RESUMIDA!A18</f>
        <v>1.6</v>
      </c>
      <c r="B18" s="58" t="str">
        <f>RESUMIDA!B18</f>
        <v>So00000093671</v>
      </c>
      <c r="C18" s="52" t="str">
        <f>RESUMIDA!C18</f>
        <v>DISJUNTOR TRIPOLAR TIPO DIN, CORRENTE NOMINAL DE 32A - FORNECIMENTO E INSTALAÇÃO. AF_10/2020</v>
      </c>
      <c r="D18" s="58" t="str">
        <f>RESUMIDA!D18</f>
        <v>UN</v>
      </c>
      <c r="E18" s="74">
        <f>RESUMIDA!E18</f>
        <v>2</v>
      </c>
      <c r="F18" s="55">
        <v>75.98</v>
      </c>
      <c r="G18" s="55">
        <f t="shared" si="0"/>
        <v>93.05</v>
      </c>
      <c r="H18" s="56">
        <f t="shared" si="1"/>
        <v>151.96</v>
      </c>
      <c r="I18" s="56">
        <f t="shared" si="2"/>
        <v>186.1</v>
      </c>
      <c r="J18" s="57"/>
      <c r="L18" s="99"/>
    </row>
    <row r="19" spans="1:12" ht="30">
      <c r="A19" s="67" t="str">
        <f>RESUMIDA!A19</f>
        <v>1.7</v>
      </c>
      <c r="B19" s="58" t="str">
        <f>RESUMIDA!B19</f>
        <v>15.007.0601-0</v>
      </c>
      <c r="C19" s="52" t="str">
        <f>RESUMIDA!C19</f>
        <v>DISJUNTOR TERMOMAGNETICO TRIPOLAR,DE 40 A 63A,3KA,MODELO DIN,TIPO C.FORNECIMENTO E COLOCACAO (OBS.:3% - DESGASTE DE FERRAMENTAS E EPI).</v>
      </c>
      <c r="D19" s="58" t="str">
        <f>RESUMIDA!D19</f>
        <v>UN</v>
      </c>
      <c r="E19" s="74">
        <f>RESUMIDA!E19</f>
        <v>4</v>
      </c>
      <c r="F19" s="55">
        <v>51.29</v>
      </c>
      <c r="G19" s="55">
        <f t="shared" si="0"/>
        <v>62.81</v>
      </c>
      <c r="H19" s="56">
        <f t="shared" si="1"/>
        <v>205.16</v>
      </c>
      <c r="I19" s="56">
        <f t="shared" si="2"/>
        <v>251.24</v>
      </c>
      <c r="J19" s="57"/>
      <c r="L19" s="99"/>
    </row>
    <row r="20" spans="1:12" ht="45">
      <c r="A20" s="67" t="str">
        <f>RESUMIDA!A20</f>
        <v>1.8</v>
      </c>
      <c r="B20" s="58" t="str">
        <f>RESUMIDA!B20</f>
        <v>15.007.0609-0</v>
      </c>
      <c r="C20" s="52" t="str">
        <f>RESUMIDA!C20</f>
        <v>DISJUNTOR TERMOMAGNETICO,TRIPOLAR,DE 180 A 225A,50KA,MODELO CAIXA MOLDADA,TIPO C.FORNECIMENTO E COLOCACAO (OBS.:3%-DESGASTE DE FERRAMENTAS E EPI).</v>
      </c>
      <c r="D20" s="58" t="str">
        <f>RESUMIDA!D20</f>
        <v>UN</v>
      </c>
      <c r="E20" s="74">
        <f>RESUMIDA!E20</f>
        <v>1</v>
      </c>
      <c r="F20" s="55">
        <v>314.86</v>
      </c>
      <c r="G20" s="55">
        <f t="shared" si="0"/>
        <v>385.61</v>
      </c>
      <c r="H20" s="56">
        <f t="shared" si="1"/>
        <v>314.86</v>
      </c>
      <c r="I20" s="56">
        <f t="shared" si="2"/>
        <v>385.61</v>
      </c>
      <c r="J20" s="57"/>
      <c r="L20" s="99"/>
    </row>
    <row r="21" spans="1:12" ht="45">
      <c r="A21" s="67" t="str">
        <f>RESUMIDA!A21</f>
        <v>1.9</v>
      </c>
      <c r="B21" s="58" t="str">
        <f>RESUMIDA!B21</f>
        <v>So00000101878</v>
      </c>
      <c r="C21" s="52" t="str">
        <f>RESUMIDA!C21</f>
        <v>QUADRO DE DISTRIBUIÇÃO DE ENERGIA EM CHAPA DE AÇO GALVANIZADO, DE SOBREPOR, COM BARRAMENTO TRIFÁSICO, PARA 18 DISJUNTORES DIN 100A - FORNECIMENTO E INSTALAÇÃO. AF_10/2020</v>
      </c>
      <c r="D21" s="58" t="str">
        <f>RESUMIDA!D21</f>
        <v>UN</v>
      </c>
      <c r="E21" s="74">
        <f>RESUMIDA!E21</f>
        <v>4</v>
      </c>
      <c r="F21" s="55">
        <v>376.17</v>
      </c>
      <c r="G21" s="55">
        <f t="shared" si="0"/>
        <v>460.7</v>
      </c>
      <c r="H21" s="56">
        <f t="shared" si="1"/>
        <v>1504.68</v>
      </c>
      <c r="I21" s="56">
        <f t="shared" si="2"/>
        <v>1842.8</v>
      </c>
      <c r="J21" s="57"/>
      <c r="L21" s="99"/>
    </row>
    <row r="22" spans="1:12" ht="30">
      <c r="A22" s="67" t="str">
        <f>RESUMIDA!A22</f>
        <v>1.10</v>
      </c>
      <c r="B22" s="58" t="str">
        <f>RESUMIDA!B22</f>
        <v>21.015.0230-0</v>
      </c>
      <c r="C22" s="52" t="str">
        <f>RESUMIDA!C22</f>
        <v>HASTE PARA ATERRAMENTO,DE 5/8"(16MM),COM 2,40M DE COMPRIMENTO.FORNECIMENTO</v>
      </c>
      <c r="D22" s="58" t="str">
        <f>RESUMIDA!D22</f>
        <v>UN</v>
      </c>
      <c r="E22" s="74">
        <f>RESUMIDA!E22</f>
        <v>2</v>
      </c>
      <c r="F22" s="55">
        <v>34.92</v>
      </c>
      <c r="G22" s="55">
        <f t="shared" si="0"/>
        <v>42.77</v>
      </c>
      <c r="H22" s="56">
        <f t="shared" si="1"/>
        <v>69.84</v>
      </c>
      <c r="I22" s="56">
        <f t="shared" si="2"/>
        <v>85.54</v>
      </c>
      <c r="J22" s="57"/>
      <c r="L22" s="99"/>
    </row>
    <row r="23" spans="1:12" ht="45">
      <c r="A23" s="67" t="str">
        <f>RESUMIDA!A23</f>
        <v>1.11</v>
      </c>
      <c r="B23" s="58" t="str">
        <f>RESUMIDA!B23</f>
        <v>15.009.0143-0</v>
      </c>
      <c r="C23" s="52" t="str">
        <f>RESUMIDA!C23</f>
        <v>CABO SOLIDO DE COBRE ELETROLITICO NU,TEMPERA MOLE,CLASSE 2,SECAO CIRCULAR DE 50MM2.FORNECIMENTO E COLOCACAO (OBS.:3%-DESGASTE DE FERRAMENTAS E EPI).</v>
      </c>
      <c r="D23" s="58" t="str">
        <f>RESUMIDA!D23</f>
        <v>M</v>
      </c>
      <c r="E23" s="74">
        <f>RESUMIDA!E23</f>
        <v>30</v>
      </c>
      <c r="F23" s="55">
        <v>38.26</v>
      </c>
      <c r="G23" s="55">
        <f t="shared" si="0"/>
        <v>46.86</v>
      </c>
      <c r="H23" s="56">
        <f t="shared" si="1"/>
        <v>1147.8</v>
      </c>
      <c r="I23" s="56">
        <f t="shared" si="2"/>
        <v>1405.8</v>
      </c>
      <c r="J23" s="57"/>
      <c r="L23" s="99"/>
    </row>
    <row r="24" spans="1:12" ht="30">
      <c r="A24" s="67" t="str">
        <f>RESUMIDA!A24</f>
        <v>1.12</v>
      </c>
      <c r="B24" s="58" t="str">
        <f>RESUMIDA!B24</f>
        <v>So00000092992</v>
      </c>
      <c r="C24" s="52" t="str">
        <f>RESUMIDA!C24</f>
        <v>CABO DE COBRE FLEXÍVEL ISOLADO, 95 MM², ANTI-CHAMA 0,6/1,0 KV, PARA DISTRIBUIÇÃO - FORNECIMENTO E INSTALAÇÃO. AF_12/2015</v>
      </c>
      <c r="D24" s="58" t="str">
        <f>RESUMIDA!D24</f>
        <v>M</v>
      </c>
      <c r="E24" s="74">
        <f>RESUMIDA!E24</f>
        <v>330</v>
      </c>
      <c r="F24" s="55">
        <v>89.02</v>
      </c>
      <c r="G24" s="55">
        <f t="shared" si="0"/>
        <v>109.02</v>
      </c>
      <c r="H24" s="56">
        <f t="shared" si="1"/>
        <v>29376.6</v>
      </c>
      <c r="I24" s="56">
        <f t="shared" si="2"/>
        <v>35976.6</v>
      </c>
      <c r="J24" s="57"/>
      <c r="L24" s="99"/>
    </row>
    <row r="25" spans="1:12" ht="30">
      <c r="A25" s="67" t="str">
        <f>RESUMIDA!A25</f>
        <v>1.13</v>
      </c>
      <c r="B25" s="58" t="str">
        <f>RESUMIDA!B25</f>
        <v>So00000092985</v>
      </c>
      <c r="C25" s="52" t="str">
        <f>RESUMIDA!C25</f>
        <v>CABO DE COBRE FLEXÍVEL ISOLADO, 35 MM², ANTI-CHAMA 450/750 V, PARA DISTRIBUIÇÃO - FORNECIMENTO E INSTALAÇÃO. AF_12/2015</v>
      </c>
      <c r="D25" s="58" t="str">
        <f>RESUMIDA!D25</f>
        <v>M</v>
      </c>
      <c r="E25" s="74">
        <f>RESUMIDA!E25</f>
        <v>20</v>
      </c>
      <c r="F25" s="55">
        <v>34.22</v>
      </c>
      <c r="G25" s="55">
        <f t="shared" si="0"/>
        <v>41.91</v>
      </c>
      <c r="H25" s="56">
        <f t="shared" si="1"/>
        <v>684.4</v>
      </c>
      <c r="I25" s="56">
        <f t="shared" si="2"/>
        <v>838.2</v>
      </c>
      <c r="J25" s="57"/>
      <c r="L25" s="99"/>
    </row>
    <row r="26" spans="1:12" ht="30">
      <c r="A26" s="67" t="str">
        <f>RESUMIDA!A26</f>
        <v>1.14</v>
      </c>
      <c r="B26" s="58" t="str">
        <f>RESUMIDA!B26</f>
        <v>So00000092981</v>
      </c>
      <c r="C26" s="52" t="str">
        <f>RESUMIDA!C26</f>
        <v>CABO DE COBRE FLEXÍVEL ISOLADO, 16 MM², ANTI-CHAMA 450/750 V, PARA DISTRIBUIÇÃO - FORNECIMENTO E INSTALAÇÃO. AF_12/2015</v>
      </c>
      <c r="D26" s="58" t="str">
        <f>RESUMIDA!D26</f>
        <v>M</v>
      </c>
      <c r="E26" s="74">
        <f>RESUMIDA!E26</f>
        <v>65</v>
      </c>
      <c r="F26" s="55">
        <v>14.33</v>
      </c>
      <c r="G26" s="55">
        <f t="shared" si="0"/>
        <v>17.55</v>
      </c>
      <c r="H26" s="56">
        <f t="shared" si="1"/>
        <v>931.45</v>
      </c>
      <c r="I26" s="56">
        <f t="shared" si="2"/>
        <v>1140.75</v>
      </c>
      <c r="J26" s="57"/>
      <c r="L26" s="99"/>
    </row>
    <row r="27" spans="1:12" ht="30">
      <c r="A27" s="67" t="str">
        <f>RESUMIDA!A27</f>
        <v>1.15</v>
      </c>
      <c r="B27" s="58" t="str">
        <f>RESUMIDA!B27</f>
        <v>So00000091930</v>
      </c>
      <c r="C27" s="52" t="str">
        <f>RESUMIDA!C27</f>
        <v>CABO DE COBRE FLEXÍVEL ISOLADO, 6 MM², ANTI-CHAMA 450/750 V, PARA CIRCUITOS TERMINAIS - FORNECIMENTO E INSTALAÇÃO. AF_12/2015</v>
      </c>
      <c r="D27" s="58" t="str">
        <f>RESUMIDA!D27</f>
        <v>M</v>
      </c>
      <c r="E27" s="74">
        <f>RESUMIDA!E27</f>
        <v>40</v>
      </c>
      <c r="F27" s="55">
        <v>8.86</v>
      </c>
      <c r="G27" s="55">
        <f t="shared" si="0"/>
        <v>10.85</v>
      </c>
      <c r="H27" s="56">
        <f t="shared" si="1"/>
        <v>354.4</v>
      </c>
      <c r="I27" s="56">
        <f t="shared" si="2"/>
        <v>434</v>
      </c>
      <c r="J27" s="57"/>
      <c r="L27" s="99"/>
    </row>
    <row r="28" spans="1:12" s="78" customFormat="1" ht="30">
      <c r="A28" s="67" t="str">
        <f>RESUMIDA!A28</f>
        <v>1.16</v>
      </c>
      <c r="B28" s="58" t="str">
        <f>RESUMIDA!B28</f>
        <v>So00000091928</v>
      </c>
      <c r="C28" s="52" t="str">
        <f>RESUMIDA!C28</f>
        <v>CABO DE COBRE FLEXÍVEL ISOLADO, 4 MM², ANTI-CHAMA 450/750 V, PARA CIRCUITOS TERMINAIS - FORNECIMENTO E INSTALAÇÃO. AF_12/2015</v>
      </c>
      <c r="D28" s="58" t="str">
        <f>RESUMIDA!D28</f>
        <v>M</v>
      </c>
      <c r="E28" s="74">
        <f>RESUMIDA!E28</f>
        <v>307</v>
      </c>
      <c r="F28" s="55">
        <v>6.49</v>
      </c>
      <c r="G28" s="55">
        <f t="shared" si="0"/>
        <v>7.95</v>
      </c>
      <c r="H28" s="56">
        <f t="shared" si="1"/>
        <v>1992.43</v>
      </c>
      <c r="I28" s="56">
        <f t="shared" si="2"/>
        <v>2440.65</v>
      </c>
      <c r="J28" s="57"/>
      <c r="K28" s="47"/>
      <c r="L28" s="109"/>
    </row>
    <row r="29" spans="1:12" ht="30">
      <c r="A29" s="67" t="str">
        <f>RESUMIDA!A29</f>
        <v>1.17</v>
      </c>
      <c r="B29" s="58" t="str">
        <f>RESUMIDA!B29</f>
        <v>So00000091926</v>
      </c>
      <c r="C29" s="52" t="str">
        <f>RESUMIDA!C29</f>
        <v>CABO DE COBRE FLEXÍVEL ISOLADO, 2,5 MM², ANTI-CHAMA 450/750 V, PARA CIRCUITOS TERMINAIS - FORNECIMENTO E INSTALAÇÃO. AF_12/2015</v>
      </c>
      <c r="D29" s="58" t="str">
        <f>RESUMIDA!D29</f>
        <v>M</v>
      </c>
      <c r="E29" s="74">
        <f>RESUMIDA!E29</f>
        <v>2200</v>
      </c>
      <c r="F29" s="55">
        <v>4.04</v>
      </c>
      <c r="G29" s="55">
        <f t="shared" si="0"/>
        <v>4.95</v>
      </c>
      <c r="H29" s="56">
        <f t="shared" si="1"/>
        <v>8888</v>
      </c>
      <c r="I29" s="56">
        <f t="shared" si="2"/>
        <v>10890</v>
      </c>
      <c r="J29" s="57"/>
      <c r="K29" s="78"/>
      <c r="L29" s="99"/>
    </row>
    <row r="30" spans="1:12" ht="30">
      <c r="A30" s="67" t="str">
        <f>RESUMIDA!A30</f>
        <v>1.18</v>
      </c>
      <c r="B30" s="58" t="str">
        <f>RESUMIDA!B30</f>
        <v>So00000093009</v>
      </c>
      <c r="C30" s="52" t="str">
        <f>RESUMIDA!C30</f>
        <v>ELETRODUTO RÍGIDO ROSCÁVEL, PVC, DN 60 MM (2") - FORNECIMENTO E INSTALAÇÃO. AF_12/2015</v>
      </c>
      <c r="D30" s="58" t="str">
        <f>RESUMIDA!D30</f>
        <v>M</v>
      </c>
      <c r="E30" s="74">
        <f>RESUMIDA!E30</f>
        <v>80</v>
      </c>
      <c r="F30" s="55">
        <v>20.26</v>
      </c>
      <c r="G30" s="55">
        <f t="shared" si="0"/>
        <v>24.81</v>
      </c>
      <c r="H30" s="56">
        <f t="shared" si="1"/>
        <v>1620.8</v>
      </c>
      <c r="I30" s="56">
        <f t="shared" si="2"/>
        <v>1984.8</v>
      </c>
      <c r="J30" s="57"/>
      <c r="L30" s="99"/>
    </row>
    <row r="31" spans="1:12" s="54" customFormat="1" ht="30">
      <c r="A31" s="67" t="str">
        <f>RESUMIDA!A31</f>
        <v>1.19</v>
      </c>
      <c r="B31" s="58" t="str">
        <f>RESUMIDA!B31</f>
        <v>So00000093008</v>
      </c>
      <c r="C31" s="52" t="str">
        <f>RESUMIDA!C31</f>
        <v>ELETRODUTO RÍGIDO ROSCÁVEL, PVC, DN 50 MM (1 1/2") - FORNECIMENTO E INSTALAÇÃO. AF_12/2015</v>
      </c>
      <c r="D31" s="58" t="str">
        <f>RESUMIDA!D31</f>
        <v>M</v>
      </c>
      <c r="E31" s="74">
        <f>RESUMIDA!E31</f>
        <v>35</v>
      </c>
      <c r="F31" s="55">
        <v>14.09</v>
      </c>
      <c r="G31" s="55">
        <f t="shared" si="0"/>
        <v>17.26</v>
      </c>
      <c r="H31" s="56">
        <f t="shared" si="1"/>
        <v>493.15</v>
      </c>
      <c r="I31" s="56">
        <f t="shared" si="2"/>
        <v>604.1</v>
      </c>
      <c r="J31" s="57"/>
      <c r="K31" s="47"/>
      <c r="L31" s="110"/>
    </row>
    <row r="32" spans="1:12" s="90" customFormat="1" ht="30">
      <c r="A32" s="67" t="str">
        <f>RESUMIDA!A32</f>
        <v>1.20</v>
      </c>
      <c r="B32" s="58" t="str">
        <f>RESUMIDA!B32</f>
        <v>So00000091869</v>
      </c>
      <c r="C32" s="52" t="str">
        <f>RESUMIDA!C32</f>
        <v>ELETRODUTO RÍGIDO ROSCÁVEL, PVC, DN 40 MM (1 1/4"), PARA CIRCUITOS TERMINAIS, INSTALADO EM LAJE - FORNECIMENTO E INSTALAÇÃO. AF_12/2015</v>
      </c>
      <c r="D32" s="58" t="str">
        <f>RESUMIDA!D32</f>
        <v>M</v>
      </c>
      <c r="E32" s="74">
        <f>RESUMIDA!E32</f>
        <v>10</v>
      </c>
      <c r="F32" s="55">
        <v>14.93</v>
      </c>
      <c r="G32" s="55">
        <f t="shared" si="0"/>
        <v>18.28</v>
      </c>
      <c r="H32" s="56">
        <f t="shared" si="1"/>
        <v>149.3</v>
      </c>
      <c r="I32" s="56">
        <f t="shared" si="2"/>
        <v>182.8</v>
      </c>
      <c r="J32" s="57"/>
      <c r="K32" s="54"/>
      <c r="L32" s="111"/>
    </row>
    <row r="33" spans="1:12" s="90" customFormat="1" ht="30">
      <c r="A33" s="67" t="str">
        <f>RESUMIDA!A33</f>
        <v>1.21</v>
      </c>
      <c r="B33" s="58" t="str">
        <f>RESUMIDA!B33</f>
        <v>So00000091868</v>
      </c>
      <c r="C33" s="52" t="str">
        <f>RESUMIDA!C33</f>
        <v>ELETRODUTO RÍGIDO ROSCÁVEL, PVC, DN 32 MM (1"), PARA CIRCUITOS TERMINAIS, INSTALADO EM LAJE - FORNECIMENTO E INSTALAÇÃO. AF_12/2015</v>
      </c>
      <c r="D33" s="58" t="str">
        <f>RESUMIDA!D33</f>
        <v>M</v>
      </c>
      <c r="E33" s="74">
        <f>RESUMIDA!E33</f>
        <v>8</v>
      </c>
      <c r="F33" s="55">
        <v>11.75</v>
      </c>
      <c r="G33" s="55">
        <f t="shared" si="0"/>
        <v>14.39</v>
      </c>
      <c r="H33" s="56">
        <f t="shared" si="1"/>
        <v>94</v>
      </c>
      <c r="I33" s="56">
        <f t="shared" si="2"/>
        <v>115.12</v>
      </c>
      <c r="J33" s="73"/>
      <c r="L33" s="111"/>
    </row>
    <row r="34" spans="1:12" s="90" customFormat="1" ht="30">
      <c r="A34" s="67" t="str">
        <f>RESUMIDA!A34</f>
        <v>1.22</v>
      </c>
      <c r="B34" s="58" t="str">
        <f>RESUMIDA!B34</f>
        <v>So00000091867</v>
      </c>
      <c r="C34" s="52" t="str">
        <f>RESUMIDA!C34</f>
        <v>ELETRODUTO RÍGIDO ROSCÁVEL, PVC, DN 25 MM (3/4"), PARA CIRCUITOS TERMINAIS, INSTALADO EM LAJE - FORNECIMENTO E INSTALAÇÃO. AF_12/2015</v>
      </c>
      <c r="D34" s="58" t="str">
        <f>RESUMIDA!D34</f>
        <v>M</v>
      </c>
      <c r="E34" s="74">
        <f>RESUMIDA!E34</f>
        <v>42</v>
      </c>
      <c r="F34" s="55">
        <v>8.62</v>
      </c>
      <c r="G34" s="55">
        <f t="shared" si="0"/>
        <v>10.56</v>
      </c>
      <c r="H34" s="56">
        <f t="shared" si="1"/>
        <v>362.04</v>
      </c>
      <c r="I34" s="56">
        <f t="shared" si="2"/>
        <v>443.52</v>
      </c>
      <c r="J34" s="73"/>
      <c r="L34" s="111"/>
    </row>
    <row r="35" spans="1:12" ht="30">
      <c r="A35" s="67" t="str">
        <f>RESUMIDA!A35</f>
        <v>1.23</v>
      </c>
      <c r="B35" s="58" t="str">
        <f>RESUMIDA!B35</f>
        <v>15.018.0270-0</v>
      </c>
      <c r="C35" s="52" t="str">
        <f>RESUMIDA!C35</f>
        <v>CAIXA DE PASSAGEM DE SOBREPOR,EM ACO,COM TAMPA PARAFUSADA,DE 30X30CM.FORNECIMENTO E COLOCACAO (OBS.:3%-DESGASTE DE FERRAMENTAS E EPI).</v>
      </c>
      <c r="D35" s="58" t="str">
        <f>RESUMIDA!D35</f>
        <v>UN</v>
      </c>
      <c r="E35" s="74">
        <f>RESUMIDA!E35</f>
        <v>3</v>
      </c>
      <c r="F35" s="55">
        <v>44.16</v>
      </c>
      <c r="G35" s="55">
        <f t="shared" si="0"/>
        <v>54.08</v>
      </c>
      <c r="H35" s="56">
        <f t="shared" si="1"/>
        <v>132.48</v>
      </c>
      <c r="I35" s="56">
        <f t="shared" si="2"/>
        <v>162.24</v>
      </c>
      <c r="J35" s="73"/>
      <c r="K35" s="90"/>
      <c r="L35" s="99"/>
    </row>
    <row r="36" spans="1:12" ht="30">
      <c r="A36" s="67" t="str">
        <f>RESUMIDA!A36</f>
        <v>1.24</v>
      </c>
      <c r="B36" s="58" t="str">
        <f>RESUMIDA!B36</f>
        <v>15.018.0260-0</v>
      </c>
      <c r="C36" s="52" t="str">
        <f>RESUMIDA!C36</f>
        <v>CAIXA DE PASSAGEM DE SOBREPOR,EM ACO,COM TAMPA PARAFUSADA,DE 20X20CM.FORNECIMENTO E COLOCACAO (OBS.:3%-DESGASTE DE FERRAMENTAS E EPI).</v>
      </c>
      <c r="D36" s="58" t="str">
        <f>RESUMIDA!D36</f>
        <v>UN</v>
      </c>
      <c r="E36" s="74">
        <f>RESUMIDA!E36</f>
        <v>27</v>
      </c>
      <c r="F36" s="55">
        <v>37.18</v>
      </c>
      <c r="G36" s="55">
        <f t="shared" si="0"/>
        <v>45.53</v>
      </c>
      <c r="H36" s="56">
        <f t="shared" si="1"/>
        <v>1003.86</v>
      </c>
      <c r="I36" s="56">
        <f t="shared" si="2"/>
        <v>1229.31</v>
      </c>
      <c r="J36" s="73"/>
      <c r="L36" s="99"/>
    </row>
    <row r="37" spans="1:12" ht="30">
      <c r="A37" s="67" t="str">
        <f>RESUMIDA!A37</f>
        <v>1.25</v>
      </c>
      <c r="B37" s="58" t="str">
        <f>RESUMIDA!B37</f>
        <v>15.018.0250-0</v>
      </c>
      <c r="C37" s="52" t="str">
        <f>RESUMIDA!C37</f>
        <v>CAIXA DE PASSAGEM DE SOBREPOR,EM ACO,COM TAMPA PARAFUSADA,DE 12X12CM.FORNECIMENTO E COLOCACAO (OBS.:3%-DESGASTE DE FERRAMENTAS E EPI).</v>
      </c>
      <c r="D37" s="58" t="str">
        <f>RESUMIDA!D37</f>
        <v>UN</v>
      </c>
      <c r="E37" s="74">
        <f>RESUMIDA!E37</f>
        <v>10</v>
      </c>
      <c r="F37" s="55">
        <v>25.67</v>
      </c>
      <c r="G37" s="55">
        <f t="shared" si="0"/>
        <v>31.44</v>
      </c>
      <c r="H37" s="56">
        <f t="shared" si="1"/>
        <v>256.7</v>
      </c>
      <c r="I37" s="56">
        <f t="shared" si="2"/>
        <v>314.4</v>
      </c>
      <c r="J37" s="57"/>
      <c r="L37" s="99"/>
    </row>
    <row r="38" spans="1:12" ht="45">
      <c r="A38" s="67" t="str">
        <f>RESUMIDA!A38</f>
        <v>1.26</v>
      </c>
      <c r="B38" s="58" t="str">
        <f>RESUMIDA!B38</f>
        <v>15.045.0120-0</v>
      </c>
      <c r="C38" s="52" t="str">
        <f>RESUMIDA!C38</f>
        <v>ABERTURA E FECHAMENTO MANUAL DE RASGO EM ALVENARIA,PARA PASSAGEM DE TUBOS E DUTOS,COM DIAMETRO DE 2.1/2" A 4" (OBS.:3%-DESGASTE DE FERRAMENTAS E EPI).</v>
      </c>
      <c r="D38" s="58" t="str">
        <f>RESUMIDA!D38</f>
        <v>M</v>
      </c>
      <c r="E38" s="74">
        <f>RESUMIDA!E38</f>
        <v>1.5</v>
      </c>
      <c r="F38" s="55">
        <v>30.08</v>
      </c>
      <c r="G38" s="55">
        <f t="shared" si="0"/>
        <v>36.84</v>
      </c>
      <c r="H38" s="56">
        <f t="shared" si="1"/>
        <v>45.12</v>
      </c>
      <c r="I38" s="56">
        <f t="shared" si="2"/>
        <v>55.26</v>
      </c>
      <c r="J38" s="57"/>
      <c r="L38" s="99"/>
    </row>
    <row r="39" spans="1:12" s="90" customFormat="1" ht="18.75">
      <c r="A39" s="75" t="str">
        <f>RESUMIDA!A39</f>
        <v>X</v>
      </c>
      <c r="B39" s="75"/>
      <c r="C39" s="75"/>
      <c r="D39" s="75"/>
      <c r="E39" s="75" t="str">
        <f>RESUMIDA!E39</f>
        <v>TOTAL GERAL=</v>
      </c>
      <c r="F39" s="76"/>
      <c r="G39" s="76"/>
      <c r="H39" s="134">
        <f>SUM(H13:H38)</f>
        <v>52926.03000000001</v>
      </c>
      <c r="I39" s="134">
        <f>SUM(I13:I38)</f>
        <v>64823.04</v>
      </c>
      <c r="J39" s="135"/>
      <c r="L39" s="111"/>
    </row>
    <row r="40" spans="1:11" s="91" customFormat="1" ht="18.75">
      <c r="A40" s="84"/>
      <c r="B40" s="84"/>
      <c r="C40" s="85"/>
      <c r="D40" s="84"/>
      <c r="E40" s="86"/>
      <c r="F40" s="87"/>
      <c r="G40" s="87"/>
      <c r="H40" s="174"/>
      <c r="I40" s="174"/>
      <c r="J40" s="57"/>
      <c r="K40" s="78"/>
    </row>
    <row r="41" spans="1:11" s="94" customFormat="1" ht="18.75">
      <c r="A41" s="88"/>
      <c r="B41" s="88"/>
      <c r="C41" s="92"/>
      <c r="D41" s="88"/>
      <c r="E41" s="93"/>
      <c r="G41" s="95"/>
      <c r="J41" s="57"/>
      <c r="K41" s="54"/>
    </row>
    <row r="42" spans="8:11" ht="18.75">
      <c r="H42" s="175"/>
      <c r="I42" s="175"/>
      <c r="J42" s="73"/>
      <c r="K42" s="83"/>
    </row>
    <row r="43" ht="18">
      <c r="J43" s="73"/>
    </row>
    <row r="44" ht="15.75">
      <c r="J44" s="57"/>
    </row>
    <row r="45" ht="15.75">
      <c r="J45" s="57"/>
    </row>
    <row r="46" spans="8:10" ht="15.75">
      <c r="H46" s="100"/>
      <c r="J46" s="57"/>
    </row>
    <row r="47" ht="15.75">
      <c r="J47" s="57"/>
    </row>
    <row r="48" spans="10:11" ht="18">
      <c r="J48" s="57"/>
      <c r="K48" s="73"/>
    </row>
    <row r="49" spans="10:11" ht="18.75">
      <c r="J49" s="73"/>
      <c r="K49" s="91"/>
    </row>
    <row r="50" spans="10:11" ht="18">
      <c r="J50" s="73"/>
      <c r="K50" s="94"/>
    </row>
    <row r="51" ht="15.75">
      <c r="J51" s="57"/>
    </row>
    <row r="52" ht="15.75">
      <c r="J52" s="57"/>
    </row>
    <row r="53" ht="15.75">
      <c r="J53" s="57"/>
    </row>
    <row r="54" ht="15.75">
      <c r="J54" s="57"/>
    </row>
    <row r="55" ht="15.75">
      <c r="J55" s="57"/>
    </row>
    <row r="56" ht="18">
      <c r="J56" s="73"/>
    </row>
    <row r="57" ht="18.75">
      <c r="J57" s="91"/>
    </row>
    <row r="58" ht="15">
      <c r="J58" s="94"/>
    </row>
  </sheetData>
  <sheetProtection/>
  <mergeCells count="15">
    <mergeCell ref="H42:I42"/>
    <mergeCell ref="A10:A11"/>
    <mergeCell ref="B10:B11"/>
    <mergeCell ref="C10:C11"/>
    <mergeCell ref="D10:D11"/>
    <mergeCell ref="E10:E11"/>
    <mergeCell ref="D8:G8"/>
    <mergeCell ref="A9:I9"/>
    <mergeCell ref="F10:I10"/>
    <mergeCell ref="H40:I40"/>
    <mergeCell ref="D3:G3"/>
    <mergeCell ref="D4:G4"/>
    <mergeCell ref="D5:G5"/>
    <mergeCell ref="D6:G6"/>
    <mergeCell ref="D7:G7"/>
  </mergeCells>
  <printOptions/>
  <pageMargins left="0.5118110236220472" right="0.5118110236220472" top="0.7874015748031497" bottom="0.7874015748031497" header="0.31496062992125984" footer="0.31496062992125984"/>
  <pageSetup fitToHeight="1000" horizontalDpi="300" verticalDpi="300" orientation="landscape" paperSize="9" scale="55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Zeros="0" view="pageBreakPreview" zoomScale="40" zoomScaleNormal="70" zoomScaleSheetLayoutView="40" zoomScalePageLayoutView="0" workbookViewId="0" topLeftCell="A1">
      <selection activeCell="G21" sqref="G21:G22"/>
    </sheetView>
  </sheetViews>
  <sheetFormatPr defaultColWidth="8.8515625" defaultRowHeight="15"/>
  <cols>
    <col min="1" max="1" width="12.7109375" style="40" bestFit="1" customWidth="1"/>
    <col min="2" max="2" width="78.28125" style="40" bestFit="1" customWidth="1"/>
    <col min="3" max="3" width="18.00390625" style="40" bestFit="1" customWidth="1"/>
    <col min="4" max="4" width="29.421875" style="40" customWidth="1"/>
    <col min="5" max="5" width="18.57421875" style="40" customWidth="1"/>
    <col min="6" max="6" width="34.57421875" style="40" customWidth="1"/>
    <col min="7" max="7" width="33.140625" style="40" customWidth="1"/>
    <col min="8" max="8" width="21.28125" style="23" bestFit="1" customWidth="1"/>
    <col min="9" max="9" width="19.140625" style="30" bestFit="1" customWidth="1"/>
    <col min="10" max="10" width="22.28125" style="23" bestFit="1" customWidth="1"/>
    <col min="11" max="16384" width="8.8515625" style="23" customWidth="1"/>
  </cols>
  <sheetData>
    <row r="1" spans="1:8" ht="39.75" customHeight="1">
      <c r="A1" s="183" t="s">
        <v>13</v>
      </c>
      <c r="B1" s="184"/>
      <c r="C1" s="184"/>
      <c r="D1" s="184"/>
      <c r="E1" s="184"/>
      <c r="F1" s="184"/>
      <c r="G1" s="21"/>
      <c r="H1" s="22"/>
    </row>
    <row r="2" spans="1:8" ht="39.75" customHeight="1">
      <c r="A2" s="185" t="s">
        <v>14</v>
      </c>
      <c r="B2" s="186"/>
      <c r="C2" s="186"/>
      <c r="D2" s="186"/>
      <c r="E2" s="186"/>
      <c r="F2" s="186"/>
      <c r="G2" s="24"/>
      <c r="H2" s="22"/>
    </row>
    <row r="3" spans="1:8" ht="39.75" customHeight="1">
      <c r="A3" s="185" t="s">
        <v>46</v>
      </c>
      <c r="B3" s="186"/>
      <c r="C3" s="186"/>
      <c r="D3" s="186"/>
      <c r="E3" s="186"/>
      <c r="F3" s="186"/>
      <c r="G3" s="24"/>
      <c r="H3" s="22"/>
    </row>
    <row r="4" spans="1:8" ht="39.75" customHeight="1">
      <c r="A4" s="187" t="s">
        <v>64</v>
      </c>
      <c r="B4" s="188"/>
      <c r="C4" s="188"/>
      <c r="D4" s="188"/>
      <c r="E4" s="188"/>
      <c r="F4" s="188"/>
      <c r="G4" s="24"/>
      <c r="H4" s="22"/>
    </row>
    <row r="5" spans="1:8" ht="39.75" customHeight="1">
      <c r="A5" s="189" t="s">
        <v>203</v>
      </c>
      <c r="B5" s="190"/>
      <c r="C5" s="190"/>
      <c r="D5" s="190"/>
      <c r="E5" s="190"/>
      <c r="F5" s="190"/>
      <c r="G5" s="24"/>
      <c r="H5" s="22"/>
    </row>
    <row r="6" spans="1:8" ht="39.75" customHeight="1">
      <c r="A6" s="195" t="s">
        <v>24</v>
      </c>
      <c r="B6" s="196"/>
      <c r="C6" s="196"/>
      <c r="D6" s="196"/>
      <c r="E6" s="196"/>
      <c r="F6" s="196"/>
      <c r="G6" s="24"/>
      <c r="H6" s="22"/>
    </row>
    <row r="7" spans="1:8" ht="39.75" customHeight="1">
      <c r="A7" s="197" t="s">
        <v>204</v>
      </c>
      <c r="B7" s="198"/>
      <c r="C7" s="198"/>
      <c r="D7" s="198"/>
      <c r="E7" s="198"/>
      <c r="F7" s="198"/>
      <c r="G7" s="24"/>
      <c r="H7" s="22"/>
    </row>
    <row r="8" spans="1:8" ht="39.75" customHeight="1">
      <c r="A8" s="199"/>
      <c r="B8" s="200"/>
      <c r="C8" s="200"/>
      <c r="D8" s="200"/>
      <c r="E8" s="200"/>
      <c r="F8" s="200"/>
      <c r="G8" s="25"/>
      <c r="H8" s="22"/>
    </row>
    <row r="9" spans="1:8" ht="39.75" customHeight="1">
      <c r="A9" s="206" t="s">
        <v>25</v>
      </c>
      <c r="B9" s="207"/>
      <c r="C9" s="207"/>
      <c r="D9" s="207"/>
      <c r="E9" s="207"/>
      <c r="F9" s="207"/>
      <c r="G9" s="208"/>
      <c r="H9" s="22"/>
    </row>
    <row r="10" spans="1:10" ht="39.75" customHeight="1">
      <c r="A10" s="201" t="s">
        <v>17</v>
      </c>
      <c r="B10" s="201" t="s">
        <v>26</v>
      </c>
      <c r="C10" s="105" t="s">
        <v>27</v>
      </c>
      <c r="D10" s="106"/>
      <c r="E10" s="106"/>
      <c r="F10" s="106"/>
      <c r="G10" s="26"/>
      <c r="H10" s="22"/>
      <c r="I10" s="41"/>
      <c r="J10" s="27"/>
    </row>
    <row r="11" spans="1:10" ht="39.75" customHeight="1">
      <c r="A11" s="202"/>
      <c r="B11" s="202"/>
      <c r="C11" s="204" t="s">
        <v>28</v>
      </c>
      <c r="D11" s="205"/>
      <c r="E11" s="204" t="s">
        <v>29</v>
      </c>
      <c r="F11" s="205"/>
      <c r="G11" s="26" t="s">
        <v>30</v>
      </c>
      <c r="H11" s="22"/>
      <c r="I11" s="41"/>
      <c r="J11" s="27"/>
    </row>
    <row r="12" spans="1:8" ht="39.75" customHeight="1">
      <c r="A12" s="203"/>
      <c r="B12" s="203"/>
      <c r="C12" s="28" t="s">
        <v>31</v>
      </c>
      <c r="D12" s="29" t="s">
        <v>32</v>
      </c>
      <c r="E12" s="28" t="s">
        <v>31</v>
      </c>
      <c r="F12" s="29" t="s">
        <v>32</v>
      </c>
      <c r="G12" s="26" t="s">
        <v>33</v>
      </c>
      <c r="H12" s="22"/>
    </row>
    <row r="13" spans="1:8" ht="39.75" customHeight="1">
      <c r="A13" s="209"/>
      <c r="B13" s="209"/>
      <c r="C13" s="59"/>
      <c r="D13" s="59"/>
      <c r="E13" s="59"/>
      <c r="F13" s="59"/>
      <c r="G13" s="60"/>
      <c r="H13" s="30"/>
    </row>
    <row r="14" spans="1:9" ht="39.75" customHeight="1">
      <c r="A14" s="31" t="s">
        <v>12</v>
      </c>
      <c r="B14" s="32" t="s">
        <v>205</v>
      </c>
      <c r="C14" s="108">
        <v>0.6</v>
      </c>
      <c r="D14" s="107">
        <f>C14*G14</f>
        <v>38893.824</v>
      </c>
      <c r="E14" s="108">
        <v>0.4</v>
      </c>
      <c r="F14" s="107">
        <f>E14*G14</f>
        <v>25929.216</v>
      </c>
      <c r="G14" s="33">
        <f>' PLANILHA DESONERADA'!I39</f>
        <v>64823.04</v>
      </c>
      <c r="H14" s="34">
        <f>D14+F14</f>
        <v>64823.04</v>
      </c>
      <c r="I14" s="42">
        <f>G14-H14</f>
        <v>0</v>
      </c>
    </row>
    <row r="15" spans="1:8" ht="39.75" customHeight="1">
      <c r="A15" s="61"/>
      <c r="B15" s="62"/>
      <c r="C15" s="63"/>
      <c r="D15" s="64"/>
      <c r="E15" s="64"/>
      <c r="F15" s="64"/>
      <c r="G15" s="35">
        <f>SUM(G14:G14)</f>
        <v>64823.04</v>
      </c>
      <c r="H15" s="34"/>
    </row>
    <row r="16" spans="1:8" ht="39.75" customHeight="1">
      <c r="A16" s="210" t="s">
        <v>34</v>
      </c>
      <c r="B16" s="211"/>
      <c r="C16" s="193">
        <f>SUM(D14:D14)</f>
        <v>38893.824</v>
      </c>
      <c r="D16" s="194"/>
      <c r="E16" s="193">
        <f>SUM(F14:F14)</f>
        <v>25929.216</v>
      </c>
      <c r="F16" s="194"/>
      <c r="G16" s="36"/>
      <c r="H16" s="30"/>
    </row>
    <row r="17" spans="1:8" ht="39.75" customHeight="1">
      <c r="A17" s="210" t="s">
        <v>35</v>
      </c>
      <c r="B17" s="211"/>
      <c r="C17" s="191">
        <f>C16</f>
        <v>38893.824</v>
      </c>
      <c r="D17" s="192"/>
      <c r="E17" s="191">
        <f>C17+E16</f>
        <v>64823.04</v>
      </c>
      <c r="F17" s="192"/>
      <c r="G17" s="37"/>
      <c r="H17" s="30"/>
    </row>
    <row r="18" spans="1:8" ht="39.75" customHeight="1">
      <c r="A18" s="212" t="s">
        <v>36</v>
      </c>
      <c r="B18" s="213"/>
      <c r="C18" s="214">
        <f>C16/G15</f>
        <v>0.6</v>
      </c>
      <c r="D18" s="215"/>
      <c r="E18" s="214">
        <f>E16/G15</f>
        <v>0.4</v>
      </c>
      <c r="F18" s="215"/>
      <c r="G18" s="38"/>
      <c r="H18" s="30"/>
    </row>
    <row r="19" spans="1:8" ht="39.75" customHeight="1">
      <c r="A19" s="212" t="s">
        <v>37</v>
      </c>
      <c r="B19" s="213"/>
      <c r="C19" s="214">
        <f>C18</f>
        <v>0.6</v>
      </c>
      <c r="D19" s="215"/>
      <c r="E19" s="216">
        <f>C19+E18</f>
        <v>1</v>
      </c>
      <c r="F19" s="217"/>
      <c r="G19" s="39"/>
      <c r="H19" s="30"/>
    </row>
    <row r="21" ht="30">
      <c r="G21" s="65"/>
    </row>
    <row r="22" ht="30">
      <c r="G22" s="65"/>
    </row>
  </sheetData>
  <sheetProtection/>
  <mergeCells count="26">
    <mergeCell ref="A13:B13"/>
    <mergeCell ref="A16:B16"/>
    <mergeCell ref="C16:D16"/>
    <mergeCell ref="A19:B19"/>
    <mergeCell ref="C19:D19"/>
    <mergeCell ref="E19:F19"/>
    <mergeCell ref="A18:B18"/>
    <mergeCell ref="C18:D18"/>
    <mergeCell ref="E18:F18"/>
    <mergeCell ref="A17:B17"/>
    <mergeCell ref="A8:F8"/>
    <mergeCell ref="A10:A12"/>
    <mergeCell ref="B10:B12"/>
    <mergeCell ref="C11:D11"/>
    <mergeCell ref="E11:F11"/>
    <mergeCell ref="A9:G9"/>
    <mergeCell ref="A1:F1"/>
    <mergeCell ref="A2:F2"/>
    <mergeCell ref="A3:F3"/>
    <mergeCell ref="A4:F4"/>
    <mergeCell ref="A5:F5"/>
    <mergeCell ref="C17:D17"/>
    <mergeCell ref="E17:F17"/>
    <mergeCell ref="E16:F16"/>
    <mergeCell ref="A6:F6"/>
    <mergeCell ref="A7:F7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5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Thais da Silva Miranda</cp:lastModifiedBy>
  <cp:lastPrinted>2021-04-19T16:17:15Z</cp:lastPrinted>
  <dcterms:created xsi:type="dcterms:W3CDTF">2017-11-22T13:14:51Z</dcterms:created>
  <dcterms:modified xsi:type="dcterms:W3CDTF">2021-11-22T13:24:47Z</dcterms:modified>
  <cp:category/>
  <cp:version/>
  <cp:contentType/>
  <cp:contentStatus/>
</cp:coreProperties>
</file>