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rque de Saudade\DATA BASE JAN-2022\"/>
    </mc:Choice>
  </mc:AlternateContent>
  <xr:revisionPtr revIDLastSave="0" documentId="13_ncr:1_{BF4432DD-9B77-4DE6-BC80-FBC010E57C7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MEMÓRIA" sheetId="3" r:id="rId1"/>
    <sheet name="ORÇAMENTO" sheetId="4" r:id="rId2"/>
    <sheet name="CRONOGRAMA" sheetId="2" r:id="rId3"/>
  </sheets>
  <definedNames>
    <definedName name="_xlnm.Print_Area" localSheetId="2">CRONOGRAMA!$A$1:$I$23</definedName>
    <definedName name="_xlnm.Print_Area" localSheetId="0">MEMÓRIA!$A$1:$I$280</definedName>
    <definedName name="_xlnm.Print_Area" localSheetId="1">ORÇAMENTO!$A$1:$I$60</definedName>
    <definedName name="_xlnm.Print_Titles" localSheetId="0">MEMÓRIA!$10:$11</definedName>
    <definedName name="_xlnm.Print_Titles" localSheetId="1">ORÇAMENTO!$10:$11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3" l="1"/>
  <c r="F21" i="4" s="1"/>
  <c r="G21" i="4" s="1"/>
  <c r="I21" i="4" s="1"/>
  <c r="F43" i="3"/>
  <c r="F20" i="4"/>
  <c r="F35" i="3"/>
  <c r="G35" i="3" s="1"/>
  <c r="I35" i="3" s="1"/>
  <c r="F31" i="3"/>
  <c r="F27" i="3"/>
  <c r="F23" i="3"/>
  <c r="F20" i="3"/>
  <c r="F13" i="3"/>
  <c r="I18" i="2"/>
  <c r="I17" i="2"/>
  <c r="I16" i="2"/>
  <c r="I15" i="2"/>
  <c r="I14" i="2"/>
  <c r="I13" i="2"/>
  <c r="I42" i="4"/>
  <c r="H42" i="4"/>
  <c r="F38" i="4"/>
  <c r="H38" i="4"/>
  <c r="E58" i="4"/>
  <c r="F58" i="4"/>
  <c r="H58" i="4" s="1"/>
  <c r="E55" i="4"/>
  <c r="F55" i="4"/>
  <c r="G55" i="4" s="1"/>
  <c r="I55" i="4" s="1"/>
  <c r="E54" i="4"/>
  <c r="F54" i="4"/>
  <c r="E53" i="4"/>
  <c r="F53" i="4"/>
  <c r="H53" i="4" s="1"/>
  <c r="E52" i="4"/>
  <c r="F52" i="4"/>
  <c r="G52" i="4" s="1"/>
  <c r="I52" i="4" s="1"/>
  <c r="E51" i="4"/>
  <c r="F51" i="4"/>
  <c r="H51" i="4" s="1"/>
  <c r="E50" i="4"/>
  <c r="F50" i="4"/>
  <c r="H50" i="4" s="1"/>
  <c r="E49" i="4"/>
  <c r="F49" i="4"/>
  <c r="G49" i="4" s="1"/>
  <c r="E48" i="4"/>
  <c r="F48" i="4"/>
  <c r="H48" i="4" s="1"/>
  <c r="E47" i="4"/>
  <c r="F47" i="4"/>
  <c r="G47" i="4" s="1"/>
  <c r="I47" i="4" s="1"/>
  <c r="E44" i="4"/>
  <c r="F44" i="4"/>
  <c r="E41" i="4"/>
  <c r="F41" i="4"/>
  <c r="H41" i="4" s="1"/>
  <c r="E40" i="4"/>
  <c r="F40" i="4"/>
  <c r="G40" i="4" s="1"/>
  <c r="E39" i="4"/>
  <c r="F39" i="4"/>
  <c r="H39" i="4" s="1"/>
  <c r="E35" i="4"/>
  <c r="F35" i="4"/>
  <c r="H35" i="4" s="1"/>
  <c r="E34" i="4"/>
  <c r="F34" i="4"/>
  <c r="H34" i="4" s="1"/>
  <c r="E33" i="4"/>
  <c r="F33" i="4"/>
  <c r="H33" i="4" s="1"/>
  <c r="E32" i="4"/>
  <c r="F32" i="4"/>
  <c r="H32" i="4" s="1"/>
  <c r="E31" i="4"/>
  <c r="F31" i="4"/>
  <c r="G31" i="4" s="1"/>
  <c r="E30" i="4"/>
  <c r="F30" i="4"/>
  <c r="H30" i="4" s="1"/>
  <c r="E29" i="4"/>
  <c r="F29" i="4"/>
  <c r="H29" i="4" s="1"/>
  <c r="E26" i="4"/>
  <c r="F26" i="4"/>
  <c r="G26" i="4" s="1"/>
  <c r="E25" i="4"/>
  <c r="F25" i="4"/>
  <c r="E24" i="4"/>
  <c r="F24" i="4"/>
  <c r="H24" i="4" s="1"/>
  <c r="E21" i="4"/>
  <c r="E20" i="4"/>
  <c r="E19" i="4"/>
  <c r="F19" i="4"/>
  <c r="G19" i="4" s="1"/>
  <c r="I19" i="4" s="1"/>
  <c r="E18" i="4"/>
  <c r="E17" i="4"/>
  <c r="F17" i="4"/>
  <c r="G17" i="4" s="1"/>
  <c r="I17" i="4" s="1"/>
  <c r="E16" i="4"/>
  <c r="F16" i="4"/>
  <c r="G16" i="4" s="1"/>
  <c r="I16" i="4" s="1"/>
  <c r="E15" i="4"/>
  <c r="F15" i="4"/>
  <c r="E14" i="4"/>
  <c r="F14" i="4"/>
  <c r="G14" i="4" s="1"/>
  <c r="I14" i="4" s="1"/>
  <c r="E13" i="4"/>
  <c r="F13" i="4"/>
  <c r="I277" i="3"/>
  <c r="I276" i="3"/>
  <c r="I275" i="3"/>
  <c r="I274" i="3"/>
  <c r="F273" i="3" s="1"/>
  <c r="F274" i="3"/>
  <c r="G269" i="3"/>
  <c r="F269" i="3"/>
  <c r="F268" i="3"/>
  <c r="G268" i="3" s="1"/>
  <c r="G270" i="3" s="1"/>
  <c r="F266" i="3" s="1"/>
  <c r="G267" i="3"/>
  <c r="G263" i="3"/>
  <c r="G262" i="3"/>
  <c r="G261" i="3"/>
  <c r="G260" i="3"/>
  <c r="G264" i="3" s="1"/>
  <c r="F258" i="3" s="1"/>
  <c r="G258" i="3" s="1"/>
  <c r="G259" i="3"/>
  <c r="G256" i="3"/>
  <c r="G255" i="3"/>
  <c r="F254" i="3"/>
  <c r="G254" i="3" s="1"/>
  <c r="G253" i="3"/>
  <c r="F253" i="3"/>
  <c r="F252" i="3"/>
  <c r="G252" i="3" s="1"/>
  <c r="G257" i="3" s="1"/>
  <c r="F251" i="3" s="1"/>
  <c r="G251" i="3" s="1"/>
  <c r="F250" i="3" s="1"/>
  <c r="E251" i="3"/>
  <c r="G248" i="3"/>
  <c r="F248" i="3"/>
  <c r="E248" i="3"/>
  <c r="G247" i="3"/>
  <c r="F247" i="3"/>
  <c r="E247" i="3"/>
  <c r="G246" i="3"/>
  <c r="G245" i="3"/>
  <c r="G244" i="3"/>
  <c r="G243" i="3"/>
  <c r="G242" i="3"/>
  <c r="G241" i="3"/>
  <c r="G249" i="3" s="1"/>
  <c r="F237" i="3" s="1"/>
  <c r="G240" i="3"/>
  <c r="G239" i="3"/>
  <c r="G238" i="3"/>
  <c r="F234" i="3"/>
  <c r="G234" i="3" s="1"/>
  <c r="G233" i="3"/>
  <c r="F233" i="3"/>
  <c r="G232" i="3"/>
  <c r="F228" i="3"/>
  <c r="G228" i="3" s="1"/>
  <c r="G227" i="3"/>
  <c r="F227" i="3"/>
  <c r="G226" i="3"/>
  <c r="G225" i="3"/>
  <c r="G224" i="3"/>
  <c r="G223" i="3"/>
  <c r="G229" i="3" s="1"/>
  <c r="F221" i="3" s="1"/>
  <c r="F220" i="3" s="1"/>
  <c r="H220" i="3" s="1"/>
  <c r="G222" i="3"/>
  <c r="G220" i="3"/>
  <c r="I220" i="3" s="1"/>
  <c r="F218" i="3"/>
  <c r="G218" i="3" s="1"/>
  <c r="G217" i="3"/>
  <c r="F217" i="3"/>
  <c r="F216" i="3"/>
  <c r="G216" i="3" s="1"/>
  <c r="G213" i="3"/>
  <c r="F213" i="3"/>
  <c r="G212" i="3"/>
  <c r="G214" i="3" s="1"/>
  <c r="F210" i="3" s="1"/>
  <c r="G210" i="3" s="1"/>
  <c r="I210" i="3" s="1"/>
  <c r="F212" i="3"/>
  <c r="G211" i="3"/>
  <c r="G208" i="3"/>
  <c r="F208" i="3"/>
  <c r="G207" i="3"/>
  <c r="F207" i="3"/>
  <c r="G206" i="3"/>
  <c r="F206" i="3"/>
  <c r="G205" i="3"/>
  <c r="F205" i="3"/>
  <c r="G204" i="3"/>
  <c r="F204" i="3"/>
  <c r="G203" i="3"/>
  <c r="F203" i="3"/>
  <c r="G202" i="3"/>
  <c r="F202" i="3"/>
  <c r="G201" i="3"/>
  <c r="F201" i="3"/>
  <c r="G200" i="3"/>
  <c r="F200" i="3"/>
  <c r="G199" i="3"/>
  <c r="F199" i="3"/>
  <c r="G198" i="3"/>
  <c r="F198" i="3"/>
  <c r="G197" i="3"/>
  <c r="F197" i="3"/>
  <c r="G196" i="3"/>
  <c r="F196" i="3"/>
  <c r="G195" i="3"/>
  <c r="F195" i="3"/>
  <c r="G194" i="3"/>
  <c r="F194" i="3"/>
  <c r="G193" i="3"/>
  <c r="F193" i="3"/>
  <c r="G192" i="3"/>
  <c r="F192" i="3"/>
  <c r="G191" i="3"/>
  <c r="F191" i="3"/>
  <c r="G190" i="3"/>
  <c r="G209" i="3" s="1"/>
  <c r="F189" i="3" s="1"/>
  <c r="F190" i="3"/>
  <c r="G187" i="3"/>
  <c r="F185" i="3" s="1"/>
  <c r="H185" i="3" s="1"/>
  <c r="G186" i="3"/>
  <c r="G185" i="3"/>
  <c r="I185" i="3" s="1"/>
  <c r="G181" i="3"/>
  <c r="F181" i="3"/>
  <c r="F180" i="3"/>
  <c r="G180" i="3" s="1"/>
  <c r="G179" i="3"/>
  <c r="G178" i="3"/>
  <c r="G177" i="3"/>
  <c r="G176" i="3"/>
  <c r="G182" i="3" s="1"/>
  <c r="F175" i="3" s="1"/>
  <c r="G171" i="3"/>
  <c r="F171" i="3"/>
  <c r="E171" i="3"/>
  <c r="F170" i="3"/>
  <c r="E170" i="3"/>
  <c r="G170" i="3" s="1"/>
  <c r="G169" i="3"/>
  <c r="G172" i="3" s="1"/>
  <c r="F168" i="3" s="1"/>
  <c r="F167" i="3" s="1"/>
  <c r="H167" i="3" s="1"/>
  <c r="F169" i="3"/>
  <c r="G165" i="3"/>
  <c r="G164" i="3"/>
  <c r="F164" i="3"/>
  <c r="G163" i="3"/>
  <c r="G162" i="3"/>
  <c r="G161" i="3"/>
  <c r="G160" i="3"/>
  <c r="F157" i="3"/>
  <c r="G157" i="3" s="1"/>
  <c r="G156" i="3"/>
  <c r="F156" i="3"/>
  <c r="F155" i="3"/>
  <c r="G155" i="3" s="1"/>
  <c r="G154" i="3"/>
  <c r="F154" i="3"/>
  <c r="G153" i="3"/>
  <c r="G152" i="3"/>
  <c r="G151" i="3"/>
  <c r="G150" i="3"/>
  <c r="G149" i="3"/>
  <c r="G147" i="3"/>
  <c r="F140" i="3" s="1"/>
  <c r="G140" i="3" s="1"/>
  <c r="I140" i="3" s="1"/>
  <c r="G146" i="3"/>
  <c r="F146" i="3"/>
  <c r="F145" i="3"/>
  <c r="G145" i="3" s="1"/>
  <c r="G144" i="3"/>
  <c r="F144" i="3"/>
  <c r="F143" i="3"/>
  <c r="G143" i="3" s="1"/>
  <c r="G142" i="3"/>
  <c r="G141" i="3"/>
  <c r="G138" i="3"/>
  <c r="F138" i="3"/>
  <c r="G137" i="3"/>
  <c r="F137" i="3"/>
  <c r="G136" i="3"/>
  <c r="F136" i="3"/>
  <c r="G135" i="3"/>
  <c r="F135" i="3"/>
  <c r="G134" i="3"/>
  <c r="F134" i="3"/>
  <c r="G133" i="3"/>
  <c r="F133" i="3"/>
  <c r="G132" i="3"/>
  <c r="F132" i="3"/>
  <c r="G131" i="3"/>
  <c r="F131" i="3"/>
  <c r="G130" i="3"/>
  <c r="G139" i="3" s="1"/>
  <c r="F129" i="3" s="1"/>
  <c r="H129" i="3" s="1"/>
  <c r="F130" i="3"/>
  <c r="G129" i="3"/>
  <c r="I129" i="3" s="1"/>
  <c r="F127" i="3"/>
  <c r="G127" i="3" s="1"/>
  <c r="G126" i="3"/>
  <c r="F126" i="3"/>
  <c r="F125" i="3"/>
  <c r="G125" i="3" s="1"/>
  <c r="G124" i="3"/>
  <c r="F124" i="3"/>
  <c r="F123" i="3"/>
  <c r="G123" i="3" s="1"/>
  <c r="G122" i="3"/>
  <c r="F122" i="3"/>
  <c r="G117" i="3"/>
  <c r="F117" i="3"/>
  <c r="G116" i="3"/>
  <c r="G115" i="3"/>
  <c r="G118" i="3" s="1"/>
  <c r="F114" i="3" s="1"/>
  <c r="H114" i="3" s="1"/>
  <c r="G114" i="3"/>
  <c r="I114" i="3" s="1"/>
  <c r="F112" i="3"/>
  <c r="G112" i="3" s="1"/>
  <c r="G111" i="3"/>
  <c r="G110" i="3"/>
  <c r="G107" i="3"/>
  <c r="F107" i="3"/>
  <c r="G106" i="3"/>
  <c r="G103" i="3"/>
  <c r="F103" i="3"/>
  <c r="G102" i="3"/>
  <c r="F102" i="3"/>
  <c r="G101" i="3"/>
  <c r="G104" i="3" s="1"/>
  <c r="F100" i="3" s="1"/>
  <c r="G98" i="3"/>
  <c r="F98" i="3"/>
  <c r="G97" i="3"/>
  <c r="G99" i="3" s="1"/>
  <c r="F94" i="3" s="1"/>
  <c r="F97" i="3"/>
  <c r="G96" i="3"/>
  <c r="G95" i="3"/>
  <c r="G92" i="3"/>
  <c r="F92" i="3"/>
  <c r="F91" i="3"/>
  <c r="G91" i="3" s="1"/>
  <c r="G93" i="3" s="1"/>
  <c r="F89" i="3" s="1"/>
  <c r="G90" i="3"/>
  <c r="F87" i="3"/>
  <c r="G87" i="3" s="1"/>
  <c r="G86" i="3"/>
  <c r="F86" i="3"/>
  <c r="G85" i="3"/>
  <c r="F80" i="3"/>
  <c r="G80" i="3" s="1"/>
  <c r="G79" i="3"/>
  <c r="F79" i="3"/>
  <c r="G78" i="3"/>
  <c r="G77" i="3"/>
  <c r="G76" i="3"/>
  <c r="G75" i="3"/>
  <c r="G74" i="3"/>
  <c r="G73" i="3"/>
  <c r="G72" i="3"/>
  <c r="G71" i="3"/>
  <c r="G81" i="3" s="1"/>
  <c r="F69" i="3" s="1"/>
  <c r="G70" i="3"/>
  <c r="G67" i="3"/>
  <c r="F67" i="3"/>
  <c r="F66" i="3"/>
  <c r="G66" i="3" s="1"/>
  <c r="G68" i="3" s="1"/>
  <c r="F62" i="3" s="1"/>
  <c r="G65" i="3"/>
  <c r="G64" i="3"/>
  <c r="G63" i="3"/>
  <c r="G60" i="3"/>
  <c r="F60" i="3"/>
  <c r="F59" i="3"/>
  <c r="G59" i="3" s="1"/>
  <c r="G61" i="3" s="1"/>
  <c r="F55" i="3" s="1"/>
  <c r="G58" i="3"/>
  <c r="G57" i="3"/>
  <c r="G56" i="3"/>
  <c r="F51" i="3"/>
  <c r="G51" i="3" s="1"/>
  <c r="G50" i="3"/>
  <c r="G52" i="3" s="1"/>
  <c r="F49" i="3" s="1"/>
  <c r="F50" i="3"/>
  <c r="G46" i="3"/>
  <c r="F46" i="3"/>
  <c r="G45" i="3"/>
  <c r="G47" i="3" s="1"/>
  <c r="F44" i="3" s="1"/>
  <c r="F45" i="3"/>
  <c r="G41" i="3"/>
  <c r="F41" i="3"/>
  <c r="F40" i="3"/>
  <c r="G40" i="3" s="1"/>
  <c r="G42" i="3" s="1"/>
  <c r="F39" i="3" s="1"/>
  <c r="G37" i="3"/>
  <c r="F37" i="3"/>
  <c r="G36" i="3"/>
  <c r="G38" i="3" s="1"/>
  <c r="F36" i="3"/>
  <c r="F33" i="3"/>
  <c r="G33" i="3" s="1"/>
  <c r="G32" i="3"/>
  <c r="F32" i="3"/>
  <c r="H31" i="3"/>
  <c r="G31" i="3"/>
  <c r="I31" i="3" s="1"/>
  <c r="G29" i="3"/>
  <c r="F29" i="3"/>
  <c r="G28" i="3"/>
  <c r="G30" i="3" s="1"/>
  <c r="F28" i="3"/>
  <c r="H27" i="3"/>
  <c r="G27" i="3"/>
  <c r="I27" i="3" s="1"/>
  <c r="G25" i="3"/>
  <c r="F25" i="3"/>
  <c r="F24" i="3"/>
  <c r="G24" i="3" s="1"/>
  <c r="G26" i="3" s="1"/>
  <c r="G22" i="3"/>
  <c r="G21" i="3"/>
  <c r="F21" i="3"/>
  <c r="I20" i="3"/>
  <c r="H20" i="3"/>
  <c r="G20" i="3"/>
  <c r="G18" i="3"/>
  <c r="F18" i="3"/>
  <c r="F17" i="3"/>
  <c r="G17" i="3" s="1"/>
  <c r="G19" i="3" s="1"/>
  <c r="G16" i="3"/>
  <c r="G15" i="3"/>
  <c r="G14" i="3"/>
  <c r="H13" i="3"/>
  <c r="G13" i="3"/>
  <c r="I13" i="3" s="1"/>
  <c r="H35" i="3" l="1"/>
  <c r="F18" i="4"/>
  <c r="G18" i="4" s="1"/>
  <c r="I18" i="4" s="1"/>
  <c r="G33" i="4"/>
  <c r="I33" i="4" s="1"/>
  <c r="G54" i="4"/>
  <c r="I54" i="4" s="1"/>
  <c r="H15" i="4"/>
  <c r="H40" i="4"/>
  <c r="G38" i="4"/>
  <c r="I38" i="4" s="1"/>
  <c r="G25" i="4"/>
  <c r="I25" i="4" s="1"/>
  <c r="G44" i="4"/>
  <c r="I44" i="4" s="1"/>
  <c r="I45" i="4" s="1"/>
  <c r="H31" i="4"/>
  <c r="H52" i="4"/>
  <c r="H36" i="4"/>
  <c r="I31" i="4"/>
  <c r="I26" i="4"/>
  <c r="I39" i="4"/>
  <c r="I49" i="4"/>
  <c r="C16" i="2"/>
  <c r="E16" i="2"/>
  <c r="G16" i="2"/>
  <c r="I40" i="4"/>
  <c r="H20" i="4"/>
  <c r="H26" i="4"/>
  <c r="G30" i="4"/>
  <c r="I30" i="4" s="1"/>
  <c r="G39" i="4"/>
  <c r="H47" i="4"/>
  <c r="H49" i="4"/>
  <c r="H55" i="4"/>
  <c r="H21" i="4"/>
  <c r="G20" i="4"/>
  <c r="I20" i="4" s="1"/>
  <c r="H16" i="4"/>
  <c r="G15" i="4"/>
  <c r="I15" i="4" s="1"/>
  <c r="H25" i="4"/>
  <c r="G35" i="4"/>
  <c r="I35" i="4" s="1"/>
  <c r="H44" i="4"/>
  <c r="H45" i="4" s="1"/>
  <c r="G48" i="4"/>
  <c r="I48" i="4" s="1"/>
  <c r="I56" i="4" s="1"/>
  <c r="G51" i="4"/>
  <c r="I51" i="4" s="1"/>
  <c r="G53" i="4"/>
  <c r="I53" i="4" s="1"/>
  <c r="H54" i="4"/>
  <c r="G58" i="4"/>
  <c r="I58" i="4" s="1"/>
  <c r="I59" i="4" s="1"/>
  <c r="H19" i="4"/>
  <c r="H17" i="4"/>
  <c r="H14" i="4"/>
  <c r="G24" i="4"/>
  <c r="I24" i="4" s="1"/>
  <c r="G29" i="4"/>
  <c r="I29" i="4" s="1"/>
  <c r="G32" i="4"/>
  <c r="I32" i="4" s="1"/>
  <c r="G34" i="4"/>
  <c r="I34" i="4" s="1"/>
  <c r="G41" i="4"/>
  <c r="I41" i="4" s="1"/>
  <c r="G50" i="4"/>
  <c r="I50" i="4" s="1"/>
  <c r="H13" i="4"/>
  <c r="G13" i="4"/>
  <c r="I13" i="4" s="1"/>
  <c r="H59" i="4"/>
  <c r="H39" i="3"/>
  <c r="G39" i="3"/>
  <c r="I39" i="3" s="1"/>
  <c r="G49" i="3"/>
  <c r="H175" i="3"/>
  <c r="H183" i="3" s="1"/>
  <c r="G175" i="3"/>
  <c r="I175" i="3" s="1"/>
  <c r="I183" i="3" s="1"/>
  <c r="H100" i="3"/>
  <c r="G100" i="3"/>
  <c r="I100" i="3" s="1"/>
  <c r="H55" i="3"/>
  <c r="G55" i="3"/>
  <c r="I55" i="3" s="1"/>
  <c r="I82" i="3" s="1"/>
  <c r="H62" i="3"/>
  <c r="G62" i="3"/>
  <c r="I62" i="3" s="1"/>
  <c r="H89" i="3"/>
  <c r="G89" i="3"/>
  <c r="I89" i="3" s="1"/>
  <c r="H69" i="3"/>
  <c r="G69" i="3"/>
  <c r="I69" i="3" s="1"/>
  <c r="G189" i="3"/>
  <c r="F188" i="3"/>
  <c r="H250" i="3"/>
  <c r="G250" i="3"/>
  <c r="I250" i="3" s="1"/>
  <c r="H273" i="3"/>
  <c r="H279" i="3" s="1"/>
  <c r="G273" i="3"/>
  <c r="I273" i="3" s="1"/>
  <c r="I279" i="3" s="1"/>
  <c r="H23" i="3"/>
  <c r="G23" i="3"/>
  <c r="I23" i="3" s="1"/>
  <c r="G44" i="3"/>
  <c r="G108" i="3"/>
  <c r="F105" i="3" s="1"/>
  <c r="G113" i="3"/>
  <c r="F109" i="3" s="1"/>
  <c r="G167" i="3"/>
  <c r="I167" i="3" s="1"/>
  <c r="H210" i="3"/>
  <c r="G221" i="3"/>
  <c r="G128" i="3"/>
  <c r="F121" i="3" s="1"/>
  <c r="G266" i="3"/>
  <c r="F265" i="3"/>
  <c r="G34" i="3"/>
  <c r="G166" i="3"/>
  <c r="F159" i="3" s="1"/>
  <c r="G168" i="3"/>
  <c r="G219" i="3"/>
  <c r="F215" i="3" s="1"/>
  <c r="G235" i="3"/>
  <c r="F231" i="3" s="1"/>
  <c r="G88" i="3"/>
  <c r="F84" i="3" s="1"/>
  <c r="H94" i="3"/>
  <c r="G94" i="3"/>
  <c r="I94" i="3" s="1"/>
  <c r="H140" i="3"/>
  <c r="G158" i="3"/>
  <c r="F148" i="3" s="1"/>
  <c r="F236" i="3"/>
  <c r="G237" i="3"/>
  <c r="H18" i="4" l="1"/>
  <c r="H27" i="4"/>
  <c r="H56" i="4"/>
  <c r="J16" i="2"/>
  <c r="I36" i="4"/>
  <c r="I27" i="4"/>
  <c r="I22" i="4"/>
  <c r="I12" i="2" s="1"/>
  <c r="H22" i="4"/>
  <c r="H60" i="4" s="1"/>
  <c r="H148" i="3"/>
  <c r="G148" i="3"/>
  <c r="I148" i="3" s="1"/>
  <c r="I173" i="3" s="1"/>
  <c r="F230" i="3"/>
  <c r="G231" i="3"/>
  <c r="H84" i="3"/>
  <c r="G84" i="3"/>
  <c r="I84" i="3" s="1"/>
  <c r="H48" i="3"/>
  <c r="G48" i="3"/>
  <c r="I48" i="3" s="1"/>
  <c r="G121" i="3"/>
  <c r="I121" i="3" s="1"/>
  <c r="H121" i="3"/>
  <c r="H188" i="3"/>
  <c r="G188" i="3"/>
  <c r="I188" i="3" s="1"/>
  <c r="H236" i="3"/>
  <c r="G236" i="3"/>
  <c r="I236" i="3" s="1"/>
  <c r="H215" i="3"/>
  <c r="G215" i="3"/>
  <c r="I215" i="3" s="1"/>
  <c r="H265" i="3"/>
  <c r="G265" i="3"/>
  <c r="I265" i="3" s="1"/>
  <c r="G109" i="3"/>
  <c r="I109" i="3" s="1"/>
  <c r="H109" i="3"/>
  <c r="H82" i="3"/>
  <c r="H159" i="3"/>
  <c r="H173" i="3" s="1"/>
  <c r="G159" i="3"/>
  <c r="I159" i="3" s="1"/>
  <c r="H43" i="3"/>
  <c r="G43" i="3"/>
  <c r="I43" i="3" s="1"/>
  <c r="I53" i="3" s="1"/>
  <c r="G105" i="3"/>
  <c r="I105" i="3" s="1"/>
  <c r="H105" i="3"/>
  <c r="E17" i="2" l="1"/>
  <c r="G14" i="2"/>
  <c r="C15" i="2"/>
  <c r="G15" i="2"/>
  <c r="E15" i="2"/>
  <c r="E18" i="2"/>
  <c r="C18" i="2"/>
  <c r="G18" i="2"/>
  <c r="H53" i="3"/>
  <c r="H119" i="3"/>
  <c r="H230" i="3"/>
  <c r="G230" i="3"/>
  <c r="I230" i="3" s="1"/>
  <c r="I271" i="3" s="1"/>
  <c r="I119" i="3"/>
  <c r="I280" i="3" s="1"/>
  <c r="H271" i="3"/>
  <c r="C17" i="2" l="1"/>
  <c r="G17" i="2"/>
  <c r="C14" i="2"/>
  <c r="E14" i="2"/>
  <c r="J14" i="2" s="1"/>
  <c r="J18" i="2"/>
  <c r="J15" i="2"/>
  <c r="G13" i="2"/>
  <c r="E13" i="2"/>
  <c r="C13" i="2"/>
  <c r="G12" i="2"/>
  <c r="C12" i="2"/>
  <c r="E12" i="2"/>
  <c r="I19" i="2"/>
  <c r="I60" i="4"/>
  <c r="H280" i="3"/>
  <c r="J17" i="2" l="1"/>
  <c r="E20" i="2"/>
  <c r="E22" i="2" s="1"/>
  <c r="G20" i="2"/>
  <c r="G22" i="2" s="1"/>
  <c r="J13" i="2"/>
  <c r="J12" i="2"/>
  <c r="C20" i="2"/>
  <c r="C22" i="2" l="1"/>
  <c r="C23" i="2" s="1"/>
  <c r="E23" i="2" s="1"/>
  <c r="G23" i="2" s="1"/>
  <c r="C21" i="2"/>
  <c r="E21" i="2" s="1"/>
  <c r="G21" i="2" s="1"/>
</calcChain>
</file>

<file path=xl/sharedStrings.xml><?xml version="1.0" encoding="utf-8"?>
<sst xmlns="http://schemas.openxmlformats.org/spreadsheetml/2006/main" count="999" uniqueCount="387">
  <si>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</si>
  <si>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</si>
  <si>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</si>
  <si>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Serviço :  REFORMA DOS BANHEIROS DO PARQUE DE SAUDADE</t>
  </si>
  <si>
    <t>Local:Rua Elza Maia de Amorim, Saudade, Barra Mansa - RJ</t>
  </si>
  <si>
    <t>LEVANTAMENTO: Engº Carlos R Azevedo</t>
  </si>
  <si>
    <t>APROVAÇÃO: Eng. Eros dos Santos</t>
  </si>
  <si>
    <t>ITEM</t>
  </si>
  <si>
    <t>CODIGO EMOP/ SINAPI</t>
  </si>
  <si>
    <t>DISCRIMINAÇÃO</t>
  </si>
  <si>
    <t>UN</t>
  </si>
  <si>
    <t>QUANT.</t>
  </si>
  <si>
    <t>PREÇOS (R$)</t>
  </si>
  <si>
    <t>UNIT s/ BDI</t>
  </si>
  <si>
    <t>UNITc/ BDI</t>
  </si>
  <si>
    <t>TOTAL s/ BDI</t>
  </si>
  <si>
    <t>TOTAL c/ BDI</t>
  </si>
  <si>
    <t>1.0</t>
  </si>
  <si>
    <t>SERVIÇOS PRELIMINARES</t>
  </si>
  <si>
    <t>1.1</t>
  </si>
  <si>
    <t>02.020.0002-A</t>
  </si>
  <si>
    <t>PLACA DE IDENTIFICACAO DE OBRA PUBLICA,TIPO BANNER/PLOTTER,CONSTITUIDA POR LONA E IMPRESSAO DIGITAL,INCLUSIVE SUPORTES D E MADEIRA.FORNECIMENTO E COLOCACAO (OBS.:3% - DESGASTE DE FERRAMENTAS E EPI).</t>
  </si>
  <si>
    <t>M2</t>
  </si>
  <si>
    <t>1.2</t>
  </si>
  <si>
    <t>05.001.0009-A</t>
  </si>
  <si>
    <t>DEMOLICAO DE REVESTIMENTO EM AZULEJOS,CERAMICAS OU MARMORE EM PAREDE,EXCLUSIVE A CAMADA DE ASSENTAMENTO (OBS.:3%-DESGASTE DE FERRAMENTAS E EPI).</t>
  </si>
  <si>
    <t>1.3</t>
  </si>
  <si>
    <t>05.001.0015-A</t>
  </si>
  <si>
    <t>DEMOLICAO DE PISO DE LADRILHO COM RESPECTIVA CAMADA DE ARGAMASSA DE ASSENTAMENTO,INCLUSIVE EMPILHAMENTO LATERAL DENTRO D O CANTEIRO DE SERVICO (OBS.:3%-DESGASTE DE FERRAMENTAS E EPI).</t>
  </si>
  <si>
    <t>1.4</t>
  </si>
  <si>
    <t>SI00000097640</t>
  </si>
  <si>
    <t>REMOÇÃO DE FORROS DE DRYWALL, PVC E FIBROMINERAL, DE FORMA MANUAL, SEM REAPROVEITAMENTO. AF_12/2017</t>
  </si>
  <si>
    <t>1.5</t>
  </si>
  <si>
    <t>So00000097647</t>
  </si>
  <si>
    <t>REMOÇÃO DE TELHAS, DE FIBROCIMENTO, METÁLICA E CERÂMICA, DE FORMA MANUAL, SEM REAPROVEITAMENTO. AF_12/2017</t>
  </si>
  <si>
    <t>1.6</t>
  </si>
  <si>
    <t>SI00000097644</t>
  </si>
  <si>
    <t>REMOÇÃO DE PORTAS, DE FORMA MANUAL, SEM REAPROVEITAMENTO. AF_12/2017</t>
  </si>
  <si>
    <t>1.7</t>
  </si>
  <si>
    <t>SI00000097666</t>
  </si>
  <si>
    <t>REMOÇÃO DE METAIS SANITÁRIOS, DE FORMA MANUAL, SEM REAPROVEITAMENTO. AF_12/2017</t>
  </si>
  <si>
    <t>REMOÇÃO DE LOUÇAS SANITÁRIOS, DE FORMA MANUAL, SEM REAPROVEITAMENTO. AF_12/2017</t>
  </si>
  <si>
    <t>1.9</t>
  </si>
  <si>
    <t>M²</t>
  </si>
  <si>
    <t>X</t>
  </si>
  <si>
    <t>SUBTOTAL 1.0</t>
  </si>
  <si>
    <t>2.0</t>
  </si>
  <si>
    <t>REVESTIMENTO:PISO, TETO E PAREDE</t>
  </si>
  <si>
    <t>2.1</t>
  </si>
  <si>
    <t>SI00000087248</t>
  </si>
  <si>
    <t>REVESTIMENTO CERÂMICO PARA PISO COM PLACAS TIPO ESMALTADA EXTRA DE DIMENSÕES 35X35 CM APLICADA EM AMBIENTES DE ÁREA MAIOR QUE 10 M2. AF_06/2014</t>
  </si>
  <si>
    <t>2.2</t>
  </si>
  <si>
    <t>SI00000087267</t>
  </si>
  <si>
    <t>REVESTIMENTO CERÂMICO PARA PAREDES INTERNAS COM PLACAS TIPO ESMALTADA EXTRA DE DIMENSÕES 20X20 CM APLICADAS EM AMBIENTES DE ÁREA MAIOR QUE 5 M² A MEIA ALTURA DAS PAREDES. AF_06/2014</t>
  </si>
  <si>
    <t>2.3</t>
  </si>
  <si>
    <t>SI00000096114</t>
  </si>
  <si>
    <t>FORRO EM DRYWALL, PARA AMBIENTES COMERCIAIS, INCLUSIVE ESTRUTURA DE FIXAÇÃO. AF_05/2017_P</t>
  </si>
  <si>
    <t>SUBTOTAL 2.0</t>
  </si>
  <si>
    <t>3.0</t>
  </si>
  <si>
    <t>PINTURA</t>
  </si>
  <si>
    <t>3.1</t>
  </si>
  <si>
    <t>SI00000088487</t>
  </si>
  <si>
    <t>3.2</t>
  </si>
  <si>
    <t>SI00000088486</t>
  </si>
  <si>
    <t>APLICAÇÃO MANUAL DE PINTURA COM TINTA LÁTEX PVA EM TETO, DUAS DEMÃOS. AF_06/2014</t>
  </si>
  <si>
    <t>3.3</t>
  </si>
  <si>
    <t>SI00000088495</t>
  </si>
  <si>
    <t>3.4</t>
  </si>
  <si>
    <t>16.034.0006-A</t>
  </si>
  <si>
    <t>IMPERMEABILIZACAO PAREDES DE ALVENARIA DE TIJOLOS CERAMICOS OU BLOCOS CONCRETO,C/FUROS,S/A PRESENCA DE CAL,C/ABSORCAO UM IDADE(UMIDADE ASCENDENTE)APLICANDO DUAS DEMAOS CRUZADAS CIMENTO POLIMERICO,ATENDENDO ABNT NBR 11905,CONSUMO 1KG/M2/DEMAO ,DESDE PISO ATE ALTURA 1 A 1,2M (OBS.:3%-DESGASTE DE FERRAMENTAS E EPI).</t>
  </si>
  <si>
    <t>3.5</t>
  </si>
  <si>
    <t>SI00000100717</t>
  </si>
  <si>
    <t>LIXAMENTO MANUAL EM SUPERFÍCIES METÁLICAS EM OBRA. AF_01/2020</t>
  </si>
  <si>
    <t>3.6</t>
  </si>
  <si>
    <t>SI00000100720</t>
  </si>
  <si>
    <t>PINTURA COM TINTA ALQUÍDICA DE FUNDO (TIPO ZARCÃO) APLICADA A ROLO OU PINCEL SOBRE PERFIL METÁLICO EXECUTADO EM FÁBRICA (POR DEMÃO). AF_01/2020</t>
  </si>
  <si>
    <t>3.7</t>
  </si>
  <si>
    <t>SI00000100730</t>
  </si>
  <si>
    <t>PINTURA COM TINTA ALQUIDICA DE ACABAMENTO APLICADA A ROLO OU PINCEL SOBRE PERFIL METÁLICO EXECUTADO EM FÁBRICA (POR DEMÃO). AF_01/2020</t>
  </si>
  <si>
    <t>SUBTOTAL 3.0</t>
  </si>
  <si>
    <t>4.0</t>
  </si>
  <si>
    <t xml:space="preserve">COBERTURA </t>
  </si>
  <si>
    <t>4.1</t>
  </si>
  <si>
    <t>SI00000094213</t>
  </si>
  <si>
    <t>TELHAMENTO COM TELHA DE AÇO/ALUMÍNIO E = 0,5 MM, COM ATÉ 2 ÁGUAS, INCLUSO IÇAMENTO. AF_07/2019</t>
  </si>
  <si>
    <t>4.2</t>
  </si>
  <si>
    <t>SI00000094227</t>
  </si>
  <si>
    <t>CALHA EM CHAPA DE AÇO GALVANIZADO NÚMERO 24, DESENVOLVIMENTO DE 33 CM, INCLUSO TRANSPORTE VERTICAL. AF_07/2019</t>
  </si>
  <si>
    <t>M</t>
  </si>
  <si>
    <t>4.3</t>
  </si>
  <si>
    <t>15.004.0202-A</t>
  </si>
  <si>
    <t>TUBO DE QUEDA EM PVC DE 100MM,INCLUSIVE "T" SANITARIO.FORNECIMENTO E ASSENTAMENTO (OBS.:3%-DESGASTE DE FERRAMENTAS E EPI).</t>
  </si>
  <si>
    <t>4.4</t>
  </si>
  <si>
    <t>SUB-TOTAL 4.0</t>
  </si>
  <si>
    <t>5.0</t>
  </si>
  <si>
    <t>ESQUADRIAS</t>
  </si>
  <si>
    <t>5.1</t>
  </si>
  <si>
    <t>SI00000091341</t>
  </si>
  <si>
    <t>PORTA EM ALUMÍNIO DE ABRIR TIPO VENEZIANA COM GUARNIÇÃO, FIXAÇÃO COM PARAFUSOS - FORNECIMENTO E INSTALAÇÃO. AF_12/2019</t>
  </si>
  <si>
    <t>SUB-TOTAL 5.0</t>
  </si>
  <si>
    <t>6.0</t>
  </si>
  <si>
    <t>EQUIPAMENTOS E METAIS</t>
  </si>
  <si>
    <t>6.1</t>
  </si>
  <si>
    <t>18.009.0105-A</t>
  </si>
  <si>
    <t>TORNEIRA PARA LAVATORIO,TIPO BANCA COM ACIONAMENTO HIDROMECANICO,COM LEVE PRESSAO MANUAL.FORNECIMENTO</t>
  </si>
  <si>
    <t>6.2</t>
  </si>
  <si>
    <t>15.004.0255-A</t>
  </si>
  <si>
    <t>BEBEDOURO ELETRICO,TIPO PRESSAO COM FILTRO INTERNO(EXCLUSIVE FORNECIMENTO DE APARELHO),COMPREENDENDO:2 VARAS DE ELETRODU TO PVC DE 3/4",COM LUVAS,10,00M DE FIO 2,5MM2,TOMADA DE EMBUTIR E CAIXA DE EMBUTIR,4,00M DE TUBO PVC DE 25MM,3,00M DE TU BO PVC DE 40MM,REGISTRO DE 3/4" E CONEXOES.INSTALACAO ATE ORALO EXISTENTE E ASSENTAMENTO (OBS.:3%-DESGASTE DE FERRAMENTAS E EPI).</t>
  </si>
  <si>
    <t>6.3</t>
  </si>
  <si>
    <t>18.016.0080-A</t>
  </si>
  <si>
    <t>SECADOR DE MAOS EM ACO INOXIDAVEL,COM SISTEMA FOTO-CELULAR BI-VOLT,EXCLUSIVE PONTO DE TOMADA.FORNECIMENTO E COLOCACAO (OBS.:3%-DESGASTE DE FERRAMENTAS E EPI).</t>
  </si>
  <si>
    <t>6.4</t>
  </si>
  <si>
    <t>6.5</t>
  </si>
  <si>
    <t>6.6</t>
  </si>
  <si>
    <t>6.7</t>
  </si>
  <si>
    <t>6.8</t>
  </si>
  <si>
    <t>6.9</t>
  </si>
  <si>
    <t>PAR</t>
  </si>
  <si>
    <t>SUB-TOTAL 6.0</t>
  </si>
  <si>
    <t>7.0</t>
  </si>
  <si>
    <t>TRANSPORTE E ENTULLHO</t>
  </si>
  <si>
    <t>7.1</t>
  </si>
  <si>
    <t>04.014.0095-A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</si>
  <si>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</si>
  <si>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SUBTOTAL 7.0</t>
  </si>
  <si>
    <t>TOTAL GERAL</t>
  </si>
  <si>
    <r>
      <t>Secretaria Municipal de Planejamento Urbano</t>
    </r>
    <r>
      <rPr>
        <sz val="16"/>
        <color indexed="8"/>
        <rFont val="Arial"/>
        <family val="2"/>
      </rPr>
      <t xml:space="preserve"> </t>
    </r>
  </si>
  <si>
    <t>Orçamentista: Engº Alfredo Cunha</t>
  </si>
  <si>
    <t xml:space="preserve">CRONOGRAMA  FÍSICO-FINANCEIRO </t>
  </si>
  <si>
    <t>SERVIÇO</t>
  </si>
  <si>
    <t>30 DIAS</t>
  </si>
  <si>
    <t>60 DIAS</t>
  </si>
  <si>
    <t>TOTAL</t>
  </si>
  <si>
    <t>R$</t>
  </si>
  <si>
    <t>%</t>
  </si>
  <si>
    <t>COBERTURA E IMPERMEABILIZAÇÃO</t>
  </si>
  <si>
    <t>TOTAL DA OBRA POR MEDIÇÃO</t>
  </si>
  <si>
    <t>TOTAL ACUMULADO DA OBRA</t>
  </si>
  <si>
    <t>Desembolso por medição %</t>
  </si>
  <si>
    <t>Desembolso acumulado %</t>
  </si>
  <si>
    <t>CONJ</t>
  </si>
  <si>
    <t>SI00000097663</t>
  </si>
  <si>
    <t>05.001.0131-5</t>
  </si>
  <si>
    <t>14.004.0073-5</t>
  </si>
  <si>
    <t>SI00000086932</t>
  </si>
  <si>
    <t>SI00000100849</t>
  </si>
  <si>
    <t>15.015.0036-5</t>
  </si>
  <si>
    <t>18.016.0106-A</t>
  </si>
  <si>
    <t>90 DIAS</t>
  </si>
  <si>
    <t>18.002.0065-0</t>
  </si>
  <si>
    <t>PROJETO REVISADO Engº Carlos R Azevedo</t>
  </si>
  <si>
    <t>ORÇAMENTO:  Engº Alfredo Cunha</t>
  </si>
  <si>
    <t>COMPOSIÇÃO DE PREÇOS  - BDI 28,82%</t>
  </si>
  <si>
    <t>10806</t>
  </si>
  <si>
    <t>PLACA DE IDENTIFICACAO DE OBRA PUBLICA,TIPO BANNER/PLOTER, CONSTITUIDA POR LONAE IMPRESSAO DIGITAL</t>
  </si>
  <si>
    <t>00453</t>
  </si>
  <si>
    <t>PREGO COM OU SEM CABECA, EM CAIXAS DE 50KG, OU QUANTIDADES EQUIVALENTES, Nº12X12A 18X30</t>
  </si>
  <si>
    <t>KG</t>
  </si>
  <si>
    <t>00368</t>
  </si>
  <si>
    <t>PINUS, EM PECAS DE 7,50X7,50CM (3"X3")</t>
  </si>
  <si>
    <t>20132</t>
  </si>
  <si>
    <t>MAO-DE-OBRA DE SERVENTE DA CONSTRUCAO CIVIL, INCLUSIVE ENCARGOS SOCIAIS DESONERADOS</t>
  </si>
  <si>
    <t>H</t>
  </si>
  <si>
    <t>20045</t>
  </si>
  <si>
    <t>MAO-DE-OBRA DE CARPINTEIRO DE ESQUADRIASDE MADEIRA, INCLUSIVE ENCARGOS SOCIAISDESONERADOS</t>
  </si>
  <si>
    <t>20115</t>
  </si>
  <si>
    <t>MAO-DE-OBRA DE PEDREIRO, INCLUSIVE ENCARGOS SOCIAIS DESONERADOS</t>
  </si>
  <si>
    <t>SI00000088316</t>
  </si>
  <si>
    <t>SERVENTE COM ENCARGOS COMPLEMENTARES</t>
  </si>
  <si>
    <t>SI00000088278</t>
  </si>
  <si>
    <t>MONTADOR DE ESTRUTURA METÁLICA COM ENCARGOS COMPLEMENTARES</t>
  </si>
  <si>
    <t>So00000088323</t>
  </si>
  <si>
    <t>TELHADISTA COM ENCARGOS COMPLEMENTARES</t>
  </si>
  <si>
    <t>So00000088316</t>
  </si>
  <si>
    <t>SI00000088309</t>
  </si>
  <si>
    <t>PEDREIRO COM ENCARGOS COMPLEMENTARES</t>
  </si>
  <si>
    <t>SI00000088267</t>
  </si>
  <si>
    <t>ENCANADOR OU BOMBEIRO HIDRÁULICO COM ENCARGOS COMPLEMENTARES</t>
  </si>
  <si>
    <t>1.8</t>
  </si>
  <si>
    <t>REMOÇÃO DE LOUÇAS, DE FORMA MANUAL, SEM REAPROVEITAMENTO. AF_12/2017</t>
  </si>
  <si>
    <t>REMOÇÃO DE VIDRO LAMINADO, DE FORMA MANUAL, COM REAPROVEITAMENTO. AF_12/2017</t>
  </si>
  <si>
    <t>05.001.0131-A</t>
  </si>
  <si>
    <t>REMOCAO DE VIDRO ACIMA DE 0,30X0,30M,COM LIMPEZA LOCAL (OBS.:3%-DESGASTE DE FERRAMENTAS E EPI).</t>
  </si>
  <si>
    <t>20152</t>
  </si>
  <si>
    <t>MAO-DE-OBRA DE VIDRACEIRO, INCLUSIVE ENCARGOS SOCIAIS DESONERADOS</t>
  </si>
  <si>
    <t>0034357</t>
  </si>
  <si>
    <t>REJUNTE CIMENTICIO, QUALQUER COR</t>
  </si>
  <si>
    <t>0001381</t>
  </si>
  <si>
    <t>ARGAMASSA COLANTE AC I PARA CERAMICAS</t>
  </si>
  <si>
    <t>0001287</t>
  </si>
  <si>
    <t>PISO EM CERAMICA ESMALTADA EXTRA, PEI MAIOR OU IGUAL A 4, FORMATO MENOR OU IGUAL A 2025 CM2</t>
  </si>
  <si>
    <t>SI00000088256</t>
  </si>
  <si>
    <t>AZULEJISTA OU LADRILHISTA COM ENCARGOS COMPLEMENTARES</t>
  </si>
  <si>
    <t>0000536</t>
  </si>
  <si>
    <t>REVESTIMENTO EM CERAMICA ESMALTADA EXTRA, PEI MENOR OU IGUAL A 3, FORMATO MENOR OU IGUAL A 2025 CM2</t>
  </si>
  <si>
    <t>0043131</t>
  </si>
  <si>
    <t>ARAME GALVANIZADO 6 BWG, D = 5,16 MM (0,157 KG/M), OU 8 BWG, D = 4,19 MM (0,101 KG/M), OU 10 BWG, D = 3,40 MM (0,0713 KG/M)</t>
  </si>
  <si>
    <t>0040547</t>
  </si>
  <si>
    <t>PARAFUSO ZINCADO, AUTOBROCANTE, FLANGEADO, 4,2 MM X 19 MM</t>
  </si>
  <si>
    <t>CENTO</t>
  </si>
  <si>
    <t>0039443</t>
  </si>
  <si>
    <t>PARAFUSO DRY WALL, EM ACO ZINCADO, CABECA LENTILHA E PONTA BROCA (LB), LARGURA 4,2 MM, COMPRIMENTO 13 MM</t>
  </si>
  <si>
    <t>0039435</t>
  </si>
  <si>
    <t>PARAFUSO DRY WALL, EM ACO FOSFATIZADO, CABECA TROMBETA E PONTA AGULHA (TA), COMPRIMENTO 25 MM</t>
  </si>
  <si>
    <t>0039434</t>
  </si>
  <si>
    <t>MASSA DE REJUNTE EM PO PARA DRYWALL, A BASE DE GESSO, SECAGEM RAPIDA, PARA TRATAMENTO DE JUNTAS DE CHAPA DE GESSO (NECESSITA ADICAO DE AGUA)</t>
  </si>
  <si>
    <t>0039432</t>
  </si>
  <si>
    <t>FITA DE PAPEL REFORCADA COM LAMINA DE METAL PARA REFORCO DE CANTOS DE CHAPA DE GESSO PARA DRYWALL</t>
  </si>
  <si>
    <t>0039430</t>
  </si>
  <si>
    <t>PENDURAL OU PRESILHA REGULADORA, EM ACO GALVANIZADO, COM CORPO, MOLA E REBITE, PARA PERFIL TIPO CANALETA DE ESTRUTURA EM FORROS DRYWALL</t>
  </si>
  <si>
    <t>0039427</t>
  </si>
  <si>
    <t>PERFIL CANALETA, FORMATO C, EM ACO ZINCADO, PARA ESTRUTURA FORRO DRYWALL, E = 0,5 MM, *46 X 18* (L X H), COMPRIMENTO 3 M</t>
  </si>
  <si>
    <t>0039413</t>
  </si>
  <si>
    <t>PLACA / CHAPA DE GESSO ACARTONADO, STANDARD (ST), COR BRANCA, E = 12,5 MM, 1200 X 2400 MM (L X C)</t>
  </si>
  <si>
    <t>APLICAÇÃO MANUAL DE PINTURA COM TINTA LÁTEX PVA EM PAREDES, DUAS DEMÃOS. AF_06/2014</t>
  </si>
  <si>
    <t>0007345</t>
  </si>
  <si>
    <t>TINTA LATEX PVA PREMIUM, COR BRANCA</t>
  </si>
  <si>
    <t>L</t>
  </si>
  <si>
    <t>SI00000088310</t>
  </si>
  <si>
    <t>PINTOR COM ENCARGOS COMPLEMENTARES</t>
  </si>
  <si>
    <t>APLICAÇÃO E LIXAMENTO DE MASSA LÁTEX EM PAREDES, UMA DEMÃO. AF_06/2014</t>
  </si>
  <si>
    <t>0004051</t>
  </si>
  <si>
    <t>MASSA CORRIDA PVA PARA PAREDES INTERNAS</t>
  </si>
  <si>
    <t>18L</t>
  </si>
  <si>
    <t>0003767</t>
  </si>
  <si>
    <t>LIXA EM FOLHA PARA PAREDE OU MADEIRA, NUMERO 120, COR VERMELHA</t>
  </si>
  <si>
    <t>14319</t>
  </si>
  <si>
    <t>CIMENTO POLIMERICO</t>
  </si>
  <si>
    <t>0003768</t>
  </si>
  <si>
    <t>LIXA EM FOLHA PARA FERRO, NUMERO 150</t>
  </si>
  <si>
    <t>0011174</t>
  </si>
  <si>
    <t>PRIMER UNIVERSAL, FUNDO ANTICORROSIVO TIPO ZARCAO</t>
  </si>
  <si>
    <t>0005318</t>
  </si>
  <si>
    <t>DILUENTE AGUARRAS</t>
  </si>
  <si>
    <t>0007304</t>
  </si>
  <si>
    <t>TINTA EPOXI BASE AGUA PREMIUM, BRANCA</t>
  </si>
  <si>
    <t>0005330</t>
  </si>
  <si>
    <t>DILUENTE EPOXI</t>
  </si>
  <si>
    <t>SI00000088312</t>
  </si>
  <si>
    <t>PINTOR PARA TINTA EPÓXI COM ENCARGOS COMPLEMENTARES</t>
  </si>
  <si>
    <t>0011029</t>
  </si>
  <si>
    <t>HASTE RETA PARA GANCHO DE FERRO GALVANIZADO, COM ROSCA 1/4 " X 30 CM PARA FIXACAO DE TELHA METALICA, INCLUI PORCA E ARRUELAS DE VEDACAO</t>
  </si>
  <si>
    <t>CJ</t>
  </si>
  <si>
    <t>0007243</t>
  </si>
  <si>
    <t>TELHA TRAPEZOIDAL EM ACO ZINCADO, SEM PINTURA, ALTURA DE APROXIMADAMENTE 40 MM, ESPESSURA DE 0,50 MM E LARGURA UTIL DE 980 MM</t>
  </si>
  <si>
    <t>SI00000088323</t>
  </si>
  <si>
    <t>SI00000093282</t>
  </si>
  <si>
    <t>SI00000093282 GUINCHO ELÉTRICO DE COLUNA, CAPACIDADE 400 KG, COM MOTO FREIO, MOTOR TRIFÁSICO DE 1,25 CV - CHI DIURNO. AF_03/2016</t>
  </si>
  <si>
    <t>CHI</t>
  </si>
  <si>
    <t>SI00000093281</t>
  </si>
  <si>
    <t>SI00000093281 GUINCHO ELÉTRICO DE COLUNA, CAPACIDADE 400 KG, COM MOTO FREIO, MOTOR TRIFÁSICO DE 1,25 CV - CHP DIURNO. AF_03/2016</t>
  </si>
  <si>
    <t>CHP</t>
  </si>
  <si>
    <t>0040782</t>
  </si>
  <si>
    <t>CALHA QUADRADA DE CHAPA DE ACO GALVANIZADA NUM 24, CORTE 33 CM</t>
  </si>
  <si>
    <t>0013388</t>
  </si>
  <si>
    <t>SOLDA EM BARRA DE ESTANHO-CHUMBO 50/50</t>
  </si>
  <si>
    <t>0005104</t>
  </si>
  <si>
    <t>REBITE DE ALUMINIO VAZADO DE REPUXO, 3,2 X 8 MM (1KG = 1025 UNIDADES)</t>
  </si>
  <si>
    <t>0005061</t>
  </si>
  <si>
    <t>PREGO DE ACO POLIDO COM CABECA 18 X 27 (2 1/2 X 10)</t>
  </si>
  <si>
    <t>0000142</t>
  </si>
  <si>
    <t>SELANTE ELASTICO MONOCOMPONENTE A BASE DE POLIURETANO (PU) PARA JUNTAS DIVERSAS</t>
  </si>
  <si>
    <t>310ML</t>
  </si>
  <si>
    <t>GUINCHO ELÉTRICO DE COLUNA, CAPACIDADE 400 KG, COM MOTO FREIO, MOTOR TRIFÁSICO DE 1,25 CV - CHI DIURNO. AF_03/2016</t>
  </si>
  <si>
    <t>GUINCHO ELÉTRICO DE COLUNA, CAPACIDADE 400 KG, COM MOTO FREIO, MOTOR TRIFÁSICO DE 1,25 CV - CHP DIURNO. AF_03/2016</t>
  </si>
  <si>
    <t>02831</t>
  </si>
  <si>
    <t>ANEL DE BORRACHA, PARA TUBO DE PVC-ESGOTO PRIMARIO, DE 100MM</t>
  </si>
  <si>
    <t>02667</t>
  </si>
  <si>
    <t>TE SANITARIO 90º DE PVC RIGIDO, DE (100X100)MM</t>
  </si>
  <si>
    <t>02617</t>
  </si>
  <si>
    <t>TUBO DE PVC RIGIDO, PONTA/BOLSA COM VIROLA, EM BARRAS DE 6,00M, DE 100MM</t>
  </si>
  <si>
    <t>20039</t>
  </si>
  <si>
    <t>MAO-DE-OBRA DE BOMBEIRO HIDRAULICO DA CONSTRUCAO CIVIL, INCLUSIVE ENCARGOS SOCIAIS DESONERADOS</t>
  </si>
  <si>
    <t>30375</t>
  </si>
  <si>
    <t>15.003.0358-B SUPORTE 2 CHUMB. P/FIX. TUBUL. 4" E 6"</t>
  </si>
  <si>
    <t>ASSENTAMENTO DE VIDRO LAMINADO INCLUSIVE FORN DE ELEMENTOS DE VEDAÇÃO (OBS.:3%-DESGASTE DE FERRAMENTAS E EPI).</t>
  </si>
  <si>
    <t>14.004.0073-A</t>
  </si>
  <si>
    <t>VIDRO LAMINADO,COM ESPESSURA DE 10MM.FORNECIMENTO E COLOCACAO (OBS.:10%-MATERIAL PARA FIXACAO DO VIDRO 3%-DESGASTE DE FERRAMENTAS E EPI).</t>
  </si>
  <si>
    <t>11374</t>
  </si>
  <si>
    <t>VIDRO LAMINADO, INCOLOR, COM 10MM DE ESPESSURA</t>
  </si>
  <si>
    <t>0039025</t>
  </si>
  <si>
    <t>PORTA DE ABRIR EM ALUMINIO TIPO VENEZIANA, ACABAMENTO ANODIZADO NATURAL, SEM GUARNICAO/ALIZAR/VISTA, 87 X 210 CM</t>
  </si>
  <si>
    <t>0036888</t>
  </si>
  <si>
    <t>GUARNICAO / MOLDURA / ARREMATE DE ACABAMENTO PARA ESQUADRIA, EM ALUMINIO PERFIL 25, ACABAMENTO ANODIZADO BRANCO OU BRILHANTE, PARA 1 FACE</t>
  </si>
  <si>
    <t>0007568</t>
  </si>
  <si>
    <t>BUCHA DE NYLON SEM ABA S10, COM PARAFUSO DE 6,10 X 65 MM EM ACO ZINCADO COM ROSCA SOBERBA, CABECA CHATA E FENDA PHILLIPS</t>
  </si>
  <si>
    <t>13113</t>
  </si>
  <si>
    <t>TORNEIRA P/LAVATORIO,DE MESA,ACIONAMENTOHIDROMECANICO MANUAL E FECHAMENTO AUTOMATICO,CROMADA</t>
  </si>
  <si>
    <t>BEBEDOURO ELETRICO,TIPO PRESSAO COM FILTRO INTERNO(EXCLUSIVEFORNECIMENTO DE APARELHO),COMPREENDENDO:2 VARAS DE ELETRODUTO PVC DE 3/4",COM LUVAS,10,00M DE FIO 2,5MM2,TOMADA DE EMBUTIR E CAIXA DE EMBUTIR,4,00M DE TUBO PVC DE 25MM,3,00M DE TUBO PVC DE 40MM,REGISTRO DE 3/4" E CONEXOES.INSTALACAO ATE ORALO EXISTENTE E ASSENTAMENTO</t>
  </si>
  <si>
    <t>05103</t>
  </si>
  <si>
    <t>SOLVENTE (SOLUCAO LIMPADORA) P/CONEXOESDE PVC, EM FRASCOS PLASTICOS DE 1000CM3</t>
  </si>
  <si>
    <t>00702</t>
  </si>
  <si>
    <t>REGISTRO DE GAVETA DE BRONZE, DE 1ª QUALIDADE COM ROSCA DE AMBOS OS LADOS, DE 3/4"</t>
  </si>
  <si>
    <t>02339</t>
  </si>
  <si>
    <t>ADESIVO PLASTICO PARA PVC RIGIDO, EM BISNAGA DE 75G</t>
  </si>
  <si>
    <t>02341</t>
  </si>
  <si>
    <t>ELETRODUTO DE PVC PRETO, RIGIDO ROSQUEAVEL, COM ROSCA EM AMBAS EXTREMIDADES, EMBARRAS DE 3 METROS, DE 3/4"</t>
  </si>
  <si>
    <t>02614</t>
  </si>
  <si>
    <t>TUBO DE PVC RIGIDO SOLDAVEL, PONTA/BOLSA, PARA ESGOTO, EM BARRAS DE 6,00M, DE 040MM</t>
  </si>
  <si>
    <t>02643</t>
  </si>
  <si>
    <t>LUVA DE PVC RIGIDO ROSQUEAVEL, PARA ELETRODUTO, DE 3/4"</t>
  </si>
  <si>
    <t>02984</t>
  </si>
  <si>
    <t>RABICHO PLASTICO COM SAIDA DE 1/2" E COMCOMPRIMENTO DE 30CM</t>
  </si>
  <si>
    <t>04343</t>
  </si>
  <si>
    <t>TOMADA ELETRICA 2P+T, 20A/250V, PADRAO BRASILEIRO, DE EMBUTIR, COM PLACA 4"X2"</t>
  </si>
  <si>
    <t>00285</t>
  </si>
  <si>
    <t>FIO C/ISOLAMENTO TERMOPLASTICO ANTICHAMADE 750V, DE 02,5MM2</t>
  </si>
  <si>
    <t>05031</t>
  </si>
  <si>
    <t>TUBO DE PVC RIGIDO SOLDAVEL, PONTA/BOLSAC/VIROLA, EM BARRAS DE 6,00M, DE 025MM</t>
  </si>
  <si>
    <t>05726</t>
  </si>
  <si>
    <t>ADAPTADOR DE PVC, SOLDAVEL CURTO, COM BOLSA E ROSCA PARA REGISTRO, DE 025MMX3/4"</t>
  </si>
  <si>
    <t>05734</t>
  </si>
  <si>
    <t>JOELHO 90º DE PVC SOLDAVEL, DE 025MM</t>
  </si>
  <si>
    <t>05750</t>
  </si>
  <si>
    <t>CAIXA DE LUZ DE PVC, DE 4"x2"</t>
  </si>
  <si>
    <t>05780</t>
  </si>
  <si>
    <t>JOELHO 90º DE PVC SOLDAVEL COM BUCHA DELATAO, DE 25MMX1/2"</t>
  </si>
  <si>
    <t>05791</t>
  </si>
  <si>
    <t>JOELHO 90º DE PVC, PARA ESGOTO, DE 040MM</t>
  </si>
  <si>
    <t>04706</t>
  </si>
  <si>
    <t>JOELHO 45º DE PVC, PARA ESGOTO, DE 040MM</t>
  </si>
  <si>
    <t>20060</t>
  </si>
  <si>
    <t>MAO-DE-OBRA DE ELETRICISTA DA CONSTRUCAOCIVIL, INCLUSIVE ENCARGOS SOCIAIS DESONERADOS</t>
  </si>
  <si>
    <t>13144</t>
  </si>
  <si>
    <t>SECADOR DE MAOS EM ACO INOXIDAVEL, COM SISTEMA FOTO-CELULAR BI-VOLT</t>
  </si>
  <si>
    <t>FORNECIMENTO E ASSENTAMENTO DE VASO SANITÁRIO ACOPLADO COM CAIXA , INCLUSIVE LIGAÇÕES PARA O MESMO, PARA ATENDER PNE</t>
  </si>
  <si>
    <t>VASO SANITÁRIO SIFONADO COM CAIXA ACOPLADA LOUÇA BRANCA - PADRÃO MÉDIO, INCLUSO ENGATE FLEXÍVEL EM METAL CROMADO, 1/2  X 40CM - FORNECIMENTO E INSTALAÇÃO. AF_01/2020</t>
  </si>
  <si>
    <t>SI00000086888</t>
  </si>
  <si>
    <t>VASO SANITÁRIO SIFONADO COM CAIXA ACOPLADA LOUÇA BRANCA - FORNECIMENTO E INSTALAÇÃO. AF_01/2020</t>
  </si>
  <si>
    <t>SI00000086887</t>
  </si>
  <si>
    <t>ENGATE FLEXÍVEL EM INOX, 1/2  X 40CM - FORNECIMENTO E INSTALAÇÃO. AF_01/2020</t>
  </si>
  <si>
    <t>VASO SANITÁRIO DE LOUÇA BRANCA , TIPO POPULAR COM CAIXA ACOPLADA, COMPLETO, COM MEDIDAS EM TORNO DE 35X65X35 CM, INCLUSIVE ASSENTO PLÁSTICO TIPO POPULAR, BOLSA DE LIGAÇÃO, RABICHO EM PVC E ACESSÓRIOS DE FIXAÇÃO.</t>
  </si>
  <si>
    <t>VASO SANITÁRIO DE LOUÇA BRANCO TIPO POPULAR COM CAIXA ACOPLADA COMPLETO COM MEDIDAS EM TORNO DE 35X65X35</t>
  </si>
  <si>
    <t>14789</t>
  </si>
  <si>
    <t>KIT DE ACESSORIOS PARA FIXACAO, COMPREENDENDO PARAFUSOS, BUCHAS E ARRUELAS</t>
  </si>
  <si>
    <t>05953</t>
  </si>
  <si>
    <t>BOLSA DE LIGACAO PARA VASO SANITARIO</t>
  </si>
  <si>
    <t>03944</t>
  </si>
  <si>
    <t>ASSENTO PLASTICO, PARA VASO SANITARIO, TIPO POPULAR</t>
  </si>
  <si>
    <t>03923</t>
  </si>
  <si>
    <t>VASO SANITARIO, SIFONADO DE LOUCA BRANCA, TIPO POPULAR, COM CAIXA ACOPLADA</t>
  </si>
  <si>
    <t>FORNECIMENTO E COLOCAÇÃO DE TAMPAS PARA VASOS</t>
  </si>
  <si>
    <t>ASSENTO SANITÁRIO CONVENCIONAL - FORNECIMENTO E INSTALACAO. AF_01/2020</t>
  </si>
  <si>
    <t>0000377</t>
  </si>
  <si>
    <t>ASSENTO SANITARIO DE PLASTICO, TIPO CONVENCIONAL</t>
  </si>
  <si>
    <t>INSTALAÇÃO DE PONTOS DE ILUMINAÇÃO CONTENDO 5M DE ELETRODUTO,10 M DE FIO FLEXÍVEL 2,5 MM² E 3 CAIXAS DE PASSAGEM 4"x2".</t>
  </si>
  <si>
    <t>15.015.0036-A</t>
  </si>
  <si>
    <t>INSTALACAO DE UM CONJUNTO DE 2 PONTOS DE LUZ,APARENTE,EQUIVALENTE A 5 VARAS DE ELETRODUTO DE PVC RIGIDO DE 3/4",33,00M D E FIO 2,5MM2,CAIXAS,CONEXOES,LUVAS,CURVA E INTERRUPTOR DE SOBREPOR (OBS.:3%-DESGASTE DE FERRAMENTAS E EPI).</t>
  </si>
  <si>
    <t>05914</t>
  </si>
  <si>
    <t>INTERRUPTOR DE SOBREPOR SIMPLES, DE 10A-250V</t>
  </si>
  <si>
    <t>05751</t>
  </si>
  <si>
    <t>CAIXA DE LUZ DE PVC, DE 4"x4"</t>
  </si>
  <si>
    <t>05269</t>
  </si>
  <si>
    <t>ABRACADEIRA TIPO COPO, DE 3/4"</t>
  </si>
  <si>
    <t>02961</t>
  </si>
  <si>
    <t>CURVA 90º DE PVC RIGIDO, ROSQUEAVEL, PARA ELETRODUTO, DE 3/4"</t>
  </si>
  <si>
    <t>00115</t>
  </si>
  <si>
    <t>BUCHA E ARRUELA DE ALUMINIO PARA ELETRODUTO, DE 3/4"</t>
  </si>
  <si>
    <t>18.082.0051-A 18.002.0027-5</t>
  </si>
  <si>
    <t>BANCA DE GRANITO CINZA ANDORINHA MEDINDO 1,80MX0,55M E 2CM DE ESP COM ABERTURA PARA DUAS CUBAS MÉDIAS NA COR BRANCA, INSTALADAS SOBRE CANTONEIRAS METÁLICAS, INCLUSIVE FORN DAS CUBAS , LAVATORIO DE LOUCA BRANCA DE EMBUTIR(CUBA),TIPO MEDIO LUXO,COM LADRAO,COM MEDIDAS EM TORNO DE 52X39CM.FERRAGENS EM METAL CROMADO:SIFAO PLASTICO EXTENSIVEL UNIVERSAL, TIPO COPO,TORNEIRA PARA LAVATORIO TIPO BANCA 1193 OU SIMILAR DE 1/2" E VALVULA DE ESCOAMENTO 1603.RAB ICHO EM PVC.FORNECIMENTOACESSÓRIOS E INSTALAÇÕES. (OBS.:3%-DESGASTE DE FERRAMENTAS E EPI).</t>
  </si>
  <si>
    <t>18.082.0051-A</t>
  </si>
  <si>
    <t>BANCA DE GRANITO CINZA ANDORINHA,COM 3CM DE ESPESSURA,COM ABERTURA PARA 2 CUBAS(EXCLUSIVE ESTAS),SOBRE APOIOS DE ALVENAR IA DE MEIA VEZ E VERGA DE CONCRETO,SEM REVESTIMENTO.FORNECIMENTO E COLOCACAO (OBS.:3%-DESGASTE DE FERRAMENTAS E EPI).</t>
  </si>
  <si>
    <t>13360</t>
  </si>
  <si>
    <t>BANCA DE GRANITO CINZA ANDORINHA, COM 3CM DE ESPESSURA, COM 2 ABERTURAS PARA CUBAS (EXCLUSIVE CUBA)</t>
  </si>
  <si>
    <t>30344</t>
  </si>
  <si>
    <t>12.003.0075-B ALVENARIA TIJ. FURADO 10X20X20CM</t>
  </si>
  <si>
    <t>30312</t>
  </si>
  <si>
    <t>11.013.0003-B VERGAS CONCR. ARMADO P/ ALVEN.</t>
  </si>
  <si>
    <t>M3</t>
  </si>
  <si>
    <t>18.002.0027-A</t>
  </si>
  <si>
    <t>LAVATORIO DE LOUCA BRANCA DE EMBUTIR(CUBA),TIPO MEDIO LUXO,COM LADRAO,COM MEDIDAS EM TORNO DE 52X39CM.FERRAGENS EM METAL CROMADO:SIFAO 1680 1"X1.1/4",TORNEIRA PARA LAVATORIO TIPO BANCA 1193 OU SIMILAR DE 1/2" E VALVULA DE ESCOAMENTO 1603.RAB ICHO EM PVC.FORNECIMENTO</t>
  </si>
  <si>
    <t>03910</t>
  </si>
  <si>
    <t>CUBA DE LOUCA BRANCA, DE EMBUTIR, TIPO MEDIO LUXO, COM MEDIDAS EM TORNO DE (52X39)CM, COM LADRAO</t>
  </si>
  <si>
    <t>03902</t>
  </si>
  <si>
    <t>TORNEIRA PARA LAVATORIO TIPO BANCA, 1193OU SIMILAR DE 1/2"</t>
  </si>
  <si>
    <t>sinapi 0020262</t>
  </si>
  <si>
    <t>SIFAO PLASTICO EXTENSIVEL UNIVERSAL, TIPO COPO</t>
  </si>
  <si>
    <t>02355</t>
  </si>
  <si>
    <t>VALVULA DE ESCOAMENTO, P/LAVATORIO, 1603, EM METAL CROMADO, DE 1"</t>
  </si>
  <si>
    <t>BARRA DE APOIO EM ACO INOXIDAVEL AISI 304,TUBO DE 1.1/4",INCLUSIVE FIXACAO COM PARAFUSOS INOXIDAVEIS E BUCHAS PLASTICAS, COM 80CM,PARA PESSOAS COM NECESSIDADES ESPECIFICAS.FORNECIMENTO E COLOCACAO (OBS.:3%-DESGASTE DE FERRAMENTAS E EPI).</t>
  </si>
  <si>
    <t>13147</t>
  </si>
  <si>
    <t>BARRA DE APOIO, EM ACO INOXIDAVEL AISI 304, TUBO DE 1.1/4", COM 80CM</t>
  </si>
  <si>
    <t>10962</t>
  </si>
  <si>
    <t>ALUGUEL CACAMBA DE ACO TIPO CONTAINER C/5M3 CAPAC.P/RETIRADA ENTULHO OBRA,INCL.CARREGA.,TRANSP.E DESCAR.LOCAIS AUTORIZ.</t>
  </si>
  <si>
    <t>Data-Base:   EMOP -  RJ / SINAPI e SCO-RJ- Desonerado - Base JAN-2022</t>
  </si>
  <si>
    <t>DATA: 29/10/2021 REVISÃO EM 16/03/2022</t>
  </si>
  <si>
    <t>PLANILHA ORÇAMENTÁRIA  - BDI 28,82%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</si>
</sst>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#,##0.0"/>
    <numFmt numFmtId="165" formatCode="_ * #,##0.00_ ;_ * \-#,##0.00_ ;_ * &quot;-&quot;??_ ;_ @_ "/>
    <numFmt numFmtId="166" formatCode="_([$€]* #,##0.00_);_([$€]* \(#,##0.00\);_([$€]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trike/>
      <sz val="12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name val="Switzerland"/>
    </font>
    <font>
      <sz val="14"/>
      <name val="Arial"/>
      <family val="2"/>
    </font>
    <font>
      <sz val="16"/>
      <color indexed="8"/>
      <name val="Arial"/>
      <family val="2"/>
    </font>
    <font>
      <b/>
      <sz val="20"/>
      <name val="Arial"/>
      <family val="2"/>
    </font>
    <font>
      <b/>
      <sz val="12"/>
      <name val="Switzerland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6" fillId="0" borderId="0"/>
    <xf numFmtId="165" fontId="16" fillId="0" borderId="0" applyFont="0" applyFill="0" applyBorder="0" applyAlignment="0" applyProtection="0"/>
    <xf numFmtId="0" fontId="22" fillId="0" borderId="0"/>
    <xf numFmtId="166" fontId="16" fillId="0" borderId="0" applyFont="0" applyFill="0" applyBorder="0" applyAlignment="0" applyProtection="0"/>
    <xf numFmtId="0" fontId="16" fillId="0" borderId="0"/>
  </cellStyleXfs>
  <cellXfs count="302">
    <xf numFmtId="0" fontId="0" fillId="0" borderId="0" xfId="0"/>
    <xf numFmtId="49" fontId="2" fillId="2" borderId="1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left"/>
    </xf>
    <xf numFmtId="4" fontId="2" fillId="2" borderId="2" xfId="1" applyNumberFormat="1" applyFont="1" applyFill="1" applyBorder="1" applyAlignment="1">
      <alignment horizontal="left"/>
    </xf>
    <xf numFmtId="49" fontId="2" fillId="2" borderId="4" xfId="1" applyNumberFormat="1" applyFont="1" applyFill="1" applyBorder="1" applyAlignment="1">
      <alignment horizontal="center"/>
    </xf>
    <xf numFmtId="49" fontId="2" fillId="2" borderId="0" xfId="2" applyNumberFormat="1" applyFont="1" applyFill="1" applyAlignment="1">
      <alignment horizontal="center"/>
    </xf>
    <xf numFmtId="4" fontId="2" fillId="2" borderId="4" xfId="2" applyNumberFormat="1" applyFont="1" applyFill="1" applyBorder="1" applyAlignment="1">
      <alignment horizontal="left"/>
    </xf>
    <xf numFmtId="4" fontId="2" fillId="2" borderId="0" xfId="2" applyNumberFormat="1" applyFont="1" applyFill="1" applyAlignment="1">
      <alignment horizontal="left"/>
    </xf>
    <xf numFmtId="49" fontId="2" fillId="2" borderId="6" xfId="1" applyNumberFormat="1" applyFont="1" applyFill="1" applyBorder="1" applyAlignment="1">
      <alignment horizontal="center"/>
    </xf>
    <xf numFmtId="49" fontId="2" fillId="2" borderId="7" xfId="1" applyNumberFormat="1" applyFont="1" applyFill="1" applyBorder="1" applyAlignment="1">
      <alignment horizontal="center"/>
    </xf>
    <xf numFmtId="4" fontId="11" fillId="2" borderId="7" xfId="1" applyNumberFormat="1" applyFont="1" applyFill="1" applyBorder="1" applyAlignment="1">
      <alignment vertical="center" readingOrder="1"/>
    </xf>
    <xf numFmtId="0" fontId="5" fillId="2" borderId="8" xfId="1" applyFont="1" applyFill="1" applyBorder="1"/>
    <xf numFmtId="0" fontId="13" fillId="0" borderId="9" xfId="0" applyFont="1" applyBorder="1" applyAlignment="1">
      <alignment horizontal="center" vertical="center"/>
    </xf>
    <xf numFmtId="0" fontId="14" fillId="3" borderId="9" xfId="3" applyFont="1" applyFill="1" applyBorder="1" applyAlignment="1">
      <alignment horizontal="center" vertical="center"/>
    </xf>
    <xf numFmtId="0" fontId="14" fillId="3" borderId="9" xfId="3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justify" vertical="top" wrapText="1"/>
    </xf>
    <xf numFmtId="4" fontId="14" fillId="3" borderId="9" xfId="3" applyNumberFormat="1" applyFont="1" applyFill="1" applyBorder="1" applyAlignment="1">
      <alignment horizontal="center" vertical="center"/>
    </xf>
    <xf numFmtId="4" fontId="14" fillId="3" borderId="9" xfId="3" applyNumberFormat="1" applyFont="1" applyFill="1" applyBorder="1"/>
    <xf numFmtId="4" fontId="14" fillId="3" borderId="9" xfId="3" applyNumberFormat="1" applyFont="1" applyFill="1" applyBorder="1" applyAlignment="1">
      <alignment horizontal="right"/>
    </xf>
    <xf numFmtId="165" fontId="14" fillId="3" borderId="9" xfId="4" applyFont="1" applyFill="1" applyBorder="1" applyAlignment="1">
      <alignment horizontal="center" vertical="center"/>
    </xf>
    <xf numFmtId="0" fontId="19" fillId="3" borderId="9" xfId="4" applyNumberFormat="1" applyFont="1" applyFill="1" applyBorder="1" applyAlignment="1">
      <alignment horizontal="justify" vertical="justify" wrapText="1"/>
    </xf>
    <xf numFmtId="4" fontId="19" fillId="3" borderId="9" xfId="4" applyNumberFormat="1" applyFont="1" applyFill="1" applyBorder="1" applyAlignment="1">
      <alignment horizontal="right"/>
    </xf>
    <xf numFmtId="4" fontId="19" fillId="3" borderId="9" xfId="3" applyNumberFormat="1" applyFont="1" applyFill="1" applyBorder="1" applyAlignment="1">
      <alignment horizontal="right"/>
    </xf>
    <xf numFmtId="0" fontId="14" fillId="3" borderId="9" xfId="4" applyNumberFormat="1" applyFont="1" applyFill="1" applyBorder="1" applyAlignment="1">
      <alignment horizontal="justify" vertical="justify" wrapText="1"/>
    </xf>
    <xf numFmtId="4" fontId="14" fillId="3" borderId="9" xfId="4" applyNumberFormat="1" applyFont="1" applyFill="1" applyBorder="1" applyAlignment="1">
      <alignment horizontal="right"/>
    </xf>
    <xf numFmtId="0" fontId="23" fillId="0" borderId="0" xfId="5" applyFont="1"/>
    <xf numFmtId="0" fontId="22" fillId="0" borderId="0" xfId="5"/>
    <xf numFmtId="4" fontId="9" fillId="0" borderId="6" xfId="1" applyNumberFormat="1" applyFont="1" applyBorder="1" applyAlignment="1">
      <alignment vertical="center" wrapText="1"/>
    </xf>
    <xf numFmtId="4" fontId="9" fillId="0" borderId="7" xfId="1" applyNumberFormat="1" applyFont="1" applyBorder="1" applyAlignment="1">
      <alignment vertical="center" wrapText="1"/>
    </xf>
    <xf numFmtId="0" fontId="25" fillId="0" borderId="0" xfId="1" applyFont="1" applyAlignment="1">
      <alignment vertical="center" wrapText="1"/>
    </xf>
    <xf numFmtId="0" fontId="14" fillId="0" borderId="0" xfId="0" applyFont="1"/>
    <xf numFmtId="0" fontId="12" fillId="7" borderId="9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4" fontId="18" fillId="0" borderId="9" xfId="0" applyNumberFormat="1" applyFont="1" applyBorder="1" applyAlignment="1">
      <alignment horizontal="left" vertical="center" wrapText="1"/>
    </xf>
    <xf numFmtId="4" fontId="18" fillId="0" borderId="9" xfId="6" applyNumberFormat="1" applyFont="1" applyFill="1" applyBorder="1" applyAlignment="1">
      <alignment horizontal="right"/>
    </xf>
    <xf numFmtId="10" fontId="14" fillId="0" borderId="9" xfId="0" applyNumberFormat="1" applyFont="1" applyBorder="1" applyAlignment="1">
      <alignment horizontal="right"/>
    </xf>
    <xf numFmtId="4" fontId="14" fillId="0" borderId="9" xfId="0" applyNumberFormat="1" applyFont="1" applyBorder="1" applyAlignment="1">
      <alignment horizontal="right" wrapText="1"/>
    </xf>
    <xf numFmtId="4" fontId="12" fillId="0" borderId="9" xfId="6" applyNumberFormat="1" applyFont="1" applyFill="1" applyBorder="1" applyAlignment="1">
      <alignment horizontal="right"/>
    </xf>
    <xf numFmtId="4" fontId="14" fillId="0" borderId="0" xfId="0" applyNumberFormat="1" applyFont="1"/>
    <xf numFmtId="0" fontId="12" fillId="0" borderId="9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4" fontId="14" fillId="0" borderId="9" xfId="0" applyNumberFormat="1" applyFont="1" applyBorder="1" applyAlignment="1">
      <alignment horizontal="right"/>
    </xf>
    <xf numFmtId="0" fontId="12" fillId="7" borderId="11" xfId="0" applyFont="1" applyFill="1" applyBorder="1" applyAlignment="1">
      <alignment horizontal="right" vertical="center"/>
    </xf>
    <xf numFmtId="0" fontId="12" fillId="7" borderId="12" xfId="0" applyFont="1" applyFill="1" applyBorder="1" applyAlignment="1">
      <alignment horizontal="right" vertical="center"/>
    </xf>
    <xf numFmtId="4" fontId="9" fillId="0" borderId="0" xfId="1" applyNumberFormat="1" applyFont="1" applyAlignment="1">
      <alignment horizontal="center" vertical="center" wrapText="1"/>
    </xf>
    <xf numFmtId="44" fontId="21" fillId="0" borderId="2" xfId="2" applyNumberFormat="1" applyFont="1" applyBorder="1" applyAlignment="1">
      <alignment horizontal="center" vertical="center" wrapText="1" readingOrder="1"/>
    </xf>
    <xf numFmtId="44" fontId="21" fillId="0" borderId="0" xfId="2" applyNumberFormat="1" applyFont="1" applyAlignment="1">
      <alignment horizontal="center" vertical="center" wrapText="1" readingOrder="1"/>
    </xf>
    <xf numFmtId="4" fontId="5" fillId="0" borderId="0" xfId="2" applyNumberFormat="1" applyFont="1" applyAlignment="1">
      <alignment horizontal="center" vertical="center" wrapText="1" readingOrder="1"/>
    </xf>
    <xf numFmtId="0" fontId="5" fillId="0" borderId="0" xfId="1" applyFont="1" applyAlignment="1">
      <alignment horizontal="center"/>
    </xf>
    <xf numFmtId="4" fontId="9" fillId="0" borderId="0" xfId="2" applyNumberFormat="1" applyFont="1" applyAlignment="1">
      <alignment horizontal="center" vertical="center" wrapText="1"/>
    </xf>
    <xf numFmtId="44" fontId="21" fillId="0" borderId="3" xfId="2" applyNumberFormat="1" applyFont="1" applyBorder="1" applyAlignment="1">
      <alignment vertical="center" wrapText="1" readingOrder="1"/>
    </xf>
    <xf numFmtId="44" fontId="21" fillId="0" borderId="5" xfId="2" applyNumberFormat="1" applyFont="1" applyBorder="1" applyAlignment="1">
      <alignment vertical="center" wrapText="1" readingOrder="1"/>
    </xf>
    <xf numFmtId="4" fontId="5" fillId="0" borderId="5" xfId="2" applyNumberFormat="1" applyFont="1" applyBorder="1" applyAlignment="1">
      <alignment vertical="center" wrapText="1" readingOrder="1"/>
    </xf>
    <xf numFmtId="0" fontId="5" fillId="0" borderId="5" xfId="1" applyFont="1" applyBorder="1"/>
    <xf numFmtId="4" fontId="9" fillId="0" borderId="5" xfId="2" applyNumberFormat="1" applyFont="1" applyBorder="1" applyAlignment="1">
      <alignment vertical="center" wrapText="1"/>
    </xf>
    <xf numFmtId="4" fontId="9" fillId="0" borderId="5" xfId="1" applyNumberFormat="1" applyFont="1" applyBorder="1" applyAlignment="1">
      <alignment vertical="center" wrapText="1"/>
    </xf>
    <xf numFmtId="4" fontId="9" fillId="0" borderId="8" xfId="1" applyNumberFormat="1" applyFont="1" applyBorder="1" applyAlignment="1">
      <alignment vertical="center" wrapText="1"/>
    </xf>
    <xf numFmtId="0" fontId="4" fillId="0" borderId="2" xfId="7" applyFont="1" applyBorder="1" applyAlignment="1">
      <alignment horizontal="center"/>
    </xf>
    <xf numFmtId="0" fontId="4" fillId="0" borderId="3" xfId="7" applyFont="1" applyBorder="1"/>
    <xf numFmtId="0" fontId="4" fillId="0" borderId="0" xfId="7" applyFont="1"/>
    <xf numFmtId="0" fontId="4" fillId="0" borderId="0" xfId="7" applyFont="1" applyAlignment="1">
      <alignment horizontal="center"/>
    </xf>
    <xf numFmtId="0" fontId="4" fillId="0" borderId="5" xfId="7" applyFont="1" applyBorder="1"/>
    <xf numFmtId="0" fontId="4" fillId="0" borderId="7" xfId="7" applyFont="1" applyBorder="1"/>
    <xf numFmtId="0" fontId="13" fillId="0" borderId="9" xfId="7" applyFont="1" applyBorder="1" applyAlignment="1">
      <alignment horizontal="center" vertical="center"/>
    </xf>
    <xf numFmtId="4" fontId="13" fillId="0" borderId="9" xfId="7" applyNumberFormat="1" applyFont="1" applyBorder="1" applyAlignment="1">
      <alignment horizontal="center" vertical="center"/>
    </xf>
    <xf numFmtId="0" fontId="12" fillId="0" borderId="10" xfId="7" applyFont="1" applyBorder="1" applyAlignment="1">
      <alignment horizontal="center" vertical="center"/>
    </xf>
    <xf numFmtId="49" fontId="14" fillId="0" borderId="10" xfId="7" applyNumberFormat="1" applyFont="1" applyBorder="1" applyAlignment="1">
      <alignment horizontal="center" vertical="center" wrapText="1"/>
    </xf>
    <xf numFmtId="0" fontId="15" fillId="0" borderId="0" xfId="7" applyFont="1"/>
    <xf numFmtId="4" fontId="14" fillId="3" borderId="9" xfId="7" applyNumberFormat="1" applyFont="1" applyFill="1" applyBorder="1" applyAlignment="1">
      <alignment horizontal="right"/>
    </xf>
    <xf numFmtId="0" fontId="15" fillId="4" borderId="0" xfId="7" applyFont="1" applyFill="1"/>
    <xf numFmtId="4" fontId="15" fillId="4" borderId="0" xfId="7" applyNumberFormat="1" applyFont="1" applyFill="1" applyAlignment="1">
      <alignment horizontal="right"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justify" vertical="top" wrapText="1"/>
    </xf>
    <xf numFmtId="4" fontId="14" fillId="0" borderId="0" xfId="3" applyNumberFormat="1" applyFont="1" applyAlignment="1">
      <alignment horizontal="center" vertical="center"/>
    </xf>
    <xf numFmtId="4" fontId="14" fillId="0" borderId="0" xfId="3" applyNumberFormat="1" applyFont="1"/>
    <xf numFmtId="4" fontId="14" fillId="0" borderId="0" xfId="3" applyNumberFormat="1" applyFont="1" applyAlignment="1">
      <alignment horizontal="right"/>
    </xf>
    <xf numFmtId="4" fontId="15" fillId="0" borderId="0" xfId="7" applyNumberFormat="1" applyFont="1" applyAlignment="1">
      <alignment horizontal="right" wrapText="1"/>
    </xf>
    <xf numFmtId="4" fontId="14" fillId="0" borderId="0" xfId="7" applyNumberFormat="1" applyFont="1" applyAlignment="1">
      <alignment horizontal="right"/>
    </xf>
    <xf numFmtId="0" fontId="14" fillId="2" borderId="9" xfId="3" applyFont="1" applyFill="1" applyBorder="1" applyAlignment="1">
      <alignment horizontal="center" vertical="center"/>
    </xf>
    <xf numFmtId="0" fontId="14" fillId="2" borderId="9" xfId="3" applyFont="1" applyFill="1" applyBorder="1" applyAlignment="1">
      <alignment horizontal="center" vertical="center" wrapText="1"/>
    </xf>
    <xf numFmtId="0" fontId="14" fillId="2" borderId="9" xfId="3" applyFont="1" applyFill="1" applyBorder="1" applyAlignment="1">
      <alignment horizontal="justify" vertical="top" wrapText="1"/>
    </xf>
    <xf numFmtId="4" fontId="14" fillId="2" borderId="11" xfId="3" applyNumberFormat="1" applyFont="1" applyFill="1" applyBorder="1" applyAlignment="1">
      <alignment horizontal="center" vertical="center"/>
    </xf>
    <xf numFmtId="4" fontId="14" fillId="2" borderId="12" xfId="3" applyNumberFormat="1" applyFont="1" applyFill="1" applyBorder="1"/>
    <xf numFmtId="4" fontId="14" fillId="2" borderId="12" xfId="3" applyNumberFormat="1" applyFont="1" applyFill="1" applyBorder="1" applyAlignment="1">
      <alignment horizontal="right"/>
    </xf>
    <xf numFmtId="4" fontId="14" fillId="2" borderId="13" xfId="3" applyNumberFormat="1" applyFont="1" applyFill="1" applyBorder="1" applyAlignment="1">
      <alignment horizontal="right"/>
    </xf>
    <xf numFmtId="4" fontId="14" fillId="2" borderId="9" xfId="3" applyNumberFormat="1" applyFont="1" applyFill="1" applyBorder="1" applyAlignment="1">
      <alignment horizontal="right"/>
    </xf>
    <xf numFmtId="4" fontId="14" fillId="2" borderId="9" xfId="7" applyNumberFormat="1" applyFont="1" applyFill="1" applyBorder="1" applyAlignment="1">
      <alignment horizontal="right"/>
    </xf>
    <xf numFmtId="0" fontId="12" fillId="0" borderId="9" xfId="7" applyFont="1" applyBorder="1" applyAlignment="1">
      <alignment horizontal="center" vertical="center"/>
    </xf>
    <xf numFmtId="0" fontId="17" fillId="0" borderId="9" xfId="7" applyFont="1" applyBorder="1" applyAlignment="1">
      <alignment horizontal="center" vertical="center" wrapText="1"/>
    </xf>
    <xf numFmtId="0" fontId="13" fillId="0" borderId="9" xfId="7" applyFont="1" applyBorder="1" applyAlignment="1">
      <alignment horizontal="left"/>
    </xf>
    <xf numFmtId="0" fontId="13" fillId="0" borderId="11" xfId="7" applyFont="1" applyBorder="1" applyAlignment="1">
      <alignment vertical="center"/>
    </xf>
    <xf numFmtId="0" fontId="13" fillId="0" borderId="12" xfId="7" applyFont="1" applyBorder="1" applyAlignment="1">
      <alignment vertical="center"/>
    </xf>
    <xf numFmtId="0" fontId="13" fillId="0" borderId="13" xfId="7" applyFont="1" applyBorder="1" applyAlignment="1">
      <alignment vertical="center"/>
    </xf>
    <xf numFmtId="4" fontId="15" fillId="0" borderId="0" xfId="3" applyNumberFormat="1" applyFont="1" applyAlignment="1">
      <alignment horizontal="right" wrapText="1"/>
    </xf>
    <xf numFmtId="0" fontId="15" fillId="0" borderId="0" xfId="3" applyFont="1" applyAlignment="1">
      <alignment horizontal="justify" vertical="top"/>
    </xf>
    <xf numFmtId="4" fontId="15" fillId="0" borderId="0" xfId="3" applyNumberFormat="1" applyFont="1" applyAlignment="1">
      <alignment horizontal="center"/>
    </xf>
    <xf numFmtId="164" fontId="15" fillId="0" borderId="0" xfId="3" applyNumberFormat="1" applyFont="1"/>
    <xf numFmtId="4" fontId="15" fillId="0" borderId="0" xfId="3" applyNumberFormat="1" applyFont="1"/>
    <xf numFmtId="0" fontId="14" fillId="3" borderId="9" xfId="7" applyFont="1" applyFill="1" applyBorder="1" applyAlignment="1">
      <alignment horizontal="center" vertical="center"/>
    </xf>
    <xf numFmtId="0" fontId="14" fillId="3" borderId="9" xfId="7" applyFont="1" applyFill="1" applyBorder="1" applyAlignment="1">
      <alignment horizontal="justify" vertical="top" wrapText="1"/>
    </xf>
    <xf numFmtId="4" fontId="18" fillId="3" borderId="9" xfId="7" applyNumberFormat="1" applyFont="1" applyFill="1" applyBorder="1" applyAlignment="1">
      <alignment horizontal="right"/>
    </xf>
    <xf numFmtId="4" fontId="15" fillId="4" borderId="0" xfId="3" applyNumberFormat="1" applyFont="1" applyFill="1" applyAlignment="1">
      <alignment horizontal="right" wrapText="1"/>
    </xf>
    <xf numFmtId="0" fontId="15" fillId="4" borderId="0" xfId="3" applyFont="1" applyFill="1" applyAlignment="1">
      <alignment horizontal="justify" vertical="top"/>
    </xf>
    <xf numFmtId="4" fontId="15" fillId="4" borderId="0" xfId="3" applyNumberFormat="1" applyFont="1" applyFill="1" applyAlignment="1">
      <alignment horizontal="center"/>
    </xf>
    <xf numFmtId="164" fontId="15" fillId="4" borderId="0" xfId="3" applyNumberFormat="1" applyFont="1" applyFill="1"/>
    <xf numFmtId="4" fontId="15" fillId="4" borderId="0" xfId="3" applyNumberFormat="1" applyFont="1" applyFill="1"/>
    <xf numFmtId="0" fontId="14" fillId="3" borderId="9" xfId="7" applyFont="1" applyFill="1" applyBorder="1" applyAlignment="1">
      <alignment horizontal="center" vertical="center" wrapText="1"/>
    </xf>
    <xf numFmtId="0" fontId="14" fillId="3" borderId="9" xfId="7" applyFont="1" applyFill="1" applyBorder="1" applyAlignment="1">
      <alignment horizontal="justify" vertical="justify" wrapText="1"/>
    </xf>
    <xf numFmtId="0" fontId="14" fillId="0" borderId="0" xfId="7" applyFont="1" applyAlignment="1">
      <alignment horizontal="center" vertical="center"/>
    </xf>
    <xf numFmtId="0" fontId="14" fillId="0" borderId="0" xfId="7" applyFont="1" applyAlignment="1">
      <alignment horizontal="center" vertical="center" wrapText="1"/>
    </xf>
    <xf numFmtId="0" fontId="14" fillId="0" borderId="0" xfId="7" applyFont="1" applyAlignment="1">
      <alignment horizontal="justify" vertical="justify" wrapText="1"/>
    </xf>
    <xf numFmtId="165" fontId="14" fillId="0" borderId="0" xfId="4" applyFont="1" applyFill="1" applyBorder="1" applyAlignment="1">
      <alignment horizontal="center" vertical="center"/>
    </xf>
    <xf numFmtId="4" fontId="14" fillId="0" borderId="0" xfId="4" applyNumberFormat="1" applyFont="1" applyFill="1" applyBorder="1" applyAlignment="1">
      <alignment horizontal="right"/>
    </xf>
    <xf numFmtId="0" fontId="14" fillId="0" borderId="9" xfId="7" applyFont="1" applyBorder="1" applyAlignment="1">
      <alignment horizontal="center" vertical="center" wrapText="1"/>
    </xf>
    <xf numFmtId="0" fontId="12" fillId="0" borderId="9" xfId="7" applyFont="1" applyBorder="1" applyAlignment="1">
      <alignment horizontal="left" vertical="justify" wrapText="1"/>
    </xf>
    <xf numFmtId="0" fontId="15" fillId="5" borderId="0" xfId="7" applyFont="1" applyFill="1"/>
    <xf numFmtId="49" fontId="14" fillId="0" borderId="0" xfId="7" applyNumberFormat="1" applyFont="1" applyAlignment="1">
      <alignment horizontal="center" vertical="center" wrapText="1"/>
    </xf>
    <xf numFmtId="0" fontId="14" fillId="0" borderId="0" xfId="4" applyNumberFormat="1" applyFont="1" applyFill="1" applyBorder="1" applyAlignment="1">
      <alignment horizontal="justify" vertical="justify" wrapText="1"/>
    </xf>
    <xf numFmtId="0" fontId="12" fillId="0" borderId="11" xfId="7" applyFont="1" applyBorder="1" applyAlignment="1">
      <alignment vertical="justify" wrapText="1"/>
    </xf>
    <xf numFmtId="0" fontId="12" fillId="0" borderId="12" xfId="7" applyFont="1" applyBorder="1" applyAlignment="1">
      <alignment vertical="justify" wrapText="1"/>
    </xf>
    <xf numFmtId="0" fontId="12" fillId="0" borderId="13" xfId="7" applyFont="1" applyBorder="1" applyAlignment="1">
      <alignment vertical="justify" wrapText="1"/>
    </xf>
    <xf numFmtId="0" fontId="15" fillId="6" borderId="0" xfId="7" applyFont="1" applyFill="1"/>
    <xf numFmtId="0" fontId="19" fillId="3" borderId="9" xfId="7" applyFont="1" applyFill="1" applyBorder="1" applyAlignment="1">
      <alignment horizontal="center" vertical="center"/>
    </xf>
    <xf numFmtId="49" fontId="19" fillId="3" borderId="9" xfId="7" applyNumberFormat="1" applyFont="1" applyFill="1" applyBorder="1" applyAlignment="1">
      <alignment horizontal="center" vertical="center" wrapText="1"/>
    </xf>
    <xf numFmtId="4" fontId="19" fillId="3" borderId="9" xfId="7" applyNumberFormat="1" applyFont="1" applyFill="1" applyBorder="1" applyAlignment="1">
      <alignment horizontal="right"/>
    </xf>
    <xf numFmtId="0" fontId="19" fillId="0" borderId="0" xfId="7" applyFont="1" applyAlignment="1">
      <alignment horizontal="center" vertical="center"/>
    </xf>
    <xf numFmtId="0" fontId="19" fillId="0" borderId="0" xfId="7" applyFont="1" applyAlignment="1">
      <alignment horizontal="center" vertical="center" wrapText="1"/>
    </xf>
    <xf numFmtId="0" fontId="19" fillId="0" borderId="0" xfId="7" applyFont="1" applyAlignment="1">
      <alignment horizontal="justify" vertical="justify" wrapText="1"/>
    </xf>
    <xf numFmtId="165" fontId="19" fillId="0" borderId="0" xfId="4" applyFont="1" applyFill="1" applyBorder="1" applyAlignment="1">
      <alignment horizontal="center" vertical="center"/>
    </xf>
    <xf numFmtId="4" fontId="19" fillId="0" borderId="0" xfId="7" applyNumberFormat="1" applyFont="1" applyAlignment="1">
      <alignment horizontal="right"/>
    </xf>
    <xf numFmtId="4" fontId="19" fillId="0" borderId="0" xfId="4" applyNumberFormat="1" applyFont="1" applyFill="1" applyBorder="1" applyAlignment="1">
      <alignment horizontal="right"/>
    </xf>
    <xf numFmtId="0" fontId="14" fillId="2" borderId="0" xfId="7" applyFont="1" applyFill="1" applyAlignment="1">
      <alignment horizontal="center" vertical="center"/>
    </xf>
    <xf numFmtId="49" fontId="14" fillId="2" borderId="0" xfId="7" applyNumberFormat="1" applyFont="1" applyFill="1" applyAlignment="1">
      <alignment horizontal="center" vertical="center" wrapText="1"/>
    </xf>
    <xf numFmtId="0" fontId="14" fillId="2" borderId="0" xfId="4" applyNumberFormat="1" applyFont="1" applyFill="1" applyBorder="1" applyAlignment="1">
      <alignment horizontal="justify" vertical="justify" wrapText="1"/>
    </xf>
    <xf numFmtId="4" fontId="14" fillId="2" borderId="0" xfId="4" applyNumberFormat="1" applyFont="1" applyFill="1" applyBorder="1" applyAlignment="1">
      <alignment horizontal="right"/>
    </xf>
    <xf numFmtId="4" fontId="14" fillId="2" borderId="0" xfId="7" applyNumberFormat="1" applyFont="1" applyFill="1" applyAlignment="1">
      <alignment horizontal="right"/>
    </xf>
    <xf numFmtId="4" fontId="14" fillId="2" borderId="0" xfId="3" applyNumberFormat="1" applyFont="1" applyFill="1" applyAlignment="1">
      <alignment horizontal="right"/>
    </xf>
    <xf numFmtId="0" fontId="12" fillId="0" borderId="11" xfId="7" applyFont="1" applyBorder="1" applyAlignment="1">
      <alignment vertical="center" wrapText="1"/>
    </xf>
    <xf numFmtId="0" fontId="12" fillId="0" borderId="12" xfId="7" applyFont="1" applyBorder="1" applyAlignment="1">
      <alignment vertical="center" wrapText="1"/>
    </xf>
    <xf numFmtId="0" fontId="12" fillId="0" borderId="13" xfId="7" applyFont="1" applyBorder="1" applyAlignment="1">
      <alignment vertical="center" wrapText="1"/>
    </xf>
    <xf numFmtId="49" fontId="14" fillId="3" borderId="9" xfId="7" applyNumberFormat="1" applyFont="1" applyFill="1" applyBorder="1" applyAlignment="1">
      <alignment horizontal="center" vertical="center" wrapText="1"/>
    </xf>
    <xf numFmtId="4" fontId="12" fillId="2" borderId="0" xfId="3" applyNumberFormat="1" applyFont="1" applyFill="1" applyAlignment="1">
      <alignment horizontal="right"/>
    </xf>
    <xf numFmtId="4" fontId="12" fillId="0" borderId="0" xfId="4" applyNumberFormat="1" applyFont="1" applyFill="1" applyBorder="1" applyAlignment="1">
      <alignment horizontal="right"/>
    </xf>
    <xf numFmtId="0" fontId="27" fillId="0" borderId="0" xfId="7" applyFont="1" applyAlignment="1">
      <alignment vertical="center"/>
    </xf>
    <xf numFmtId="0" fontId="27" fillId="0" borderId="0" xfId="7" applyFont="1" applyAlignment="1">
      <alignment horizontal="center" vertical="center" wrapText="1"/>
    </xf>
    <xf numFmtId="0" fontId="27" fillId="0" borderId="0" xfId="7" applyFont="1"/>
    <xf numFmtId="0" fontId="27" fillId="0" borderId="0" xfId="7" applyFont="1" applyAlignment="1">
      <alignment horizontal="center" vertical="center"/>
    </xf>
    <xf numFmtId="4" fontId="27" fillId="0" borderId="0" xfId="7" applyNumberFormat="1" applyFont="1"/>
    <xf numFmtId="0" fontId="28" fillId="0" borderId="0" xfId="7" applyFont="1" applyAlignment="1">
      <alignment vertical="center"/>
    </xf>
    <xf numFmtId="0" fontId="28" fillId="0" borderId="0" xfId="7" applyFont="1" applyAlignment="1">
      <alignment horizontal="center" vertical="center" wrapText="1"/>
    </xf>
    <xf numFmtId="0" fontId="28" fillId="0" borderId="0" xfId="7" applyFont="1"/>
    <xf numFmtId="0" fontId="28" fillId="0" borderId="0" xfId="7" applyFont="1" applyAlignment="1">
      <alignment horizontal="center" vertical="center"/>
    </xf>
    <xf numFmtId="4" fontId="28" fillId="0" borderId="0" xfId="7" applyNumberFormat="1" applyFont="1"/>
    <xf numFmtId="0" fontId="15" fillId="0" borderId="0" xfId="7" applyFont="1" applyAlignment="1">
      <alignment vertical="center"/>
    </xf>
    <xf numFmtId="0" fontId="20" fillId="0" borderId="0" xfId="7" applyFont="1" applyAlignment="1">
      <alignment horizontal="center" vertical="center" wrapText="1"/>
    </xf>
    <xf numFmtId="0" fontId="20" fillId="0" borderId="0" xfId="7" applyFont="1"/>
    <xf numFmtId="0" fontId="20" fillId="0" borderId="0" xfId="7" applyFont="1" applyAlignment="1">
      <alignment horizontal="center" vertical="center"/>
    </xf>
    <xf numFmtId="4" fontId="20" fillId="0" borderId="0" xfId="7" applyNumberFormat="1" applyFont="1"/>
    <xf numFmtId="0" fontId="12" fillId="0" borderId="10" xfId="7" applyFont="1" applyFill="1" applyBorder="1" applyAlignment="1">
      <alignment horizontal="center" vertical="center"/>
    </xf>
    <xf numFmtId="49" fontId="14" fillId="0" borderId="10" xfId="7" applyNumberFormat="1" applyFont="1" applyFill="1" applyBorder="1" applyAlignment="1">
      <alignment horizontal="center" vertical="center" wrapText="1"/>
    </xf>
    <xf numFmtId="0" fontId="15" fillId="0" borderId="0" xfId="7" applyFont="1" applyFill="1"/>
    <xf numFmtId="0" fontId="14" fillId="0" borderId="9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justify" vertical="top" wrapText="1"/>
    </xf>
    <xf numFmtId="4" fontId="14" fillId="0" borderId="9" xfId="3" applyNumberFormat="1" applyFont="1" applyFill="1" applyBorder="1" applyAlignment="1">
      <alignment horizontal="center" vertical="center"/>
    </xf>
    <xf numFmtId="4" fontId="14" fillId="0" borderId="9" xfId="3" applyNumberFormat="1" applyFont="1" applyFill="1" applyBorder="1"/>
    <xf numFmtId="4" fontId="14" fillId="0" borderId="9" xfId="3" applyNumberFormat="1" applyFont="1" applyFill="1" applyBorder="1" applyAlignment="1">
      <alignment horizontal="right"/>
    </xf>
    <xf numFmtId="4" fontId="14" fillId="0" borderId="9" xfId="7" applyNumberFormat="1" applyFont="1" applyFill="1" applyBorder="1" applyAlignment="1">
      <alignment horizontal="right"/>
    </xf>
    <xf numFmtId="4" fontId="15" fillId="0" borderId="0" xfId="7" applyNumberFormat="1" applyFont="1" applyFill="1" applyAlignment="1">
      <alignment horizontal="right" wrapText="1"/>
    </xf>
    <xf numFmtId="0" fontId="12" fillId="0" borderId="9" xfId="7" applyFont="1" applyFill="1" applyBorder="1" applyAlignment="1">
      <alignment horizontal="center" vertical="center"/>
    </xf>
    <xf numFmtId="0" fontId="17" fillId="0" borderId="9" xfId="7" applyFont="1" applyFill="1" applyBorder="1" applyAlignment="1">
      <alignment horizontal="center" vertical="center" wrapText="1"/>
    </xf>
    <xf numFmtId="0" fontId="13" fillId="0" borderId="9" xfId="7" applyFont="1" applyFill="1" applyBorder="1" applyAlignment="1">
      <alignment horizontal="left"/>
    </xf>
    <xf numFmtId="0" fontId="13" fillId="0" borderId="11" xfId="7" applyFont="1" applyFill="1" applyBorder="1" applyAlignment="1">
      <alignment vertical="center"/>
    </xf>
    <xf numFmtId="0" fontId="13" fillId="0" borderId="12" xfId="7" applyFont="1" applyFill="1" applyBorder="1" applyAlignment="1">
      <alignment vertical="center"/>
    </xf>
    <xf numFmtId="0" fontId="13" fillId="0" borderId="13" xfId="7" applyFont="1" applyFill="1" applyBorder="1" applyAlignment="1">
      <alignment vertical="center"/>
    </xf>
    <xf numFmtId="4" fontId="15" fillId="0" borderId="0" xfId="3" applyNumberFormat="1" applyFont="1" applyFill="1" applyAlignment="1">
      <alignment horizontal="right" wrapText="1"/>
    </xf>
    <xf numFmtId="0" fontId="15" fillId="0" borderId="0" xfId="3" applyFont="1" applyFill="1" applyAlignment="1">
      <alignment horizontal="justify" vertical="top"/>
    </xf>
    <xf numFmtId="4" fontId="15" fillId="0" borderId="0" xfId="3" applyNumberFormat="1" applyFont="1" applyFill="1" applyAlignment="1">
      <alignment horizontal="center"/>
    </xf>
    <xf numFmtId="164" fontId="15" fillId="0" borderId="0" xfId="3" applyNumberFormat="1" applyFont="1" applyFill="1"/>
    <xf numFmtId="4" fontId="15" fillId="0" borderId="0" xfId="3" applyNumberFormat="1" applyFont="1" applyFill="1"/>
    <xf numFmtId="0" fontId="14" fillId="0" borderId="9" xfId="7" applyFont="1" applyFill="1" applyBorder="1" applyAlignment="1">
      <alignment horizontal="center" vertical="center"/>
    </xf>
    <xf numFmtId="0" fontId="14" fillId="0" borderId="9" xfId="7" applyFont="1" applyFill="1" applyBorder="1" applyAlignment="1">
      <alignment horizontal="justify" vertical="top" wrapText="1"/>
    </xf>
    <xf numFmtId="4" fontId="18" fillId="0" borderId="9" xfId="7" applyNumberFormat="1" applyFont="1" applyFill="1" applyBorder="1" applyAlignment="1">
      <alignment horizontal="right"/>
    </xf>
    <xf numFmtId="0" fontId="14" fillId="0" borderId="9" xfId="7" applyFont="1" applyFill="1" applyBorder="1" applyAlignment="1">
      <alignment horizontal="center" vertical="center" wrapText="1"/>
    </xf>
    <xf numFmtId="0" fontId="14" fillId="0" borderId="9" xfId="7" applyFont="1" applyFill="1" applyBorder="1" applyAlignment="1">
      <alignment horizontal="justify" vertical="justify" wrapText="1"/>
    </xf>
    <xf numFmtId="165" fontId="14" fillId="0" borderId="9" xfId="4" applyFont="1" applyFill="1" applyBorder="1" applyAlignment="1">
      <alignment horizontal="center" vertical="center"/>
    </xf>
    <xf numFmtId="0" fontId="12" fillId="0" borderId="9" xfId="7" applyFont="1" applyFill="1" applyBorder="1" applyAlignment="1">
      <alignment horizontal="left" vertical="justify" wrapText="1"/>
    </xf>
    <xf numFmtId="0" fontId="12" fillId="0" borderId="11" xfId="7" applyFont="1" applyFill="1" applyBorder="1" applyAlignment="1">
      <alignment vertical="justify" wrapText="1"/>
    </xf>
    <xf numFmtId="0" fontId="12" fillId="0" borderId="12" xfId="7" applyFont="1" applyFill="1" applyBorder="1" applyAlignment="1">
      <alignment vertical="justify" wrapText="1"/>
    </xf>
    <xf numFmtId="0" fontId="12" fillId="0" borderId="13" xfId="7" applyFont="1" applyFill="1" applyBorder="1" applyAlignment="1">
      <alignment vertical="justify" wrapText="1"/>
    </xf>
    <xf numFmtId="0" fontId="12" fillId="0" borderId="11" xfId="7" applyFont="1" applyFill="1" applyBorder="1" applyAlignment="1">
      <alignment vertical="center" wrapText="1"/>
    </xf>
    <xf numFmtId="0" fontId="12" fillId="0" borderId="12" xfId="7" applyFont="1" applyFill="1" applyBorder="1" applyAlignment="1">
      <alignment vertical="center" wrapText="1"/>
    </xf>
    <xf numFmtId="0" fontId="12" fillId="0" borderId="13" xfId="7" applyFont="1" applyFill="1" applyBorder="1" applyAlignment="1">
      <alignment vertical="center" wrapText="1"/>
    </xf>
    <xf numFmtId="0" fontId="14" fillId="0" borderId="9" xfId="4" applyNumberFormat="1" applyFont="1" applyFill="1" applyBorder="1" applyAlignment="1">
      <alignment horizontal="justify" vertical="justify" wrapText="1"/>
    </xf>
    <xf numFmtId="49" fontId="14" fillId="0" borderId="9" xfId="7" applyNumberFormat="1" applyFont="1" applyFill="1" applyBorder="1" applyAlignment="1">
      <alignment horizontal="center" vertical="center" wrapText="1"/>
    </xf>
    <xf numFmtId="4" fontId="14" fillId="0" borderId="9" xfId="4" applyNumberFormat="1" applyFont="1" applyFill="1" applyBorder="1" applyAlignment="1">
      <alignment horizontal="right"/>
    </xf>
    <xf numFmtId="0" fontId="12" fillId="0" borderId="9" xfId="3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right" vertical="top" wrapText="1"/>
    </xf>
    <xf numFmtId="4" fontId="12" fillId="0" borderId="9" xfId="3" applyNumberFormat="1" applyFont="1" applyFill="1" applyBorder="1" applyAlignment="1">
      <alignment horizontal="right"/>
    </xf>
    <xf numFmtId="4" fontId="12" fillId="0" borderId="9" xfId="7" applyNumberFormat="1" applyFont="1" applyFill="1" applyBorder="1" applyAlignment="1">
      <alignment horizontal="right"/>
    </xf>
    <xf numFmtId="0" fontId="29" fillId="0" borderId="0" xfId="7" applyFont="1" applyFill="1"/>
    <xf numFmtId="4" fontId="29" fillId="0" borderId="0" xfId="7" applyNumberFormat="1" applyFont="1" applyFill="1" applyAlignment="1">
      <alignment horizontal="right" wrapText="1"/>
    </xf>
    <xf numFmtId="4" fontId="12" fillId="0" borderId="11" xfId="3" applyNumberFormat="1" applyFont="1" applyFill="1" applyBorder="1" applyAlignment="1">
      <alignment vertical="center"/>
    </xf>
    <xf numFmtId="4" fontId="12" fillId="0" borderId="12" xfId="3" applyNumberFormat="1" applyFont="1" applyFill="1" applyBorder="1" applyAlignment="1">
      <alignment vertical="center"/>
    </xf>
    <xf numFmtId="4" fontId="12" fillId="0" borderId="13" xfId="3" applyNumberFormat="1" applyFont="1" applyFill="1" applyBorder="1" applyAlignment="1">
      <alignment vertical="center"/>
    </xf>
    <xf numFmtId="4" fontId="12" fillId="0" borderId="9" xfId="3" applyNumberFormat="1" applyFont="1" applyFill="1" applyBorder="1" applyAlignment="1">
      <alignment horizontal="center" vertical="center"/>
    </xf>
    <xf numFmtId="4" fontId="12" fillId="0" borderId="9" xfId="3" applyNumberFormat="1" applyFont="1" applyFill="1" applyBorder="1"/>
    <xf numFmtId="4" fontId="3" fillId="2" borderId="2" xfId="2" applyNumberFormat="1" applyFont="1" applyFill="1" applyBorder="1" applyAlignment="1">
      <alignment horizontal="left" vertical="center" readingOrder="1"/>
    </xf>
    <xf numFmtId="4" fontId="3" fillId="2" borderId="3" xfId="2" applyNumberFormat="1" applyFont="1" applyFill="1" applyBorder="1" applyAlignment="1">
      <alignment horizontal="left" vertical="center" readingOrder="1"/>
    </xf>
    <xf numFmtId="4" fontId="3" fillId="2" borderId="0" xfId="2" applyNumberFormat="1" applyFont="1" applyFill="1" applyAlignment="1">
      <alignment horizontal="left" vertical="center" readingOrder="1"/>
    </xf>
    <xf numFmtId="4" fontId="3" fillId="2" borderId="5" xfId="2" applyNumberFormat="1" applyFont="1" applyFill="1" applyBorder="1" applyAlignment="1">
      <alignment horizontal="left" vertical="center" readingOrder="1"/>
    </xf>
    <xf numFmtId="4" fontId="5" fillId="2" borderId="4" xfId="1" applyNumberFormat="1" applyFont="1" applyFill="1" applyBorder="1" applyAlignment="1">
      <alignment horizontal="left" vertical="center"/>
    </xf>
    <xf numFmtId="4" fontId="5" fillId="2" borderId="0" xfId="1" applyNumberFormat="1" applyFont="1" applyFill="1" applyAlignment="1">
      <alignment horizontal="left" vertical="center"/>
    </xf>
    <xf numFmtId="4" fontId="5" fillId="2" borderId="5" xfId="1" applyNumberFormat="1" applyFont="1" applyFill="1" applyBorder="1" applyAlignment="1">
      <alignment horizontal="left" vertical="center"/>
    </xf>
    <xf numFmtId="4" fontId="6" fillId="2" borderId="0" xfId="2" applyNumberFormat="1" applyFont="1" applyFill="1" applyAlignment="1">
      <alignment horizontal="left" vertical="center" wrapText="1" readingOrder="1"/>
    </xf>
    <xf numFmtId="4" fontId="6" fillId="2" borderId="5" xfId="2" applyNumberFormat="1" applyFont="1" applyFill="1" applyBorder="1" applyAlignment="1">
      <alignment horizontal="left" vertical="center" wrapText="1" readingOrder="1"/>
    </xf>
    <xf numFmtId="0" fontId="7" fillId="2" borderId="4" xfId="7" applyFont="1" applyFill="1" applyBorder="1" applyAlignment="1">
      <alignment horizontal="left" vertical="center" wrapText="1" readingOrder="1"/>
    </xf>
    <xf numFmtId="0" fontId="7" fillId="2" borderId="0" xfId="7" applyFont="1" applyFill="1" applyAlignment="1">
      <alignment horizontal="left" vertical="center" wrapText="1" readingOrder="1"/>
    </xf>
    <xf numFmtId="0" fontId="7" fillId="2" borderId="5" xfId="7" applyFont="1" applyFill="1" applyBorder="1" applyAlignment="1">
      <alignment horizontal="left" vertical="center" wrapText="1" readingOrder="1"/>
    </xf>
    <xf numFmtId="0" fontId="5" fillId="2" borderId="4" xfId="7" applyFont="1" applyFill="1" applyBorder="1" applyAlignment="1">
      <alignment horizontal="left" vertical="center" wrapText="1"/>
    </xf>
    <xf numFmtId="0" fontId="5" fillId="2" borderId="0" xfId="7" applyFont="1" applyFill="1" applyAlignment="1">
      <alignment horizontal="left" vertical="center" wrapText="1"/>
    </xf>
    <xf numFmtId="0" fontId="5" fillId="2" borderId="5" xfId="7" applyFont="1" applyFill="1" applyBorder="1" applyAlignment="1">
      <alignment horizontal="left" vertical="center" wrapText="1"/>
    </xf>
    <xf numFmtId="4" fontId="8" fillId="2" borderId="0" xfId="2" applyNumberFormat="1" applyFont="1" applyFill="1" applyAlignment="1">
      <alignment horizontal="left" vertical="center" readingOrder="1"/>
    </xf>
    <xf numFmtId="4" fontId="8" fillId="2" borderId="5" xfId="2" applyNumberFormat="1" applyFont="1" applyFill="1" applyBorder="1" applyAlignment="1">
      <alignment horizontal="left" vertical="center" readingOrder="1"/>
    </xf>
    <xf numFmtId="4" fontId="9" fillId="2" borderId="4" xfId="2" applyNumberFormat="1" applyFont="1" applyFill="1" applyBorder="1" applyAlignment="1">
      <alignment horizontal="left" vertical="center"/>
    </xf>
    <xf numFmtId="4" fontId="9" fillId="2" borderId="0" xfId="2" applyNumberFormat="1" applyFont="1" applyFill="1" applyAlignment="1">
      <alignment horizontal="left" vertical="center"/>
    </xf>
    <xf numFmtId="4" fontId="9" fillId="2" borderId="5" xfId="2" applyNumberFormat="1" applyFont="1" applyFill="1" applyBorder="1" applyAlignment="1">
      <alignment horizontal="left" vertical="center"/>
    </xf>
    <xf numFmtId="4" fontId="10" fillId="2" borderId="0" xfId="1" applyNumberFormat="1" applyFont="1" applyFill="1" applyAlignment="1">
      <alignment horizontal="left" vertical="center" readingOrder="1"/>
    </xf>
    <xf numFmtId="4" fontId="10" fillId="2" borderId="5" xfId="1" applyNumberFormat="1" applyFont="1" applyFill="1" applyBorder="1" applyAlignment="1">
      <alignment horizontal="left" vertical="center" readingOrder="1"/>
    </xf>
    <xf numFmtId="0" fontId="12" fillId="0" borderId="11" xfId="7" applyFont="1" applyBorder="1" applyAlignment="1">
      <alignment horizontal="left" vertical="center"/>
    </xf>
    <xf numFmtId="0" fontId="12" fillId="0" borderId="13" xfId="7" applyFont="1" applyBorder="1" applyAlignment="1">
      <alignment horizontal="left" vertical="center"/>
    </xf>
    <xf numFmtId="0" fontId="5" fillId="2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0" fontId="12" fillId="0" borderId="9" xfId="7" applyFont="1" applyBorder="1" applyAlignment="1">
      <alignment horizontal="center" vertical="center"/>
    </xf>
    <xf numFmtId="0" fontId="12" fillId="0" borderId="9" xfId="7" applyFont="1" applyBorder="1" applyAlignment="1">
      <alignment horizontal="center" vertical="justify" wrapText="1"/>
    </xf>
    <xf numFmtId="0" fontId="12" fillId="0" borderId="9" xfId="7" applyFont="1" applyBorder="1" applyAlignment="1">
      <alignment horizontal="center" vertical="center" wrapText="1" readingOrder="1"/>
    </xf>
    <xf numFmtId="4" fontId="12" fillId="0" borderId="9" xfId="7" applyNumberFormat="1" applyFont="1" applyBorder="1" applyAlignment="1">
      <alignment horizontal="center" vertical="center"/>
    </xf>
    <xf numFmtId="4" fontId="13" fillId="0" borderId="9" xfId="7" applyNumberFormat="1" applyFont="1" applyBorder="1" applyAlignment="1">
      <alignment horizontal="center" vertical="center"/>
    </xf>
    <xf numFmtId="0" fontId="12" fillId="0" borderId="10" xfId="7" applyFont="1" applyBorder="1" applyAlignment="1">
      <alignment horizontal="left" vertical="top" wrapText="1"/>
    </xf>
    <xf numFmtId="0" fontId="12" fillId="0" borderId="11" xfId="7" applyFont="1" applyBorder="1" applyAlignment="1">
      <alignment horizontal="center" vertical="center" wrapText="1"/>
    </xf>
    <xf numFmtId="0" fontId="12" fillId="0" borderId="12" xfId="7" applyFont="1" applyBorder="1" applyAlignment="1">
      <alignment horizontal="center" vertical="center" wrapText="1"/>
    </xf>
    <xf numFmtId="0" fontId="12" fillId="0" borderId="13" xfId="7" applyFont="1" applyBorder="1" applyAlignment="1">
      <alignment horizontal="center" vertical="center" wrapText="1"/>
    </xf>
    <xf numFmtId="0" fontId="12" fillId="0" borderId="11" xfId="7" applyFont="1" applyFill="1" applyBorder="1" applyAlignment="1">
      <alignment horizontal="left" vertical="center"/>
    </xf>
    <xf numFmtId="0" fontId="12" fillId="0" borderId="13" xfId="7" applyFont="1" applyFill="1" applyBorder="1" applyAlignment="1">
      <alignment horizontal="left" vertical="center"/>
    </xf>
    <xf numFmtId="4" fontId="12" fillId="0" borderId="11" xfId="3" applyNumberFormat="1" applyFont="1" applyFill="1" applyBorder="1" applyAlignment="1">
      <alignment horizontal="center" vertical="center"/>
    </xf>
    <xf numFmtId="4" fontId="12" fillId="0" borderId="12" xfId="3" applyNumberFormat="1" applyFont="1" applyFill="1" applyBorder="1" applyAlignment="1">
      <alignment horizontal="center" vertical="center"/>
    </xf>
    <xf numFmtId="4" fontId="12" fillId="0" borderId="13" xfId="3" applyNumberFormat="1" applyFont="1" applyFill="1" applyBorder="1" applyAlignment="1">
      <alignment horizontal="center" vertical="center"/>
    </xf>
    <xf numFmtId="0" fontId="12" fillId="0" borderId="10" xfId="7" applyFont="1" applyFill="1" applyBorder="1" applyAlignment="1">
      <alignment horizontal="left" vertical="top" wrapText="1"/>
    </xf>
    <xf numFmtId="0" fontId="12" fillId="0" borderId="11" xfId="7" applyFont="1" applyFill="1" applyBorder="1" applyAlignment="1">
      <alignment horizontal="center" vertical="center" wrapText="1"/>
    </xf>
    <xf numFmtId="0" fontId="12" fillId="0" borderId="12" xfId="7" applyFont="1" applyFill="1" applyBorder="1" applyAlignment="1">
      <alignment horizontal="center" vertical="center" wrapText="1"/>
    </xf>
    <xf numFmtId="0" fontId="12" fillId="0" borderId="13" xfId="7" applyFont="1" applyFill="1" applyBorder="1" applyAlignment="1">
      <alignment horizontal="center" vertical="center" wrapText="1"/>
    </xf>
    <xf numFmtId="10" fontId="12" fillId="0" borderId="11" xfId="0" applyNumberFormat="1" applyFont="1" applyBorder="1" applyAlignment="1">
      <alignment horizontal="center"/>
    </xf>
    <xf numFmtId="10" fontId="12" fillId="0" borderId="13" xfId="0" applyNumberFormat="1" applyFont="1" applyBorder="1" applyAlignment="1">
      <alignment horizontal="center"/>
    </xf>
    <xf numFmtId="4" fontId="12" fillId="8" borderId="10" xfId="6" applyNumberFormat="1" applyFont="1" applyFill="1" applyBorder="1" applyAlignment="1">
      <alignment horizontal="center"/>
    </xf>
    <xf numFmtId="4" fontId="12" fillId="8" borderId="14" xfId="6" applyNumberFormat="1" applyFont="1" applyFill="1" applyBorder="1" applyAlignment="1">
      <alignment horizontal="center"/>
    </xf>
    <xf numFmtId="4" fontId="12" fillId="8" borderId="15" xfId="6" applyNumberFormat="1" applyFont="1" applyFill="1" applyBorder="1" applyAlignment="1">
      <alignment horizontal="center"/>
    </xf>
    <xf numFmtId="1" fontId="26" fillId="0" borderId="9" xfId="5" applyNumberFormat="1" applyFont="1" applyBorder="1" applyAlignment="1">
      <alignment horizontal="left" vertical="top"/>
    </xf>
    <xf numFmtId="4" fontId="12" fillId="0" borderId="11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0" fontId="26" fillId="0" borderId="9" xfId="5" applyFont="1" applyBorder="1" applyAlignment="1">
      <alignment horizontal="left" vertical="top"/>
    </xf>
    <xf numFmtId="1" fontId="26" fillId="0" borderId="15" xfId="5" applyNumberFormat="1" applyFont="1" applyBorder="1" applyAlignment="1">
      <alignment horizontal="left" vertical="top"/>
    </xf>
    <xf numFmtId="4" fontId="12" fillId="7" borderId="6" xfId="0" applyNumberFormat="1" applyFont="1" applyFill="1" applyBorder="1" applyAlignment="1">
      <alignment horizontal="center" vertical="center"/>
    </xf>
    <xf numFmtId="4" fontId="12" fillId="7" borderId="8" xfId="0" applyNumberFormat="1" applyFont="1" applyFill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 wrapText="1"/>
    </xf>
    <xf numFmtId="4" fontId="9" fillId="0" borderId="0" xfId="1" applyNumberFormat="1" applyFont="1" applyAlignment="1">
      <alignment horizontal="center" vertical="center" wrapText="1"/>
    </xf>
    <xf numFmtId="0" fontId="25" fillId="0" borderId="9" xfId="1" applyFont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" fontId="9" fillId="0" borderId="4" xfId="2" applyNumberFormat="1" applyFont="1" applyBorder="1" applyAlignment="1">
      <alignment horizontal="center" vertical="center" wrapText="1"/>
    </xf>
    <xf numFmtId="4" fontId="9" fillId="0" borderId="0" xfId="2" applyNumberFormat="1" applyFont="1" applyAlignment="1">
      <alignment horizontal="center" vertical="center" wrapText="1"/>
    </xf>
    <xf numFmtId="44" fontId="21" fillId="0" borderId="1" xfId="2" applyNumberFormat="1" applyFont="1" applyBorder="1" applyAlignment="1">
      <alignment horizontal="center" vertical="center" wrapText="1" readingOrder="1"/>
    </xf>
    <xf numFmtId="44" fontId="21" fillId="0" borderId="2" xfId="2" applyNumberFormat="1" applyFont="1" applyBorder="1" applyAlignment="1">
      <alignment horizontal="center" vertical="center" wrapText="1" readingOrder="1"/>
    </xf>
    <xf numFmtId="44" fontId="21" fillId="0" borderId="4" xfId="2" applyNumberFormat="1" applyFont="1" applyBorder="1" applyAlignment="1">
      <alignment horizontal="center" vertical="center" wrapText="1" readingOrder="1"/>
    </xf>
    <xf numFmtId="44" fontId="21" fillId="0" borderId="0" xfId="2" applyNumberFormat="1" applyFont="1" applyAlignment="1">
      <alignment horizontal="center" vertical="center" wrapText="1" readingOrder="1"/>
    </xf>
    <xf numFmtId="4" fontId="5" fillId="0" borderId="4" xfId="2" applyNumberFormat="1" applyFont="1" applyBorder="1" applyAlignment="1">
      <alignment horizontal="center" vertical="center" wrapText="1" readingOrder="1"/>
    </xf>
    <xf numFmtId="4" fontId="5" fillId="0" borderId="0" xfId="2" applyNumberFormat="1" applyFont="1" applyAlignment="1">
      <alignment horizontal="center" vertical="center" wrapText="1" readingOrder="1"/>
    </xf>
    <xf numFmtId="0" fontId="5" fillId="0" borderId="4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3" borderId="9" xfId="3" applyFont="1" applyFill="1" applyBorder="1" applyAlignment="1">
      <alignment horizontal="center" vertical="center"/>
    </xf>
    <xf numFmtId="0" fontId="12" fillId="3" borderId="9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right" vertical="top" wrapText="1"/>
    </xf>
    <xf numFmtId="4" fontId="12" fillId="3" borderId="11" xfId="3" applyNumberFormat="1" applyFont="1" applyFill="1" applyBorder="1" applyAlignment="1">
      <alignment horizontal="center" vertical="center"/>
    </xf>
    <xf numFmtId="4" fontId="12" fillId="3" borderId="12" xfId="3" applyNumberFormat="1" applyFont="1" applyFill="1" applyBorder="1" applyAlignment="1">
      <alignment horizontal="center" vertical="center"/>
    </xf>
    <xf numFmtId="4" fontId="12" fillId="3" borderId="13" xfId="3" applyNumberFormat="1" applyFont="1" applyFill="1" applyBorder="1" applyAlignment="1">
      <alignment horizontal="center" vertical="center"/>
    </xf>
    <xf numFmtId="4" fontId="12" fillId="3" borderId="9" xfId="3" applyNumberFormat="1" applyFont="1" applyFill="1" applyBorder="1" applyAlignment="1">
      <alignment horizontal="right"/>
    </xf>
    <xf numFmtId="4" fontId="12" fillId="3" borderId="9" xfId="7" applyNumberFormat="1" applyFont="1" applyFill="1" applyBorder="1" applyAlignment="1">
      <alignment horizontal="right"/>
    </xf>
    <xf numFmtId="0" fontId="29" fillId="4" borderId="0" xfId="7" applyFont="1" applyFill="1"/>
    <xf numFmtId="4" fontId="29" fillId="4" borderId="0" xfId="7" applyNumberFormat="1" applyFont="1" applyFill="1" applyAlignment="1">
      <alignment horizontal="right" wrapText="1"/>
    </xf>
    <xf numFmtId="4" fontId="12" fillId="3" borderId="11" xfId="3" applyNumberFormat="1" applyFont="1" applyFill="1" applyBorder="1" applyAlignment="1">
      <alignment vertical="center"/>
    </xf>
    <xf numFmtId="4" fontId="12" fillId="3" borderId="12" xfId="3" applyNumberFormat="1" applyFont="1" applyFill="1" applyBorder="1" applyAlignment="1">
      <alignment vertical="center"/>
    </xf>
    <xf numFmtId="4" fontId="12" fillId="3" borderId="13" xfId="3" applyNumberFormat="1" applyFont="1" applyFill="1" applyBorder="1" applyAlignment="1">
      <alignment vertical="center"/>
    </xf>
    <xf numFmtId="4" fontId="12" fillId="3" borderId="9" xfId="3" applyNumberFormat="1" applyFont="1" applyFill="1" applyBorder="1" applyAlignment="1">
      <alignment horizontal="center" vertical="center"/>
    </xf>
    <xf numFmtId="4" fontId="12" fillId="3" borderId="9" xfId="3" applyNumberFormat="1" applyFont="1" applyFill="1" applyBorder="1"/>
  </cellXfs>
  <cellStyles count="8">
    <cellStyle name="Euro" xfId="6" xr:uid="{00000000-0005-0000-0000-000000000000}"/>
    <cellStyle name="Normal" xfId="0" builtinId="0"/>
    <cellStyle name="Normal 2" xfId="7" xr:uid="{00000000-0005-0000-0000-000002000000}"/>
    <cellStyle name="Normal 2 3" xfId="2" xr:uid="{00000000-0005-0000-0000-000003000000}"/>
    <cellStyle name="Normal_CRONOGRAMA" xfId="5" xr:uid="{00000000-0005-0000-0000-000004000000}"/>
    <cellStyle name="Normal_P_Getulio Vargas 2" xfId="1" xr:uid="{00000000-0005-0000-0000-000005000000}"/>
    <cellStyle name="Normal_RUAS 3,4,7 e 8 R-1" xfId="3" xr:uid="{00000000-0005-0000-0000-000006000000}"/>
    <cellStyle name="Separador de milhares_Orçamento nº013-PRODEC V.Primavera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228600</xdr:rowOff>
    </xdr:from>
    <xdr:to>
      <xdr:col>1</xdr:col>
      <xdr:colOff>1209675</xdr:colOff>
      <xdr:row>6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B5098D0-4BD2-4B90-A2CD-4B31AA35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15049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228600</xdr:rowOff>
    </xdr:from>
    <xdr:to>
      <xdr:col>1</xdr:col>
      <xdr:colOff>1209675</xdr:colOff>
      <xdr:row>6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CF5DCF5-E883-40F7-81FB-B3FA9187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15049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79375</xdr:colOff>
      <xdr:row>0</xdr:row>
      <xdr:rowOff>177800</xdr:rowOff>
    </xdr:from>
    <xdr:to>
      <xdr:col>8</xdr:col>
      <xdr:colOff>1095375</xdr:colOff>
      <xdr:row>7</xdr:row>
      <xdr:rowOff>177800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9FD464F-EC88-43E3-831F-84B0EE77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2375" y="177800"/>
          <a:ext cx="193675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8"/>
  <sheetViews>
    <sheetView view="pageBreakPreview" topLeftCell="A3" zoomScale="75" zoomScaleNormal="75" zoomScaleSheetLayoutView="75" workbookViewId="0">
      <selection activeCell="F4" sqref="F4:I4"/>
    </sheetView>
  </sheetViews>
  <sheetFormatPr defaultRowHeight="14.25"/>
  <cols>
    <col min="1" max="1" width="6.85546875" style="155" customWidth="1"/>
    <col min="2" max="2" width="26.28515625" style="156" customWidth="1"/>
    <col min="3" max="3" width="94.7109375" style="157" customWidth="1"/>
    <col min="4" max="4" width="10.5703125" style="158" customWidth="1"/>
    <col min="5" max="5" width="24" style="157" customWidth="1"/>
    <col min="6" max="6" width="24.5703125" style="157" bestFit="1" customWidth="1"/>
    <col min="7" max="7" width="17.7109375" style="157" bestFit="1" customWidth="1"/>
    <col min="8" max="8" width="17.42578125" style="157" bestFit="1" customWidth="1"/>
    <col min="9" max="9" width="17.5703125" style="159" bestFit="1" customWidth="1"/>
    <col min="10" max="10" width="9.28515625" style="68" bestFit="1" customWidth="1"/>
    <col min="11" max="11" width="10.28515625" style="68" bestFit="1" customWidth="1"/>
    <col min="12" max="12" width="45.7109375" style="68" customWidth="1"/>
    <col min="13" max="256" width="9.140625" style="68"/>
    <col min="257" max="257" width="6.85546875" style="68" customWidth="1"/>
    <col min="258" max="258" width="26.28515625" style="68" customWidth="1"/>
    <col min="259" max="259" width="94.7109375" style="68" customWidth="1"/>
    <col min="260" max="260" width="10.5703125" style="68" customWidth="1"/>
    <col min="261" max="261" width="24" style="68" customWidth="1"/>
    <col min="262" max="262" width="24.5703125" style="68" bestFit="1" customWidth="1"/>
    <col min="263" max="263" width="17.7109375" style="68" bestFit="1" customWidth="1"/>
    <col min="264" max="264" width="17.42578125" style="68" bestFit="1" customWidth="1"/>
    <col min="265" max="265" width="17.5703125" style="68" bestFit="1" customWidth="1"/>
    <col min="266" max="266" width="9.28515625" style="68" bestFit="1" customWidth="1"/>
    <col min="267" max="267" width="10.28515625" style="68" bestFit="1" customWidth="1"/>
    <col min="268" max="268" width="45.7109375" style="68" customWidth="1"/>
    <col min="269" max="512" width="9.140625" style="68"/>
    <col min="513" max="513" width="6.85546875" style="68" customWidth="1"/>
    <col min="514" max="514" width="26.28515625" style="68" customWidth="1"/>
    <col min="515" max="515" width="94.7109375" style="68" customWidth="1"/>
    <col min="516" max="516" width="10.5703125" style="68" customWidth="1"/>
    <col min="517" max="517" width="24" style="68" customWidth="1"/>
    <col min="518" max="518" width="24.5703125" style="68" bestFit="1" customWidth="1"/>
    <col min="519" max="519" width="17.7109375" style="68" bestFit="1" customWidth="1"/>
    <col min="520" max="520" width="17.42578125" style="68" bestFit="1" customWidth="1"/>
    <col min="521" max="521" width="17.5703125" style="68" bestFit="1" customWidth="1"/>
    <col min="522" max="522" width="9.28515625" style="68" bestFit="1" customWidth="1"/>
    <col min="523" max="523" width="10.28515625" style="68" bestFit="1" customWidth="1"/>
    <col min="524" max="524" width="45.7109375" style="68" customWidth="1"/>
    <col min="525" max="768" width="9.140625" style="68"/>
    <col min="769" max="769" width="6.85546875" style="68" customWidth="1"/>
    <col min="770" max="770" width="26.28515625" style="68" customWidth="1"/>
    <col min="771" max="771" width="94.7109375" style="68" customWidth="1"/>
    <col min="772" max="772" width="10.5703125" style="68" customWidth="1"/>
    <col min="773" max="773" width="24" style="68" customWidth="1"/>
    <col min="774" max="774" width="24.5703125" style="68" bestFit="1" customWidth="1"/>
    <col min="775" max="775" width="17.7109375" style="68" bestFit="1" customWidth="1"/>
    <col min="776" max="776" width="17.42578125" style="68" bestFit="1" customWidth="1"/>
    <col min="777" max="777" width="17.5703125" style="68" bestFit="1" customWidth="1"/>
    <col min="778" max="778" width="9.28515625" style="68" bestFit="1" customWidth="1"/>
    <col min="779" max="779" width="10.28515625" style="68" bestFit="1" customWidth="1"/>
    <col min="780" max="780" width="45.7109375" style="68" customWidth="1"/>
    <col min="781" max="1024" width="9.140625" style="68"/>
    <col min="1025" max="1025" width="6.85546875" style="68" customWidth="1"/>
    <col min="1026" max="1026" width="26.28515625" style="68" customWidth="1"/>
    <col min="1027" max="1027" width="94.7109375" style="68" customWidth="1"/>
    <col min="1028" max="1028" width="10.5703125" style="68" customWidth="1"/>
    <col min="1029" max="1029" width="24" style="68" customWidth="1"/>
    <col min="1030" max="1030" width="24.5703125" style="68" bestFit="1" customWidth="1"/>
    <col min="1031" max="1031" width="17.7109375" style="68" bestFit="1" customWidth="1"/>
    <col min="1032" max="1032" width="17.42578125" style="68" bestFit="1" customWidth="1"/>
    <col min="1033" max="1033" width="17.5703125" style="68" bestFit="1" customWidth="1"/>
    <col min="1034" max="1034" width="9.28515625" style="68" bestFit="1" customWidth="1"/>
    <col min="1035" max="1035" width="10.28515625" style="68" bestFit="1" customWidth="1"/>
    <col min="1036" max="1036" width="45.7109375" style="68" customWidth="1"/>
    <col min="1037" max="1280" width="9.140625" style="68"/>
    <col min="1281" max="1281" width="6.85546875" style="68" customWidth="1"/>
    <col min="1282" max="1282" width="26.28515625" style="68" customWidth="1"/>
    <col min="1283" max="1283" width="94.7109375" style="68" customWidth="1"/>
    <col min="1284" max="1284" width="10.5703125" style="68" customWidth="1"/>
    <col min="1285" max="1285" width="24" style="68" customWidth="1"/>
    <col min="1286" max="1286" width="24.5703125" style="68" bestFit="1" customWidth="1"/>
    <col min="1287" max="1287" width="17.7109375" style="68" bestFit="1" customWidth="1"/>
    <col min="1288" max="1288" width="17.42578125" style="68" bestFit="1" customWidth="1"/>
    <col min="1289" max="1289" width="17.5703125" style="68" bestFit="1" customWidth="1"/>
    <col min="1290" max="1290" width="9.28515625" style="68" bestFit="1" customWidth="1"/>
    <col min="1291" max="1291" width="10.28515625" style="68" bestFit="1" customWidth="1"/>
    <col min="1292" max="1292" width="45.7109375" style="68" customWidth="1"/>
    <col min="1293" max="1536" width="9.140625" style="68"/>
    <col min="1537" max="1537" width="6.85546875" style="68" customWidth="1"/>
    <col min="1538" max="1538" width="26.28515625" style="68" customWidth="1"/>
    <col min="1539" max="1539" width="94.7109375" style="68" customWidth="1"/>
    <col min="1540" max="1540" width="10.5703125" style="68" customWidth="1"/>
    <col min="1541" max="1541" width="24" style="68" customWidth="1"/>
    <col min="1542" max="1542" width="24.5703125" style="68" bestFit="1" customWidth="1"/>
    <col min="1543" max="1543" width="17.7109375" style="68" bestFit="1" customWidth="1"/>
    <col min="1544" max="1544" width="17.42578125" style="68" bestFit="1" customWidth="1"/>
    <col min="1545" max="1545" width="17.5703125" style="68" bestFit="1" customWidth="1"/>
    <col min="1546" max="1546" width="9.28515625" style="68" bestFit="1" customWidth="1"/>
    <col min="1547" max="1547" width="10.28515625" style="68" bestFit="1" customWidth="1"/>
    <col min="1548" max="1548" width="45.7109375" style="68" customWidth="1"/>
    <col min="1549" max="1792" width="9.140625" style="68"/>
    <col min="1793" max="1793" width="6.85546875" style="68" customWidth="1"/>
    <col min="1794" max="1794" width="26.28515625" style="68" customWidth="1"/>
    <col min="1795" max="1795" width="94.7109375" style="68" customWidth="1"/>
    <col min="1796" max="1796" width="10.5703125" style="68" customWidth="1"/>
    <col min="1797" max="1797" width="24" style="68" customWidth="1"/>
    <col min="1798" max="1798" width="24.5703125" style="68" bestFit="1" customWidth="1"/>
    <col min="1799" max="1799" width="17.7109375" style="68" bestFit="1" customWidth="1"/>
    <col min="1800" max="1800" width="17.42578125" style="68" bestFit="1" customWidth="1"/>
    <col min="1801" max="1801" width="17.5703125" style="68" bestFit="1" customWidth="1"/>
    <col min="1802" max="1802" width="9.28515625" style="68" bestFit="1" customWidth="1"/>
    <col min="1803" max="1803" width="10.28515625" style="68" bestFit="1" customWidth="1"/>
    <col min="1804" max="1804" width="45.7109375" style="68" customWidth="1"/>
    <col min="1805" max="2048" width="9.140625" style="68"/>
    <col min="2049" max="2049" width="6.85546875" style="68" customWidth="1"/>
    <col min="2050" max="2050" width="26.28515625" style="68" customWidth="1"/>
    <col min="2051" max="2051" width="94.7109375" style="68" customWidth="1"/>
    <col min="2052" max="2052" width="10.5703125" style="68" customWidth="1"/>
    <col min="2053" max="2053" width="24" style="68" customWidth="1"/>
    <col min="2054" max="2054" width="24.5703125" style="68" bestFit="1" customWidth="1"/>
    <col min="2055" max="2055" width="17.7109375" style="68" bestFit="1" customWidth="1"/>
    <col min="2056" max="2056" width="17.42578125" style="68" bestFit="1" customWidth="1"/>
    <col min="2057" max="2057" width="17.5703125" style="68" bestFit="1" customWidth="1"/>
    <col min="2058" max="2058" width="9.28515625" style="68" bestFit="1" customWidth="1"/>
    <col min="2059" max="2059" width="10.28515625" style="68" bestFit="1" customWidth="1"/>
    <col min="2060" max="2060" width="45.7109375" style="68" customWidth="1"/>
    <col min="2061" max="2304" width="9.140625" style="68"/>
    <col min="2305" max="2305" width="6.85546875" style="68" customWidth="1"/>
    <col min="2306" max="2306" width="26.28515625" style="68" customWidth="1"/>
    <col min="2307" max="2307" width="94.7109375" style="68" customWidth="1"/>
    <col min="2308" max="2308" width="10.5703125" style="68" customWidth="1"/>
    <col min="2309" max="2309" width="24" style="68" customWidth="1"/>
    <col min="2310" max="2310" width="24.5703125" style="68" bestFit="1" customWidth="1"/>
    <col min="2311" max="2311" width="17.7109375" style="68" bestFit="1" customWidth="1"/>
    <col min="2312" max="2312" width="17.42578125" style="68" bestFit="1" customWidth="1"/>
    <col min="2313" max="2313" width="17.5703125" style="68" bestFit="1" customWidth="1"/>
    <col min="2314" max="2314" width="9.28515625" style="68" bestFit="1" customWidth="1"/>
    <col min="2315" max="2315" width="10.28515625" style="68" bestFit="1" customWidth="1"/>
    <col min="2316" max="2316" width="45.7109375" style="68" customWidth="1"/>
    <col min="2317" max="2560" width="9.140625" style="68"/>
    <col min="2561" max="2561" width="6.85546875" style="68" customWidth="1"/>
    <col min="2562" max="2562" width="26.28515625" style="68" customWidth="1"/>
    <col min="2563" max="2563" width="94.7109375" style="68" customWidth="1"/>
    <col min="2564" max="2564" width="10.5703125" style="68" customWidth="1"/>
    <col min="2565" max="2565" width="24" style="68" customWidth="1"/>
    <col min="2566" max="2566" width="24.5703125" style="68" bestFit="1" customWidth="1"/>
    <col min="2567" max="2567" width="17.7109375" style="68" bestFit="1" customWidth="1"/>
    <col min="2568" max="2568" width="17.42578125" style="68" bestFit="1" customWidth="1"/>
    <col min="2569" max="2569" width="17.5703125" style="68" bestFit="1" customWidth="1"/>
    <col min="2570" max="2570" width="9.28515625" style="68" bestFit="1" customWidth="1"/>
    <col min="2571" max="2571" width="10.28515625" style="68" bestFit="1" customWidth="1"/>
    <col min="2572" max="2572" width="45.7109375" style="68" customWidth="1"/>
    <col min="2573" max="2816" width="9.140625" style="68"/>
    <col min="2817" max="2817" width="6.85546875" style="68" customWidth="1"/>
    <col min="2818" max="2818" width="26.28515625" style="68" customWidth="1"/>
    <col min="2819" max="2819" width="94.7109375" style="68" customWidth="1"/>
    <col min="2820" max="2820" width="10.5703125" style="68" customWidth="1"/>
    <col min="2821" max="2821" width="24" style="68" customWidth="1"/>
    <col min="2822" max="2822" width="24.5703125" style="68" bestFit="1" customWidth="1"/>
    <col min="2823" max="2823" width="17.7109375" style="68" bestFit="1" customWidth="1"/>
    <col min="2824" max="2824" width="17.42578125" style="68" bestFit="1" customWidth="1"/>
    <col min="2825" max="2825" width="17.5703125" style="68" bestFit="1" customWidth="1"/>
    <col min="2826" max="2826" width="9.28515625" style="68" bestFit="1" customWidth="1"/>
    <col min="2827" max="2827" width="10.28515625" style="68" bestFit="1" customWidth="1"/>
    <col min="2828" max="2828" width="45.7109375" style="68" customWidth="1"/>
    <col min="2829" max="3072" width="9.140625" style="68"/>
    <col min="3073" max="3073" width="6.85546875" style="68" customWidth="1"/>
    <col min="3074" max="3074" width="26.28515625" style="68" customWidth="1"/>
    <col min="3075" max="3075" width="94.7109375" style="68" customWidth="1"/>
    <col min="3076" max="3076" width="10.5703125" style="68" customWidth="1"/>
    <col min="3077" max="3077" width="24" style="68" customWidth="1"/>
    <col min="3078" max="3078" width="24.5703125" style="68" bestFit="1" customWidth="1"/>
    <col min="3079" max="3079" width="17.7109375" style="68" bestFit="1" customWidth="1"/>
    <col min="3080" max="3080" width="17.42578125" style="68" bestFit="1" customWidth="1"/>
    <col min="3081" max="3081" width="17.5703125" style="68" bestFit="1" customWidth="1"/>
    <col min="3082" max="3082" width="9.28515625" style="68" bestFit="1" customWidth="1"/>
    <col min="3083" max="3083" width="10.28515625" style="68" bestFit="1" customWidth="1"/>
    <col min="3084" max="3084" width="45.7109375" style="68" customWidth="1"/>
    <col min="3085" max="3328" width="9.140625" style="68"/>
    <col min="3329" max="3329" width="6.85546875" style="68" customWidth="1"/>
    <col min="3330" max="3330" width="26.28515625" style="68" customWidth="1"/>
    <col min="3331" max="3331" width="94.7109375" style="68" customWidth="1"/>
    <col min="3332" max="3332" width="10.5703125" style="68" customWidth="1"/>
    <col min="3333" max="3333" width="24" style="68" customWidth="1"/>
    <col min="3334" max="3334" width="24.5703125" style="68" bestFit="1" customWidth="1"/>
    <col min="3335" max="3335" width="17.7109375" style="68" bestFit="1" customWidth="1"/>
    <col min="3336" max="3336" width="17.42578125" style="68" bestFit="1" customWidth="1"/>
    <col min="3337" max="3337" width="17.5703125" style="68" bestFit="1" customWidth="1"/>
    <col min="3338" max="3338" width="9.28515625" style="68" bestFit="1" customWidth="1"/>
    <col min="3339" max="3339" width="10.28515625" style="68" bestFit="1" customWidth="1"/>
    <col min="3340" max="3340" width="45.7109375" style="68" customWidth="1"/>
    <col min="3341" max="3584" width="9.140625" style="68"/>
    <col min="3585" max="3585" width="6.85546875" style="68" customWidth="1"/>
    <col min="3586" max="3586" width="26.28515625" style="68" customWidth="1"/>
    <col min="3587" max="3587" width="94.7109375" style="68" customWidth="1"/>
    <col min="3588" max="3588" width="10.5703125" style="68" customWidth="1"/>
    <col min="3589" max="3589" width="24" style="68" customWidth="1"/>
    <col min="3590" max="3590" width="24.5703125" style="68" bestFit="1" customWidth="1"/>
    <col min="3591" max="3591" width="17.7109375" style="68" bestFit="1" customWidth="1"/>
    <col min="3592" max="3592" width="17.42578125" style="68" bestFit="1" customWidth="1"/>
    <col min="3593" max="3593" width="17.5703125" style="68" bestFit="1" customWidth="1"/>
    <col min="3594" max="3594" width="9.28515625" style="68" bestFit="1" customWidth="1"/>
    <col min="3595" max="3595" width="10.28515625" style="68" bestFit="1" customWidth="1"/>
    <col min="3596" max="3596" width="45.7109375" style="68" customWidth="1"/>
    <col min="3597" max="3840" width="9.140625" style="68"/>
    <col min="3841" max="3841" width="6.85546875" style="68" customWidth="1"/>
    <col min="3842" max="3842" width="26.28515625" style="68" customWidth="1"/>
    <col min="3843" max="3843" width="94.7109375" style="68" customWidth="1"/>
    <col min="3844" max="3844" width="10.5703125" style="68" customWidth="1"/>
    <col min="3845" max="3845" width="24" style="68" customWidth="1"/>
    <col min="3846" max="3846" width="24.5703125" style="68" bestFit="1" customWidth="1"/>
    <col min="3847" max="3847" width="17.7109375" style="68" bestFit="1" customWidth="1"/>
    <col min="3848" max="3848" width="17.42578125" style="68" bestFit="1" customWidth="1"/>
    <col min="3849" max="3849" width="17.5703125" style="68" bestFit="1" customWidth="1"/>
    <col min="3850" max="3850" width="9.28515625" style="68" bestFit="1" customWidth="1"/>
    <col min="3851" max="3851" width="10.28515625" style="68" bestFit="1" customWidth="1"/>
    <col min="3852" max="3852" width="45.7109375" style="68" customWidth="1"/>
    <col min="3853" max="4096" width="9.140625" style="68"/>
    <col min="4097" max="4097" width="6.85546875" style="68" customWidth="1"/>
    <col min="4098" max="4098" width="26.28515625" style="68" customWidth="1"/>
    <col min="4099" max="4099" width="94.7109375" style="68" customWidth="1"/>
    <col min="4100" max="4100" width="10.5703125" style="68" customWidth="1"/>
    <col min="4101" max="4101" width="24" style="68" customWidth="1"/>
    <col min="4102" max="4102" width="24.5703125" style="68" bestFit="1" customWidth="1"/>
    <col min="4103" max="4103" width="17.7109375" style="68" bestFit="1" customWidth="1"/>
    <col min="4104" max="4104" width="17.42578125" style="68" bestFit="1" customWidth="1"/>
    <col min="4105" max="4105" width="17.5703125" style="68" bestFit="1" customWidth="1"/>
    <col min="4106" max="4106" width="9.28515625" style="68" bestFit="1" customWidth="1"/>
    <col min="4107" max="4107" width="10.28515625" style="68" bestFit="1" customWidth="1"/>
    <col min="4108" max="4108" width="45.7109375" style="68" customWidth="1"/>
    <col min="4109" max="4352" width="9.140625" style="68"/>
    <col min="4353" max="4353" width="6.85546875" style="68" customWidth="1"/>
    <col min="4354" max="4354" width="26.28515625" style="68" customWidth="1"/>
    <col min="4355" max="4355" width="94.7109375" style="68" customWidth="1"/>
    <col min="4356" max="4356" width="10.5703125" style="68" customWidth="1"/>
    <col min="4357" max="4357" width="24" style="68" customWidth="1"/>
    <col min="4358" max="4358" width="24.5703125" style="68" bestFit="1" customWidth="1"/>
    <col min="4359" max="4359" width="17.7109375" style="68" bestFit="1" customWidth="1"/>
    <col min="4360" max="4360" width="17.42578125" style="68" bestFit="1" customWidth="1"/>
    <col min="4361" max="4361" width="17.5703125" style="68" bestFit="1" customWidth="1"/>
    <col min="4362" max="4362" width="9.28515625" style="68" bestFit="1" customWidth="1"/>
    <col min="4363" max="4363" width="10.28515625" style="68" bestFit="1" customWidth="1"/>
    <col min="4364" max="4364" width="45.7109375" style="68" customWidth="1"/>
    <col min="4365" max="4608" width="9.140625" style="68"/>
    <col min="4609" max="4609" width="6.85546875" style="68" customWidth="1"/>
    <col min="4610" max="4610" width="26.28515625" style="68" customWidth="1"/>
    <col min="4611" max="4611" width="94.7109375" style="68" customWidth="1"/>
    <col min="4612" max="4612" width="10.5703125" style="68" customWidth="1"/>
    <col min="4613" max="4613" width="24" style="68" customWidth="1"/>
    <col min="4614" max="4614" width="24.5703125" style="68" bestFit="1" customWidth="1"/>
    <col min="4615" max="4615" width="17.7109375" style="68" bestFit="1" customWidth="1"/>
    <col min="4616" max="4616" width="17.42578125" style="68" bestFit="1" customWidth="1"/>
    <col min="4617" max="4617" width="17.5703125" style="68" bestFit="1" customWidth="1"/>
    <col min="4618" max="4618" width="9.28515625" style="68" bestFit="1" customWidth="1"/>
    <col min="4619" max="4619" width="10.28515625" style="68" bestFit="1" customWidth="1"/>
    <col min="4620" max="4620" width="45.7109375" style="68" customWidth="1"/>
    <col min="4621" max="4864" width="9.140625" style="68"/>
    <col min="4865" max="4865" width="6.85546875" style="68" customWidth="1"/>
    <col min="4866" max="4866" width="26.28515625" style="68" customWidth="1"/>
    <col min="4867" max="4867" width="94.7109375" style="68" customWidth="1"/>
    <col min="4868" max="4868" width="10.5703125" style="68" customWidth="1"/>
    <col min="4869" max="4869" width="24" style="68" customWidth="1"/>
    <col min="4870" max="4870" width="24.5703125" style="68" bestFit="1" customWidth="1"/>
    <col min="4871" max="4871" width="17.7109375" style="68" bestFit="1" customWidth="1"/>
    <col min="4872" max="4872" width="17.42578125" style="68" bestFit="1" customWidth="1"/>
    <col min="4873" max="4873" width="17.5703125" style="68" bestFit="1" customWidth="1"/>
    <col min="4874" max="4874" width="9.28515625" style="68" bestFit="1" customWidth="1"/>
    <col min="4875" max="4875" width="10.28515625" style="68" bestFit="1" customWidth="1"/>
    <col min="4876" max="4876" width="45.7109375" style="68" customWidth="1"/>
    <col min="4877" max="5120" width="9.140625" style="68"/>
    <col min="5121" max="5121" width="6.85546875" style="68" customWidth="1"/>
    <col min="5122" max="5122" width="26.28515625" style="68" customWidth="1"/>
    <col min="5123" max="5123" width="94.7109375" style="68" customWidth="1"/>
    <col min="5124" max="5124" width="10.5703125" style="68" customWidth="1"/>
    <col min="5125" max="5125" width="24" style="68" customWidth="1"/>
    <col min="5126" max="5126" width="24.5703125" style="68" bestFit="1" customWidth="1"/>
    <col min="5127" max="5127" width="17.7109375" style="68" bestFit="1" customWidth="1"/>
    <col min="5128" max="5128" width="17.42578125" style="68" bestFit="1" customWidth="1"/>
    <col min="5129" max="5129" width="17.5703125" style="68" bestFit="1" customWidth="1"/>
    <col min="5130" max="5130" width="9.28515625" style="68" bestFit="1" customWidth="1"/>
    <col min="5131" max="5131" width="10.28515625" style="68" bestFit="1" customWidth="1"/>
    <col min="5132" max="5132" width="45.7109375" style="68" customWidth="1"/>
    <col min="5133" max="5376" width="9.140625" style="68"/>
    <col min="5377" max="5377" width="6.85546875" style="68" customWidth="1"/>
    <col min="5378" max="5378" width="26.28515625" style="68" customWidth="1"/>
    <col min="5379" max="5379" width="94.7109375" style="68" customWidth="1"/>
    <col min="5380" max="5380" width="10.5703125" style="68" customWidth="1"/>
    <col min="5381" max="5381" width="24" style="68" customWidth="1"/>
    <col min="5382" max="5382" width="24.5703125" style="68" bestFit="1" customWidth="1"/>
    <col min="5383" max="5383" width="17.7109375" style="68" bestFit="1" customWidth="1"/>
    <col min="5384" max="5384" width="17.42578125" style="68" bestFit="1" customWidth="1"/>
    <col min="5385" max="5385" width="17.5703125" style="68" bestFit="1" customWidth="1"/>
    <col min="5386" max="5386" width="9.28515625" style="68" bestFit="1" customWidth="1"/>
    <col min="5387" max="5387" width="10.28515625" style="68" bestFit="1" customWidth="1"/>
    <col min="5388" max="5388" width="45.7109375" style="68" customWidth="1"/>
    <col min="5389" max="5632" width="9.140625" style="68"/>
    <col min="5633" max="5633" width="6.85546875" style="68" customWidth="1"/>
    <col min="5634" max="5634" width="26.28515625" style="68" customWidth="1"/>
    <col min="5635" max="5635" width="94.7109375" style="68" customWidth="1"/>
    <col min="5636" max="5636" width="10.5703125" style="68" customWidth="1"/>
    <col min="5637" max="5637" width="24" style="68" customWidth="1"/>
    <col min="5638" max="5638" width="24.5703125" style="68" bestFit="1" customWidth="1"/>
    <col min="5639" max="5639" width="17.7109375" style="68" bestFit="1" customWidth="1"/>
    <col min="5640" max="5640" width="17.42578125" style="68" bestFit="1" customWidth="1"/>
    <col min="5641" max="5641" width="17.5703125" style="68" bestFit="1" customWidth="1"/>
    <col min="5642" max="5642" width="9.28515625" style="68" bestFit="1" customWidth="1"/>
    <col min="5643" max="5643" width="10.28515625" style="68" bestFit="1" customWidth="1"/>
    <col min="5644" max="5644" width="45.7109375" style="68" customWidth="1"/>
    <col min="5645" max="5888" width="9.140625" style="68"/>
    <col min="5889" max="5889" width="6.85546875" style="68" customWidth="1"/>
    <col min="5890" max="5890" width="26.28515625" style="68" customWidth="1"/>
    <col min="5891" max="5891" width="94.7109375" style="68" customWidth="1"/>
    <col min="5892" max="5892" width="10.5703125" style="68" customWidth="1"/>
    <col min="5893" max="5893" width="24" style="68" customWidth="1"/>
    <col min="5894" max="5894" width="24.5703125" style="68" bestFit="1" customWidth="1"/>
    <col min="5895" max="5895" width="17.7109375" style="68" bestFit="1" customWidth="1"/>
    <col min="5896" max="5896" width="17.42578125" style="68" bestFit="1" customWidth="1"/>
    <col min="5897" max="5897" width="17.5703125" style="68" bestFit="1" customWidth="1"/>
    <col min="5898" max="5898" width="9.28515625" style="68" bestFit="1" customWidth="1"/>
    <col min="5899" max="5899" width="10.28515625" style="68" bestFit="1" customWidth="1"/>
    <col min="5900" max="5900" width="45.7109375" style="68" customWidth="1"/>
    <col min="5901" max="6144" width="9.140625" style="68"/>
    <col min="6145" max="6145" width="6.85546875" style="68" customWidth="1"/>
    <col min="6146" max="6146" width="26.28515625" style="68" customWidth="1"/>
    <col min="6147" max="6147" width="94.7109375" style="68" customWidth="1"/>
    <col min="6148" max="6148" width="10.5703125" style="68" customWidth="1"/>
    <col min="6149" max="6149" width="24" style="68" customWidth="1"/>
    <col min="6150" max="6150" width="24.5703125" style="68" bestFit="1" customWidth="1"/>
    <col min="6151" max="6151" width="17.7109375" style="68" bestFit="1" customWidth="1"/>
    <col min="6152" max="6152" width="17.42578125" style="68" bestFit="1" customWidth="1"/>
    <col min="6153" max="6153" width="17.5703125" style="68" bestFit="1" customWidth="1"/>
    <col min="6154" max="6154" width="9.28515625" style="68" bestFit="1" customWidth="1"/>
    <col min="6155" max="6155" width="10.28515625" style="68" bestFit="1" customWidth="1"/>
    <col min="6156" max="6156" width="45.7109375" style="68" customWidth="1"/>
    <col min="6157" max="6400" width="9.140625" style="68"/>
    <col min="6401" max="6401" width="6.85546875" style="68" customWidth="1"/>
    <col min="6402" max="6402" width="26.28515625" style="68" customWidth="1"/>
    <col min="6403" max="6403" width="94.7109375" style="68" customWidth="1"/>
    <col min="6404" max="6404" width="10.5703125" style="68" customWidth="1"/>
    <col min="6405" max="6405" width="24" style="68" customWidth="1"/>
    <col min="6406" max="6406" width="24.5703125" style="68" bestFit="1" customWidth="1"/>
    <col min="6407" max="6407" width="17.7109375" style="68" bestFit="1" customWidth="1"/>
    <col min="6408" max="6408" width="17.42578125" style="68" bestFit="1" customWidth="1"/>
    <col min="6409" max="6409" width="17.5703125" style="68" bestFit="1" customWidth="1"/>
    <col min="6410" max="6410" width="9.28515625" style="68" bestFit="1" customWidth="1"/>
    <col min="6411" max="6411" width="10.28515625" style="68" bestFit="1" customWidth="1"/>
    <col min="6412" max="6412" width="45.7109375" style="68" customWidth="1"/>
    <col min="6413" max="6656" width="9.140625" style="68"/>
    <col min="6657" max="6657" width="6.85546875" style="68" customWidth="1"/>
    <col min="6658" max="6658" width="26.28515625" style="68" customWidth="1"/>
    <col min="6659" max="6659" width="94.7109375" style="68" customWidth="1"/>
    <col min="6660" max="6660" width="10.5703125" style="68" customWidth="1"/>
    <col min="6661" max="6661" width="24" style="68" customWidth="1"/>
    <col min="6662" max="6662" width="24.5703125" style="68" bestFit="1" customWidth="1"/>
    <col min="6663" max="6663" width="17.7109375" style="68" bestFit="1" customWidth="1"/>
    <col min="6664" max="6664" width="17.42578125" style="68" bestFit="1" customWidth="1"/>
    <col min="6665" max="6665" width="17.5703125" style="68" bestFit="1" customWidth="1"/>
    <col min="6666" max="6666" width="9.28515625" style="68" bestFit="1" customWidth="1"/>
    <col min="6667" max="6667" width="10.28515625" style="68" bestFit="1" customWidth="1"/>
    <col min="6668" max="6668" width="45.7109375" style="68" customWidth="1"/>
    <col min="6669" max="6912" width="9.140625" style="68"/>
    <col min="6913" max="6913" width="6.85546875" style="68" customWidth="1"/>
    <col min="6914" max="6914" width="26.28515625" style="68" customWidth="1"/>
    <col min="6915" max="6915" width="94.7109375" style="68" customWidth="1"/>
    <col min="6916" max="6916" width="10.5703125" style="68" customWidth="1"/>
    <col min="6917" max="6917" width="24" style="68" customWidth="1"/>
    <col min="6918" max="6918" width="24.5703125" style="68" bestFit="1" customWidth="1"/>
    <col min="6919" max="6919" width="17.7109375" style="68" bestFit="1" customWidth="1"/>
    <col min="6920" max="6920" width="17.42578125" style="68" bestFit="1" customWidth="1"/>
    <col min="6921" max="6921" width="17.5703125" style="68" bestFit="1" customWidth="1"/>
    <col min="6922" max="6922" width="9.28515625" style="68" bestFit="1" customWidth="1"/>
    <col min="6923" max="6923" width="10.28515625" style="68" bestFit="1" customWidth="1"/>
    <col min="6924" max="6924" width="45.7109375" style="68" customWidth="1"/>
    <col min="6925" max="7168" width="9.140625" style="68"/>
    <col min="7169" max="7169" width="6.85546875" style="68" customWidth="1"/>
    <col min="7170" max="7170" width="26.28515625" style="68" customWidth="1"/>
    <col min="7171" max="7171" width="94.7109375" style="68" customWidth="1"/>
    <col min="7172" max="7172" width="10.5703125" style="68" customWidth="1"/>
    <col min="7173" max="7173" width="24" style="68" customWidth="1"/>
    <col min="7174" max="7174" width="24.5703125" style="68" bestFit="1" customWidth="1"/>
    <col min="7175" max="7175" width="17.7109375" style="68" bestFit="1" customWidth="1"/>
    <col min="7176" max="7176" width="17.42578125" style="68" bestFit="1" customWidth="1"/>
    <col min="7177" max="7177" width="17.5703125" style="68" bestFit="1" customWidth="1"/>
    <col min="7178" max="7178" width="9.28515625" style="68" bestFit="1" customWidth="1"/>
    <col min="7179" max="7179" width="10.28515625" style="68" bestFit="1" customWidth="1"/>
    <col min="7180" max="7180" width="45.7109375" style="68" customWidth="1"/>
    <col min="7181" max="7424" width="9.140625" style="68"/>
    <col min="7425" max="7425" width="6.85546875" style="68" customWidth="1"/>
    <col min="7426" max="7426" width="26.28515625" style="68" customWidth="1"/>
    <col min="7427" max="7427" width="94.7109375" style="68" customWidth="1"/>
    <col min="7428" max="7428" width="10.5703125" style="68" customWidth="1"/>
    <col min="7429" max="7429" width="24" style="68" customWidth="1"/>
    <col min="7430" max="7430" width="24.5703125" style="68" bestFit="1" customWidth="1"/>
    <col min="7431" max="7431" width="17.7109375" style="68" bestFit="1" customWidth="1"/>
    <col min="7432" max="7432" width="17.42578125" style="68" bestFit="1" customWidth="1"/>
    <col min="7433" max="7433" width="17.5703125" style="68" bestFit="1" customWidth="1"/>
    <col min="7434" max="7434" width="9.28515625" style="68" bestFit="1" customWidth="1"/>
    <col min="7435" max="7435" width="10.28515625" style="68" bestFit="1" customWidth="1"/>
    <col min="7436" max="7436" width="45.7109375" style="68" customWidth="1"/>
    <col min="7437" max="7680" width="9.140625" style="68"/>
    <col min="7681" max="7681" width="6.85546875" style="68" customWidth="1"/>
    <col min="7682" max="7682" width="26.28515625" style="68" customWidth="1"/>
    <col min="7683" max="7683" width="94.7109375" style="68" customWidth="1"/>
    <col min="7684" max="7684" width="10.5703125" style="68" customWidth="1"/>
    <col min="7685" max="7685" width="24" style="68" customWidth="1"/>
    <col min="7686" max="7686" width="24.5703125" style="68" bestFit="1" customWidth="1"/>
    <col min="7687" max="7687" width="17.7109375" style="68" bestFit="1" customWidth="1"/>
    <col min="7688" max="7688" width="17.42578125" style="68" bestFit="1" customWidth="1"/>
    <col min="7689" max="7689" width="17.5703125" style="68" bestFit="1" customWidth="1"/>
    <col min="7690" max="7690" width="9.28515625" style="68" bestFit="1" customWidth="1"/>
    <col min="7691" max="7691" width="10.28515625" style="68" bestFit="1" customWidth="1"/>
    <col min="7692" max="7692" width="45.7109375" style="68" customWidth="1"/>
    <col min="7693" max="7936" width="9.140625" style="68"/>
    <col min="7937" max="7937" width="6.85546875" style="68" customWidth="1"/>
    <col min="7938" max="7938" width="26.28515625" style="68" customWidth="1"/>
    <col min="7939" max="7939" width="94.7109375" style="68" customWidth="1"/>
    <col min="7940" max="7940" width="10.5703125" style="68" customWidth="1"/>
    <col min="7941" max="7941" width="24" style="68" customWidth="1"/>
    <col min="7942" max="7942" width="24.5703125" style="68" bestFit="1" customWidth="1"/>
    <col min="7943" max="7943" width="17.7109375" style="68" bestFit="1" customWidth="1"/>
    <col min="7944" max="7944" width="17.42578125" style="68" bestFit="1" customWidth="1"/>
    <col min="7945" max="7945" width="17.5703125" style="68" bestFit="1" customWidth="1"/>
    <col min="7946" max="7946" width="9.28515625" style="68" bestFit="1" customWidth="1"/>
    <col min="7947" max="7947" width="10.28515625" style="68" bestFit="1" customWidth="1"/>
    <col min="7948" max="7948" width="45.7109375" style="68" customWidth="1"/>
    <col min="7949" max="8192" width="9.140625" style="68"/>
    <col min="8193" max="8193" width="6.85546875" style="68" customWidth="1"/>
    <col min="8194" max="8194" width="26.28515625" style="68" customWidth="1"/>
    <col min="8195" max="8195" width="94.7109375" style="68" customWidth="1"/>
    <col min="8196" max="8196" width="10.5703125" style="68" customWidth="1"/>
    <col min="8197" max="8197" width="24" style="68" customWidth="1"/>
    <col min="8198" max="8198" width="24.5703125" style="68" bestFit="1" customWidth="1"/>
    <col min="8199" max="8199" width="17.7109375" style="68" bestFit="1" customWidth="1"/>
    <col min="8200" max="8200" width="17.42578125" style="68" bestFit="1" customWidth="1"/>
    <col min="8201" max="8201" width="17.5703125" style="68" bestFit="1" customWidth="1"/>
    <col min="8202" max="8202" width="9.28515625" style="68" bestFit="1" customWidth="1"/>
    <col min="8203" max="8203" width="10.28515625" style="68" bestFit="1" customWidth="1"/>
    <col min="8204" max="8204" width="45.7109375" style="68" customWidth="1"/>
    <col min="8205" max="8448" width="9.140625" style="68"/>
    <col min="8449" max="8449" width="6.85546875" style="68" customWidth="1"/>
    <col min="8450" max="8450" width="26.28515625" style="68" customWidth="1"/>
    <col min="8451" max="8451" width="94.7109375" style="68" customWidth="1"/>
    <col min="8452" max="8452" width="10.5703125" style="68" customWidth="1"/>
    <col min="8453" max="8453" width="24" style="68" customWidth="1"/>
    <col min="8454" max="8454" width="24.5703125" style="68" bestFit="1" customWidth="1"/>
    <col min="8455" max="8455" width="17.7109375" style="68" bestFit="1" customWidth="1"/>
    <col min="8456" max="8456" width="17.42578125" style="68" bestFit="1" customWidth="1"/>
    <col min="8457" max="8457" width="17.5703125" style="68" bestFit="1" customWidth="1"/>
    <col min="8458" max="8458" width="9.28515625" style="68" bestFit="1" customWidth="1"/>
    <col min="8459" max="8459" width="10.28515625" style="68" bestFit="1" customWidth="1"/>
    <col min="8460" max="8460" width="45.7109375" style="68" customWidth="1"/>
    <col min="8461" max="8704" width="9.140625" style="68"/>
    <col min="8705" max="8705" width="6.85546875" style="68" customWidth="1"/>
    <col min="8706" max="8706" width="26.28515625" style="68" customWidth="1"/>
    <col min="8707" max="8707" width="94.7109375" style="68" customWidth="1"/>
    <col min="8708" max="8708" width="10.5703125" style="68" customWidth="1"/>
    <col min="8709" max="8709" width="24" style="68" customWidth="1"/>
    <col min="8710" max="8710" width="24.5703125" style="68" bestFit="1" customWidth="1"/>
    <col min="8711" max="8711" width="17.7109375" style="68" bestFit="1" customWidth="1"/>
    <col min="8712" max="8712" width="17.42578125" style="68" bestFit="1" customWidth="1"/>
    <col min="8713" max="8713" width="17.5703125" style="68" bestFit="1" customWidth="1"/>
    <col min="8714" max="8714" width="9.28515625" style="68" bestFit="1" customWidth="1"/>
    <col min="8715" max="8715" width="10.28515625" style="68" bestFit="1" customWidth="1"/>
    <col min="8716" max="8716" width="45.7109375" style="68" customWidth="1"/>
    <col min="8717" max="8960" width="9.140625" style="68"/>
    <col min="8961" max="8961" width="6.85546875" style="68" customWidth="1"/>
    <col min="8962" max="8962" width="26.28515625" style="68" customWidth="1"/>
    <col min="8963" max="8963" width="94.7109375" style="68" customWidth="1"/>
    <col min="8964" max="8964" width="10.5703125" style="68" customWidth="1"/>
    <col min="8965" max="8965" width="24" style="68" customWidth="1"/>
    <col min="8966" max="8966" width="24.5703125" style="68" bestFit="1" customWidth="1"/>
    <col min="8967" max="8967" width="17.7109375" style="68" bestFit="1" customWidth="1"/>
    <col min="8968" max="8968" width="17.42578125" style="68" bestFit="1" customWidth="1"/>
    <col min="8969" max="8969" width="17.5703125" style="68" bestFit="1" customWidth="1"/>
    <col min="8970" max="8970" width="9.28515625" style="68" bestFit="1" customWidth="1"/>
    <col min="8971" max="8971" width="10.28515625" style="68" bestFit="1" customWidth="1"/>
    <col min="8972" max="8972" width="45.7109375" style="68" customWidth="1"/>
    <col min="8973" max="9216" width="9.140625" style="68"/>
    <col min="9217" max="9217" width="6.85546875" style="68" customWidth="1"/>
    <col min="9218" max="9218" width="26.28515625" style="68" customWidth="1"/>
    <col min="9219" max="9219" width="94.7109375" style="68" customWidth="1"/>
    <col min="9220" max="9220" width="10.5703125" style="68" customWidth="1"/>
    <col min="9221" max="9221" width="24" style="68" customWidth="1"/>
    <col min="9222" max="9222" width="24.5703125" style="68" bestFit="1" customWidth="1"/>
    <col min="9223" max="9223" width="17.7109375" style="68" bestFit="1" customWidth="1"/>
    <col min="9224" max="9224" width="17.42578125" style="68" bestFit="1" customWidth="1"/>
    <col min="9225" max="9225" width="17.5703125" style="68" bestFit="1" customWidth="1"/>
    <col min="9226" max="9226" width="9.28515625" style="68" bestFit="1" customWidth="1"/>
    <col min="9227" max="9227" width="10.28515625" style="68" bestFit="1" customWidth="1"/>
    <col min="9228" max="9228" width="45.7109375" style="68" customWidth="1"/>
    <col min="9229" max="9472" width="9.140625" style="68"/>
    <col min="9473" max="9473" width="6.85546875" style="68" customWidth="1"/>
    <col min="9474" max="9474" width="26.28515625" style="68" customWidth="1"/>
    <col min="9475" max="9475" width="94.7109375" style="68" customWidth="1"/>
    <col min="9476" max="9476" width="10.5703125" style="68" customWidth="1"/>
    <col min="9477" max="9477" width="24" style="68" customWidth="1"/>
    <col min="9478" max="9478" width="24.5703125" style="68" bestFit="1" customWidth="1"/>
    <col min="9479" max="9479" width="17.7109375" style="68" bestFit="1" customWidth="1"/>
    <col min="9480" max="9480" width="17.42578125" style="68" bestFit="1" customWidth="1"/>
    <col min="9481" max="9481" width="17.5703125" style="68" bestFit="1" customWidth="1"/>
    <col min="9482" max="9482" width="9.28515625" style="68" bestFit="1" customWidth="1"/>
    <col min="9483" max="9483" width="10.28515625" style="68" bestFit="1" customWidth="1"/>
    <col min="9484" max="9484" width="45.7109375" style="68" customWidth="1"/>
    <col min="9485" max="9728" width="9.140625" style="68"/>
    <col min="9729" max="9729" width="6.85546875" style="68" customWidth="1"/>
    <col min="9730" max="9730" width="26.28515625" style="68" customWidth="1"/>
    <col min="9731" max="9731" width="94.7109375" style="68" customWidth="1"/>
    <col min="9732" max="9732" width="10.5703125" style="68" customWidth="1"/>
    <col min="9733" max="9733" width="24" style="68" customWidth="1"/>
    <col min="9734" max="9734" width="24.5703125" style="68" bestFit="1" customWidth="1"/>
    <col min="9735" max="9735" width="17.7109375" style="68" bestFit="1" customWidth="1"/>
    <col min="9736" max="9736" width="17.42578125" style="68" bestFit="1" customWidth="1"/>
    <col min="9737" max="9737" width="17.5703125" style="68" bestFit="1" customWidth="1"/>
    <col min="9738" max="9738" width="9.28515625" style="68" bestFit="1" customWidth="1"/>
    <col min="9739" max="9739" width="10.28515625" style="68" bestFit="1" customWidth="1"/>
    <col min="9740" max="9740" width="45.7109375" style="68" customWidth="1"/>
    <col min="9741" max="9984" width="9.140625" style="68"/>
    <col min="9985" max="9985" width="6.85546875" style="68" customWidth="1"/>
    <col min="9986" max="9986" width="26.28515625" style="68" customWidth="1"/>
    <col min="9987" max="9987" width="94.7109375" style="68" customWidth="1"/>
    <col min="9988" max="9988" width="10.5703125" style="68" customWidth="1"/>
    <col min="9989" max="9989" width="24" style="68" customWidth="1"/>
    <col min="9990" max="9990" width="24.5703125" style="68" bestFit="1" customWidth="1"/>
    <col min="9991" max="9991" width="17.7109375" style="68" bestFit="1" customWidth="1"/>
    <col min="9992" max="9992" width="17.42578125" style="68" bestFit="1" customWidth="1"/>
    <col min="9993" max="9993" width="17.5703125" style="68" bestFit="1" customWidth="1"/>
    <col min="9994" max="9994" width="9.28515625" style="68" bestFit="1" customWidth="1"/>
    <col min="9995" max="9995" width="10.28515625" style="68" bestFit="1" customWidth="1"/>
    <col min="9996" max="9996" width="45.7109375" style="68" customWidth="1"/>
    <col min="9997" max="10240" width="9.140625" style="68"/>
    <col min="10241" max="10241" width="6.85546875" style="68" customWidth="1"/>
    <col min="10242" max="10242" width="26.28515625" style="68" customWidth="1"/>
    <col min="10243" max="10243" width="94.7109375" style="68" customWidth="1"/>
    <col min="10244" max="10244" width="10.5703125" style="68" customWidth="1"/>
    <col min="10245" max="10245" width="24" style="68" customWidth="1"/>
    <col min="10246" max="10246" width="24.5703125" style="68" bestFit="1" customWidth="1"/>
    <col min="10247" max="10247" width="17.7109375" style="68" bestFit="1" customWidth="1"/>
    <col min="10248" max="10248" width="17.42578125" style="68" bestFit="1" customWidth="1"/>
    <col min="10249" max="10249" width="17.5703125" style="68" bestFit="1" customWidth="1"/>
    <col min="10250" max="10250" width="9.28515625" style="68" bestFit="1" customWidth="1"/>
    <col min="10251" max="10251" width="10.28515625" style="68" bestFit="1" customWidth="1"/>
    <col min="10252" max="10252" width="45.7109375" style="68" customWidth="1"/>
    <col min="10253" max="10496" width="9.140625" style="68"/>
    <col min="10497" max="10497" width="6.85546875" style="68" customWidth="1"/>
    <col min="10498" max="10498" width="26.28515625" style="68" customWidth="1"/>
    <col min="10499" max="10499" width="94.7109375" style="68" customWidth="1"/>
    <col min="10500" max="10500" width="10.5703125" style="68" customWidth="1"/>
    <col min="10501" max="10501" width="24" style="68" customWidth="1"/>
    <col min="10502" max="10502" width="24.5703125" style="68" bestFit="1" customWidth="1"/>
    <col min="10503" max="10503" width="17.7109375" style="68" bestFit="1" customWidth="1"/>
    <col min="10504" max="10504" width="17.42578125" style="68" bestFit="1" customWidth="1"/>
    <col min="10505" max="10505" width="17.5703125" style="68" bestFit="1" customWidth="1"/>
    <col min="10506" max="10506" width="9.28515625" style="68" bestFit="1" customWidth="1"/>
    <col min="10507" max="10507" width="10.28515625" style="68" bestFit="1" customWidth="1"/>
    <col min="10508" max="10508" width="45.7109375" style="68" customWidth="1"/>
    <col min="10509" max="10752" width="9.140625" style="68"/>
    <col min="10753" max="10753" width="6.85546875" style="68" customWidth="1"/>
    <col min="10754" max="10754" width="26.28515625" style="68" customWidth="1"/>
    <col min="10755" max="10755" width="94.7109375" style="68" customWidth="1"/>
    <col min="10756" max="10756" width="10.5703125" style="68" customWidth="1"/>
    <col min="10757" max="10757" width="24" style="68" customWidth="1"/>
    <col min="10758" max="10758" width="24.5703125" style="68" bestFit="1" customWidth="1"/>
    <col min="10759" max="10759" width="17.7109375" style="68" bestFit="1" customWidth="1"/>
    <col min="10760" max="10760" width="17.42578125" style="68" bestFit="1" customWidth="1"/>
    <col min="10761" max="10761" width="17.5703125" style="68" bestFit="1" customWidth="1"/>
    <col min="10762" max="10762" width="9.28515625" style="68" bestFit="1" customWidth="1"/>
    <col min="10763" max="10763" width="10.28515625" style="68" bestFit="1" customWidth="1"/>
    <col min="10764" max="10764" width="45.7109375" style="68" customWidth="1"/>
    <col min="10765" max="11008" width="9.140625" style="68"/>
    <col min="11009" max="11009" width="6.85546875" style="68" customWidth="1"/>
    <col min="11010" max="11010" width="26.28515625" style="68" customWidth="1"/>
    <col min="11011" max="11011" width="94.7109375" style="68" customWidth="1"/>
    <col min="11012" max="11012" width="10.5703125" style="68" customWidth="1"/>
    <col min="11013" max="11013" width="24" style="68" customWidth="1"/>
    <col min="11014" max="11014" width="24.5703125" style="68" bestFit="1" customWidth="1"/>
    <col min="11015" max="11015" width="17.7109375" style="68" bestFit="1" customWidth="1"/>
    <col min="11016" max="11016" width="17.42578125" style="68" bestFit="1" customWidth="1"/>
    <col min="11017" max="11017" width="17.5703125" style="68" bestFit="1" customWidth="1"/>
    <col min="11018" max="11018" width="9.28515625" style="68" bestFit="1" customWidth="1"/>
    <col min="11019" max="11019" width="10.28515625" style="68" bestFit="1" customWidth="1"/>
    <col min="11020" max="11020" width="45.7109375" style="68" customWidth="1"/>
    <col min="11021" max="11264" width="9.140625" style="68"/>
    <col min="11265" max="11265" width="6.85546875" style="68" customWidth="1"/>
    <col min="11266" max="11266" width="26.28515625" style="68" customWidth="1"/>
    <col min="11267" max="11267" width="94.7109375" style="68" customWidth="1"/>
    <col min="11268" max="11268" width="10.5703125" style="68" customWidth="1"/>
    <col min="11269" max="11269" width="24" style="68" customWidth="1"/>
    <col min="11270" max="11270" width="24.5703125" style="68" bestFit="1" customWidth="1"/>
    <col min="11271" max="11271" width="17.7109375" style="68" bestFit="1" customWidth="1"/>
    <col min="11272" max="11272" width="17.42578125" style="68" bestFit="1" customWidth="1"/>
    <col min="11273" max="11273" width="17.5703125" style="68" bestFit="1" customWidth="1"/>
    <col min="11274" max="11274" width="9.28515625" style="68" bestFit="1" customWidth="1"/>
    <col min="11275" max="11275" width="10.28515625" style="68" bestFit="1" customWidth="1"/>
    <col min="11276" max="11276" width="45.7109375" style="68" customWidth="1"/>
    <col min="11277" max="11520" width="9.140625" style="68"/>
    <col min="11521" max="11521" width="6.85546875" style="68" customWidth="1"/>
    <col min="11522" max="11522" width="26.28515625" style="68" customWidth="1"/>
    <col min="11523" max="11523" width="94.7109375" style="68" customWidth="1"/>
    <col min="11524" max="11524" width="10.5703125" style="68" customWidth="1"/>
    <col min="11525" max="11525" width="24" style="68" customWidth="1"/>
    <col min="11526" max="11526" width="24.5703125" style="68" bestFit="1" customWidth="1"/>
    <col min="11527" max="11527" width="17.7109375" style="68" bestFit="1" customWidth="1"/>
    <col min="11528" max="11528" width="17.42578125" style="68" bestFit="1" customWidth="1"/>
    <col min="11529" max="11529" width="17.5703125" style="68" bestFit="1" customWidth="1"/>
    <col min="11530" max="11530" width="9.28515625" style="68" bestFit="1" customWidth="1"/>
    <col min="11531" max="11531" width="10.28515625" style="68" bestFit="1" customWidth="1"/>
    <col min="11532" max="11532" width="45.7109375" style="68" customWidth="1"/>
    <col min="11533" max="11776" width="9.140625" style="68"/>
    <col min="11777" max="11777" width="6.85546875" style="68" customWidth="1"/>
    <col min="11778" max="11778" width="26.28515625" style="68" customWidth="1"/>
    <col min="11779" max="11779" width="94.7109375" style="68" customWidth="1"/>
    <col min="11780" max="11780" width="10.5703125" style="68" customWidth="1"/>
    <col min="11781" max="11781" width="24" style="68" customWidth="1"/>
    <col min="11782" max="11782" width="24.5703125" style="68" bestFit="1" customWidth="1"/>
    <col min="11783" max="11783" width="17.7109375" style="68" bestFit="1" customWidth="1"/>
    <col min="11784" max="11784" width="17.42578125" style="68" bestFit="1" customWidth="1"/>
    <col min="11785" max="11785" width="17.5703125" style="68" bestFit="1" customWidth="1"/>
    <col min="11786" max="11786" width="9.28515625" style="68" bestFit="1" customWidth="1"/>
    <col min="11787" max="11787" width="10.28515625" style="68" bestFit="1" customWidth="1"/>
    <col min="11788" max="11788" width="45.7109375" style="68" customWidth="1"/>
    <col min="11789" max="12032" width="9.140625" style="68"/>
    <col min="12033" max="12033" width="6.85546875" style="68" customWidth="1"/>
    <col min="12034" max="12034" width="26.28515625" style="68" customWidth="1"/>
    <col min="12035" max="12035" width="94.7109375" style="68" customWidth="1"/>
    <col min="12036" max="12036" width="10.5703125" style="68" customWidth="1"/>
    <col min="12037" max="12037" width="24" style="68" customWidth="1"/>
    <col min="12038" max="12038" width="24.5703125" style="68" bestFit="1" customWidth="1"/>
    <col min="12039" max="12039" width="17.7109375" style="68" bestFit="1" customWidth="1"/>
    <col min="12040" max="12040" width="17.42578125" style="68" bestFit="1" customWidth="1"/>
    <col min="12041" max="12041" width="17.5703125" style="68" bestFit="1" customWidth="1"/>
    <col min="12042" max="12042" width="9.28515625" style="68" bestFit="1" customWidth="1"/>
    <col min="12043" max="12043" width="10.28515625" style="68" bestFit="1" customWidth="1"/>
    <col min="12044" max="12044" width="45.7109375" style="68" customWidth="1"/>
    <col min="12045" max="12288" width="9.140625" style="68"/>
    <col min="12289" max="12289" width="6.85546875" style="68" customWidth="1"/>
    <col min="12290" max="12290" width="26.28515625" style="68" customWidth="1"/>
    <col min="12291" max="12291" width="94.7109375" style="68" customWidth="1"/>
    <col min="12292" max="12292" width="10.5703125" style="68" customWidth="1"/>
    <col min="12293" max="12293" width="24" style="68" customWidth="1"/>
    <col min="12294" max="12294" width="24.5703125" style="68" bestFit="1" customWidth="1"/>
    <col min="12295" max="12295" width="17.7109375" style="68" bestFit="1" customWidth="1"/>
    <col min="12296" max="12296" width="17.42578125" style="68" bestFit="1" customWidth="1"/>
    <col min="12297" max="12297" width="17.5703125" style="68" bestFit="1" customWidth="1"/>
    <col min="12298" max="12298" width="9.28515625" style="68" bestFit="1" customWidth="1"/>
    <col min="12299" max="12299" width="10.28515625" style="68" bestFit="1" customWidth="1"/>
    <col min="12300" max="12300" width="45.7109375" style="68" customWidth="1"/>
    <col min="12301" max="12544" width="9.140625" style="68"/>
    <col min="12545" max="12545" width="6.85546875" style="68" customWidth="1"/>
    <col min="12546" max="12546" width="26.28515625" style="68" customWidth="1"/>
    <col min="12547" max="12547" width="94.7109375" style="68" customWidth="1"/>
    <col min="12548" max="12548" width="10.5703125" style="68" customWidth="1"/>
    <col min="12549" max="12549" width="24" style="68" customWidth="1"/>
    <col min="12550" max="12550" width="24.5703125" style="68" bestFit="1" customWidth="1"/>
    <col min="12551" max="12551" width="17.7109375" style="68" bestFit="1" customWidth="1"/>
    <col min="12552" max="12552" width="17.42578125" style="68" bestFit="1" customWidth="1"/>
    <col min="12553" max="12553" width="17.5703125" style="68" bestFit="1" customWidth="1"/>
    <col min="12554" max="12554" width="9.28515625" style="68" bestFit="1" customWidth="1"/>
    <col min="12555" max="12555" width="10.28515625" style="68" bestFit="1" customWidth="1"/>
    <col min="12556" max="12556" width="45.7109375" style="68" customWidth="1"/>
    <col min="12557" max="12800" width="9.140625" style="68"/>
    <col min="12801" max="12801" width="6.85546875" style="68" customWidth="1"/>
    <col min="12802" max="12802" width="26.28515625" style="68" customWidth="1"/>
    <col min="12803" max="12803" width="94.7109375" style="68" customWidth="1"/>
    <col min="12804" max="12804" width="10.5703125" style="68" customWidth="1"/>
    <col min="12805" max="12805" width="24" style="68" customWidth="1"/>
    <col min="12806" max="12806" width="24.5703125" style="68" bestFit="1" customWidth="1"/>
    <col min="12807" max="12807" width="17.7109375" style="68" bestFit="1" customWidth="1"/>
    <col min="12808" max="12808" width="17.42578125" style="68" bestFit="1" customWidth="1"/>
    <col min="12809" max="12809" width="17.5703125" style="68" bestFit="1" customWidth="1"/>
    <col min="12810" max="12810" width="9.28515625" style="68" bestFit="1" customWidth="1"/>
    <col min="12811" max="12811" width="10.28515625" style="68" bestFit="1" customWidth="1"/>
    <col min="12812" max="12812" width="45.7109375" style="68" customWidth="1"/>
    <col min="12813" max="13056" width="9.140625" style="68"/>
    <col min="13057" max="13057" width="6.85546875" style="68" customWidth="1"/>
    <col min="13058" max="13058" width="26.28515625" style="68" customWidth="1"/>
    <col min="13059" max="13059" width="94.7109375" style="68" customWidth="1"/>
    <col min="13060" max="13060" width="10.5703125" style="68" customWidth="1"/>
    <col min="13061" max="13061" width="24" style="68" customWidth="1"/>
    <col min="13062" max="13062" width="24.5703125" style="68" bestFit="1" customWidth="1"/>
    <col min="13063" max="13063" width="17.7109375" style="68" bestFit="1" customWidth="1"/>
    <col min="13064" max="13064" width="17.42578125" style="68" bestFit="1" customWidth="1"/>
    <col min="13065" max="13065" width="17.5703125" style="68" bestFit="1" customWidth="1"/>
    <col min="13066" max="13066" width="9.28515625" style="68" bestFit="1" customWidth="1"/>
    <col min="13067" max="13067" width="10.28515625" style="68" bestFit="1" customWidth="1"/>
    <col min="13068" max="13068" width="45.7109375" style="68" customWidth="1"/>
    <col min="13069" max="13312" width="9.140625" style="68"/>
    <col min="13313" max="13313" width="6.85546875" style="68" customWidth="1"/>
    <col min="13314" max="13314" width="26.28515625" style="68" customWidth="1"/>
    <col min="13315" max="13315" width="94.7109375" style="68" customWidth="1"/>
    <col min="13316" max="13316" width="10.5703125" style="68" customWidth="1"/>
    <col min="13317" max="13317" width="24" style="68" customWidth="1"/>
    <col min="13318" max="13318" width="24.5703125" style="68" bestFit="1" customWidth="1"/>
    <col min="13319" max="13319" width="17.7109375" style="68" bestFit="1" customWidth="1"/>
    <col min="13320" max="13320" width="17.42578125" style="68" bestFit="1" customWidth="1"/>
    <col min="13321" max="13321" width="17.5703125" style="68" bestFit="1" customWidth="1"/>
    <col min="13322" max="13322" width="9.28515625" style="68" bestFit="1" customWidth="1"/>
    <col min="13323" max="13323" width="10.28515625" style="68" bestFit="1" customWidth="1"/>
    <col min="13324" max="13324" width="45.7109375" style="68" customWidth="1"/>
    <col min="13325" max="13568" width="9.140625" style="68"/>
    <col min="13569" max="13569" width="6.85546875" style="68" customWidth="1"/>
    <col min="13570" max="13570" width="26.28515625" style="68" customWidth="1"/>
    <col min="13571" max="13571" width="94.7109375" style="68" customWidth="1"/>
    <col min="13572" max="13572" width="10.5703125" style="68" customWidth="1"/>
    <col min="13573" max="13573" width="24" style="68" customWidth="1"/>
    <col min="13574" max="13574" width="24.5703125" style="68" bestFit="1" customWidth="1"/>
    <col min="13575" max="13575" width="17.7109375" style="68" bestFit="1" customWidth="1"/>
    <col min="13576" max="13576" width="17.42578125" style="68" bestFit="1" customWidth="1"/>
    <col min="13577" max="13577" width="17.5703125" style="68" bestFit="1" customWidth="1"/>
    <col min="13578" max="13578" width="9.28515625" style="68" bestFit="1" customWidth="1"/>
    <col min="13579" max="13579" width="10.28515625" style="68" bestFit="1" customWidth="1"/>
    <col min="13580" max="13580" width="45.7109375" style="68" customWidth="1"/>
    <col min="13581" max="13824" width="9.140625" style="68"/>
    <col min="13825" max="13825" width="6.85546875" style="68" customWidth="1"/>
    <col min="13826" max="13826" width="26.28515625" style="68" customWidth="1"/>
    <col min="13827" max="13827" width="94.7109375" style="68" customWidth="1"/>
    <col min="13828" max="13828" width="10.5703125" style="68" customWidth="1"/>
    <col min="13829" max="13829" width="24" style="68" customWidth="1"/>
    <col min="13830" max="13830" width="24.5703125" style="68" bestFit="1" customWidth="1"/>
    <col min="13831" max="13831" width="17.7109375" style="68" bestFit="1" customWidth="1"/>
    <col min="13832" max="13832" width="17.42578125" style="68" bestFit="1" customWidth="1"/>
    <col min="13833" max="13833" width="17.5703125" style="68" bestFit="1" customWidth="1"/>
    <col min="13834" max="13834" width="9.28515625" style="68" bestFit="1" customWidth="1"/>
    <col min="13835" max="13835" width="10.28515625" style="68" bestFit="1" customWidth="1"/>
    <col min="13836" max="13836" width="45.7109375" style="68" customWidth="1"/>
    <col min="13837" max="14080" width="9.140625" style="68"/>
    <col min="14081" max="14081" width="6.85546875" style="68" customWidth="1"/>
    <col min="14082" max="14082" width="26.28515625" style="68" customWidth="1"/>
    <col min="14083" max="14083" width="94.7109375" style="68" customWidth="1"/>
    <col min="14084" max="14084" width="10.5703125" style="68" customWidth="1"/>
    <col min="14085" max="14085" width="24" style="68" customWidth="1"/>
    <col min="14086" max="14086" width="24.5703125" style="68" bestFit="1" customWidth="1"/>
    <col min="14087" max="14087" width="17.7109375" style="68" bestFit="1" customWidth="1"/>
    <col min="14088" max="14088" width="17.42578125" style="68" bestFit="1" customWidth="1"/>
    <col min="14089" max="14089" width="17.5703125" style="68" bestFit="1" customWidth="1"/>
    <col min="14090" max="14090" width="9.28515625" style="68" bestFit="1" customWidth="1"/>
    <col min="14091" max="14091" width="10.28515625" style="68" bestFit="1" customWidth="1"/>
    <col min="14092" max="14092" width="45.7109375" style="68" customWidth="1"/>
    <col min="14093" max="14336" width="9.140625" style="68"/>
    <col min="14337" max="14337" width="6.85546875" style="68" customWidth="1"/>
    <col min="14338" max="14338" width="26.28515625" style="68" customWidth="1"/>
    <col min="14339" max="14339" width="94.7109375" style="68" customWidth="1"/>
    <col min="14340" max="14340" width="10.5703125" style="68" customWidth="1"/>
    <col min="14341" max="14341" width="24" style="68" customWidth="1"/>
    <col min="14342" max="14342" width="24.5703125" style="68" bestFit="1" customWidth="1"/>
    <col min="14343" max="14343" width="17.7109375" style="68" bestFit="1" customWidth="1"/>
    <col min="14344" max="14344" width="17.42578125" style="68" bestFit="1" customWidth="1"/>
    <col min="14345" max="14345" width="17.5703125" style="68" bestFit="1" customWidth="1"/>
    <col min="14346" max="14346" width="9.28515625" style="68" bestFit="1" customWidth="1"/>
    <col min="14347" max="14347" width="10.28515625" style="68" bestFit="1" customWidth="1"/>
    <col min="14348" max="14348" width="45.7109375" style="68" customWidth="1"/>
    <col min="14349" max="14592" width="9.140625" style="68"/>
    <col min="14593" max="14593" width="6.85546875" style="68" customWidth="1"/>
    <col min="14594" max="14594" width="26.28515625" style="68" customWidth="1"/>
    <col min="14595" max="14595" width="94.7109375" style="68" customWidth="1"/>
    <col min="14596" max="14596" width="10.5703125" style="68" customWidth="1"/>
    <col min="14597" max="14597" width="24" style="68" customWidth="1"/>
    <col min="14598" max="14598" width="24.5703125" style="68" bestFit="1" customWidth="1"/>
    <col min="14599" max="14599" width="17.7109375" style="68" bestFit="1" customWidth="1"/>
    <col min="14600" max="14600" width="17.42578125" style="68" bestFit="1" customWidth="1"/>
    <col min="14601" max="14601" width="17.5703125" style="68" bestFit="1" customWidth="1"/>
    <col min="14602" max="14602" width="9.28515625" style="68" bestFit="1" customWidth="1"/>
    <col min="14603" max="14603" width="10.28515625" style="68" bestFit="1" customWidth="1"/>
    <col min="14604" max="14604" width="45.7109375" style="68" customWidth="1"/>
    <col min="14605" max="14848" width="9.140625" style="68"/>
    <col min="14849" max="14849" width="6.85546875" style="68" customWidth="1"/>
    <col min="14850" max="14850" width="26.28515625" style="68" customWidth="1"/>
    <col min="14851" max="14851" width="94.7109375" style="68" customWidth="1"/>
    <col min="14852" max="14852" width="10.5703125" style="68" customWidth="1"/>
    <col min="14853" max="14853" width="24" style="68" customWidth="1"/>
    <col min="14854" max="14854" width="24.5703125" style="68" bestFit="1" customWidth="1"/>
    <col min="14855" max="14855" width="17.7109375" style="68" bestFit="1" customWidth="1"/>
    <col min="14856" max="14856" width="17.42578125" style="68" bestFit="1" customWidth="1"/>
    <col min="14857" max="14857" width="17.5703125" style="68" bestFit="1" customWidth="1"/>
    <col min="14858" max="14858" width="9.28515625" style="68" bestFit="1" customWidth="1"/>
    <col min="14859" max="14859" width="10.28515625" style="68" bestFit="1" customWidth="1"/>
    <col min="14860" max="14860" width="45.7109375" style="68" customWidth="1"/>
    <col min="14861" max="15104" width="9.140625" style="68"/>
    <col min="15105" max="15105" width="6.85546875" style="68" customWidth="1"/>
    <col min="15106" max="15106" width="26.28515625" style="68" customWidth="1"/>
    <col min="15107" max="15107" width="94.7109375" style="68" customWidth="1"/>
    <col min="15108" max="15108" width="10.5703125" style="68" customWidth="1"/>
    <col min="15109" max="15109" width="24" style="68" customWidth="1"/>
    <col min="15110" max="15110" width="24.5703125" style="68" bestFit="1" customWidth="1"/>
    <col min="15111" max="15111" width="17.7109375" style="68" bestFit="1" customWidth="1"/>
    <col min="15112" max="15112" width="17.42578125" style="68" bestFit="1" customWidth="1"/>
    <col min="15113" max="15113" width="17.5703125" style="68" bestFit="1" customWidth="1"/>
    <col min="15114" max="15114" width="9.28515625" style="68" bestFit="1" customWidth="1"/>
    <col min="15115" max="15115" width="10.28515625" style="68" bestFit="1" customWidth="1"/>
    <col min="15116" max="15116" width="45.7109375" style="68" customWidth="1"/>
    <col min="15117" max="15360" width="9.140625" style="68"/>
    <col min="15361" max="15361" width="6.85546875" style="68" customWidth="1"/>
    <col min="15362" max="15362" width="26.28515625" style="68" customWidth="1"/>
    <col min="15363" max="15363" width="94.7109375" style="68" customWidth="1"/>
    <col min="15364" max="15364" width="10.5703125" style="68" customWidth="1"/>
    <col min="15365" max="15365" width="24" style="68" customWidth="1"/>
    <col min="15366" max="15366" width="24.5703125" style="68" bestFit="1" customWidth="1"/>
    <col min="15367" max="15367" width="17.7109375" style="68" bestFit="1" customWidth="1"/>
    <col min="15368" max="15368" width="17.42578125" style="68" bestFit="1" customWidth="1"/>
    <col min="15369" max="15369" width="17.5703125" style="68" bestFit="1" customWidth="1"/>
    <col min="15370" max="15370" width="9.28515625" style="68" bestFit="1" customWidth="1"/>
    <col min="15371" max="15371" width="10.28515625" style="68" bestFit="1" customWidth="1"/>
    <col min="15372" max="15372" width="45.7109375" style="68" customWidth="1"/>
    <col min="15373" max="15616" width="9.140625" style="68"/>
    <col min="15617" max="15617" width="6.85546875" style="68" customWidth="1"/>
    <col min="15618" max="15618" width="26.28515625" style="68" customWidth="1"/>
    <col min="15619" max="15619" width="94.7109375" style="68" customWidth="1"/>
    <col min="15620" max="15620" width="10.5703125" style="68" customWidth="1"/>
    <col min="15621" max="15621" width="24" style="68" customWidth="1"/>
    <col min="15622" max="15622" width="24.5703125" style="68" bestFit="1" customWidth="1"/>
    <col min="15623" max="15623" width="17.7109375" style="68" bestFit="1" customWidth="1"/>
    <col min="15624" max="15624" width="17.42578125" style="68" bestFit="1" customWidth="1"/>
    <col min="15625" max="15625" width="17.5703125" style="68" bestFit="1" customWidth="1"/>
    <col min="15626" max="15626" width="9.28515625" style="68" bestFit="1" customWidth="1"/>
    <col min="15627" max="15627" width="10.28515625" style="68" bestFit="1" customWidth="1"/>
    <col min="15628" max="15628" width="45.7109375" style="68" customWidth="1"/>
    <col min="15629" max="15872" width="9.140625" style="68"/>
    <col min="15873" max="15873" width="6.85546875" style="68" customWidth="1"/>
    <col min="15874" max="15874" width="26.28515625" style="68" customWidth="1"/>
    <col min="15875" max="15875" width="94.7109375" style="68" customWidth="1"/>
    <col min="15876" max="15876" width="10.5703125" style="68" customWidth="1"/>
    <col min="15877" max="15877" width="24" style="68" customWidth="1"/>
    <col min="15878" max="15878" width="24.5703125" style="68" bestFit="1" customWidth="1"/>
    <col min="15879" max="15879" width="17.7109375" style="68" bestFit="1" customWidth="1"/>
    <col min="15880" max="15880" width="17.42578125" style="68" bestFit="1" customWidth="1"/>
    <col min="15881" max="15881" width="17.5703125" style="68" bestFit="1" customWidth="1"/>
    <col min="15882" max="15882" width="9.28515625" style="68" bestFit="1" customWidth="1"/>
    <col min="15883" max="15883" width="10.28515625" style="68" bestFit="1" customWidth="1"/>
    <col min="15884" max="15884" width="45.7109375" style="68" customWidth="1"/>
    <col min="15885" max="16128" width="9.140625" style="68"/>
    <col min="16129" max="16129" width="6.85546875" style="68" customWidth="1"/>
    <col min="16130" max="16130" width="26.28515625" style="68" customWidth="1"/>
    <col min="16131" max="16131" width="94.7109375" style="68" customWidth="1"/>
    <col min="16132" max="16132" width="10.5703125" style="68" customWidth="1"/>
    <col min="16133" max="16133" width="24" style="68" customWidth="1"/>
    <col min="16134" max="16134" width="24.5703125" style="68" bestFit="1" customWidth="1"/>
    <col min="16135" max="16135" width="17.7109375" style="68" bestFit="1" customWidth="1"/>
    <col min="16136" max="16136" width="17.42578125" style="68" bestFit="1" customWidth="1"/>
    <col min="16137" max="16137" width="17.5703125" style="68" bestFit="1" customWidth="1"/>
    <col min="16138" max="16138" width="9.28515625" style="68" bestFit="1" customWidth="1"/>
    <col min="16139" max="16139" width="10.28515625" style="68" bestFit="1" customWidth="1"/>
    <col min="16140" max="16140" width="45.7109375" style="68" customWidth="1"/>
    <col min="16141" max="16384" width="9.140625" style="68"/>
  </cols>
  <sheetData>
    <row r="1" spans="1:11" s="60" customFormat="1" ht="26.25">
      <c r="A1" s="1"/>
      <c r="B1" s="2"/>
      <c r="C1" s="210" t="s">
        <v>0</v>
      </c>
      <c r="D1" s="210"/>
      <c r="E1" s="211"/>
      <c r="F1" s="3"/>
      <c r="G1" s="4"/>
      <c r="H1" s="58"/>
      <c r="I1" s="59"/>
    </row>
    <row r="2" spans="1:11" s="60" customFormat="1" ht="26.25">
      <c r="A2" s="5"/>
      <c r="B2" s="6"/>
      <c r="C2" s="212" t="s">
        <v>1</v>
      </c>
      <c r="D2" s="212"/>
      <c r="E2" s="213"/>
      <c r="F2" s="7"/>
      <c r="G2" s="8"/>
      <c r="H2" s="61"/>
      <c r="I2" s="62"/>
    </row>
    <row r="3" spans="1:11" s="60" customFormat="1" ht="26.25">
      <c r="A3" s="5"/>
      <c r="B3" s="6"/>
      <c r="C3" s="212" t="s">
        <v>2</v>
      </c>
      <c r="D3" s="212"/>
      <c r="E3" s="213"/>
      <c r="F3" s="214"/>
      <c r="G3" s="215"/>
      <c r="H3" s="215"/>
      <c r="I3" s="216"/>
    </row>
    <row r="4" spans="1:11" s="60" customFormat="1" ht="39.75" customHeight="1">
      <c r="A4" s="5"/>
      <c r="B4" s="6"/>
      <c r="C4" s="217" t="s">
        <v>3</v>
      </c>
      <c r="D4" s="217"/>
      <c r="E4" s="218"/>
      <c r="F4" s="219" t="s">
        <v>385</v>
      </c>
      <c r="G4" s="220"/>
      <c r="H4" s="220"/>
      <c r="I4" s="221"/>
    </row>
    <row r="5" spans="1:11" s="60" customFormat="1" ht="23.25" customHeight="1">
      <c r="A5" s="5"/>
      <c r="B5" s="6"/>
      <c r="C5" s="217" t="s">
        <v>4</v>
      </c>
      <c r="D5" s="217"/>
      <c r="E5" s="218"/>
      <c r="F5" s="222" t="s">
        <v>150</v>
      </c>
      <c r="G5" s="223"/>
      <c r="H5" s="223"/>
      <c r="I5" s="224"/>
    </row>
    <row r="6" spans="1:11" s="60" customFormat="1" ht="23.25">
      <c r="A6" s="5"/>
      <c r="B6" s="6"/>
      <c r="C6" s="225" t="s">
        <v>384</v>
      </c>
      <c r="D6" s="225"/>
      <c r="E6" s="226"/>
      <c r="F6" s="227" t="s">
        <v>5</v>
      </c>
      <c r="G6" s="228"/>
      <c r="H6" s="228"/>
      <c r="I6" s="229"/>
    </row>
    <row r="7" spans="1:11" s="60" customFormat="1" ht="23.25">
      <c r="A7" s="5"/>
      <c r="B7" s="6"/>
      <c r="C7" s="230"/>
      <c r="D7" s="230"/>
      <c r="E7" s="231"/>
      <c r="F7" s="227" t="s">
        <v>151</v>
      </c>
      <c r="G7" s="228"/>
      <c r="H7" s="228"/>
      <c r="I7" s="229"/>
    </row>
    <row r="8" spans="1:11" s="60" customFormat="1" ht="20.25">
      <c r="A8" s="9"/>
      <c r="B8" s="10"/>
      <c r="C8" s="11"/>
      <c r="D8" s="63"/>
      <c r="E8" s="12"/>
      <c r="F8" s="234" t="s">
        <v>6</v>
      </c>
      <c r="G8" s="235"/>
      <c r="H8" s="235"/>
      <c r="I8" s="236"/>
    </row>
    <row r="9" spans="1:11" s="60" customFormat="1" ht="18" customHeight="1">
      <c r="A9" s="237" t="s">
        <v>152</v>
      </c>
      <c r="B9" s="238"/>
      <c r="C9" s="238"/>
      <c r="D9" s="238"/>
      <c r="E9" s="238"/>
      <c r="F9" s="238"/>
      <c r="G9" s="238"/>
      <c r="H9" s="238"/>
      <c r="I9" s="238"/>
    </row>
    <row r="10" spans="1:11" s="60" customFormat="1" ht="18.75">
      <c r="A10" s="239" t="s">
        <v>7</v>
      </c>
      <c r="B10" s="240" t="s">
        <v>8</v>
      </c>
      <c r="C10" s="241" t="s">
        <v>9</v>
      </c>
      <c r="D10" s="239" t="s">
        <v>10</v>
      </c>
      <c r="E10" s="242" t="s">
        <v>11</v>
      </c>
      <c r="F10" s="243" t="s">
        <v>12</v>
      </c>
      <c r="G10" s="243"/>
      <c r="H10" s="243"/>
      <c r="I10" s="243"/>
    </row>
    <row r="11" spans="1:11" s="60" customFormat="1" ht="18.75">
      <c r="A11" s="239"/>
      <c r="B11" s="240"/>
      <c r="C11" s="241"/>
      <c r="D11" s="239"/>
      <c r="E11" s="242"/>
      <c r="F11" s="64" t="s">
        <v>13</v>
      </c>
      <c r="G11" s="64" t="s">
        <v>14</v>
      </c>
      <c r="H11" s="64" t="s">
        <v>15</v>
      </c>
      <c r="I11" s="65" t="s">
        <v>16</v>
      </c>
    </row>
    <row r="12" spans="1:11" ht="14.25" customHeight="1">
      <c r="A12" s="66" t="s">
        <v>17</v>
      </c>
      <c r="B12" s="67"/>
      <c r="C12" s="244" t="s">
        <v>18</v>
      </c>
      <c r="D12" s="244"/>
      <c r="E12" s="244"/>
      <c r="F12" s="244"/>
      <c r="G12" s="244"/>
      <c r="H12" s="244"/>
      <c r="I12" s="244"/>
    </row>
    <row r="13" spans="1:11" s="70" customFormat="1" ht="60">
      <c r="A13" s="14" t="s">
        <v>19</v>
      </c>
      <c r="B13" s="15" t="s">
        <v>20</v>
      </c>
      <c r="C13" s="16" t="s">
        <v>21</v>
      </c>
      <c r="D13" s="17" t="s">
        <v>22</v>
      </c>
      <c r="E13" s="18">
        <v>6</v>
      </c>
      <c r="F13" s="19">
        <f>TRUNC(G19,2)</f>
        <v>187.77</v>
      </c>
      <c r="G13" s="19">
        <f>TRUNC(F13*1.2882,2)</f>
        <v>241.88</v>
      </c>
      <c r="H13" s="19">
        <f>TRUNC(F13*E13,2)</f>
        <v>1126.6199999999999</v>
      </c>
      <c r="I13" s="69">
        <f>TRUNC(E13*G13,2)</f>
        <v>1451.28</v>
      </c>
      <c r="K13" s="71"/>
    </row>
    <row r="14" spans="1:11" ht="30">
      <c r="A14" s="72"/>
      <c r="B14" s="73" t="s">
        <v>153</v>
      </c>
      <c r="C14" s="74" t="s">
        <v>154</v>
      </c>
      <c r="D14" s="75" t="s">
        <v>22</v>
      </c>
      <c r="E14" s="76">
        <v>1</v>
      </c>
      <c r="F14" s="77">
        <v>61.36</v>
      </c>
      <c r="G14" s="77">
        <f>TRUNC(E14*F14,2)</f>
        <v>61.36</v>
      </c>
      <c r="H14" s="77"/>
      <c r="I14" s="68"/>
      <c r="K14" s="78"/>
    </row>
    <row r="15" spans="1:11" ht="30">
      <c r="A15" s="72"/>
      <c r="B15" s="73" t="s">
        <v>155</v>
      </c>
      <c r="C15" s="74" t="s">
        <v>156</v>
      </c>
      <c r="D15" s="75" t="s">
        <v>157</v>
      </c>
      <c r="E15" s="76">
        <v>0.3</v>
      </c>
      <c r="F15" s="77">
        <v>19.43</v>
      </c>
      <c r="G15" s="77">
        <f>TRUNC(E15*F15,2)</f>
        <v>5.82</v>
      </c>
      <c r="H15" s="77"/>
      <c r="I15" s="79"/>
      <c r="K15" s="78"/>
    </row>
    <row r="16" spans="1:11" ht="15">
      <c r="A16" s="72"/>
      <c r="B16" s="73" t="s">
        <v>158</v>
      </c>
      <c r="C16" s="74" t="s">
        <v>159</v>
      </c>
      <c r="D16" s="75" t="s">
        <v>88</v>
      </c>
      <c r="E16" s="76">
        <v>9.1999999999999993</v>
      </c>
      <c r="F16" s="77">
        <v>5.83</v>
      </c>
      <c r="G16" s="77">
        <f>TRUNC(E16*F16,2)</f>
        <v>53.63</v>
      </c>
      <c r="H16" s="77"/>
      <c r="I16" s="68"/>
      <c r="K16" s="78"/>
    </row>
    <row r="17" spans="1:11" ht="30">
      <c r="A17" s="72"/>
      <c r="B17" s="73" t="s">
        <v>160</v>
      </c>
      <c r="C17" s="74" t="s">
        <v>161</v>
      </c>
      <c r="D17" s="75" t="s">
        <v>162</v>
      </c>
      <c r="E17" s="76">
        <v>2.06</v>
      </c>
      <c r="F17" s="77">
        <f>TRUNC(13.08,2)</f>
        <v>13.08</v>
      </c>
      <c r="G17" s="77">
        <f>TRUNC(E17*F17,2)</f>
        <v>26.94</v>
      </c>
      <c r="H17" s="77"/>
      <c r="I17" s="79"/>
      <c r="K17" s="78"/>
    </row>
    <row r="18" spans="1:11" ht="30">
      <c r="A18" s="72"/>
      <c r="B18" s="73" t="s">
        <v>163</v>
      </c>
      <c r="C18" s="74" t="s">
        <v>164</v>
      </c>
      <c r="D18" s="75" t="s">
        <v>162</v>
      </c>
      <c r="E18" s="76">
        <v>2.06</v>
      </c>
      <c r="F18" s="77">
        <f>TRUNC(19.43,2)</f>
        <v>19.43</v>
      </c>
      <c r="G18" s="77">
        <f>TRUNC(E18*F18,2)</f>
        <v>40.020000000000003</v>
      </c>
      <c r="H18" s="77"/>
      <c r="I18" s="68"/>
      <c r="K18" s="78"/>
    </row>
    <row r="19" spans="1:11" ht="15">
      <c r="A19" s="72"/>
      <c r="B19" s="73"/>
      <c r="C19" s="74"/>
      <c r="D19" s="75"/>
      <c r="E19" s="76" t="s">
        <v>132</v>
      </c>
      <c r="F19" s="77"/>
      <c r="G19" s="77">
        <f>TRUNC(SUM(G14:G18),2)</f>
        <v>187.77</v>
      </c>
      <c r="H19" s="77"/>
      <c r="I19" s="79"/>
      <c r="K19" s="78"/>
    </row>
    <row r="20" spans="1:11" s="70" customFormat="1" ht="45">
      <c r="A20" s="14" t="s">
        <v>23</v>
      </c>
      <c r="B20" s="15" t="s">
        <v>24</v>
      </c>
      <c r="C20" s="16" t="s">
        <v>25</v>
      </c>
      <c r="D20" s="17" t="s">
        <v>22</v>
      </c>
      <c r="E20" s="18">
        <v>101.04</v>
      </c>
      <c r="F20" s="19">
        <f>TRUNC(G22,2)</f>
        <v>16.8</v>
      </c>
      <c r="G20" s="19">
        <f>TRUNC(F20*1.2882,2)</f>
        <v>21.64</v>
      </c>
      <c r="H20" s="19">
        <f>TRUNC(F20*E20,2)</f>
        <v>1697.47</v>
      </c>
      <c r="I20" s="69">
        <f>TRUNC(E20*G20,2)</f>
        <v>2186.5</v>
      </c>
      <c r="K20" s="71"/>
    </row>
    <row r="21" spans="1:11" ht="30">
      <c r="A21" s="72"/>
      <c r="B21" s="73" t="s">
        <v>160</v>
      </c>
      <c r="C21" s="74" t="s">
        <v>161</v>
      </c>
      <c r="D21" s="75" t="s">
        <v>162</v>
      </c>
      <c r="E21" s="76">
        <v>1.236</v>
      </c>
      <c r="F21" s="77">
        <f>TRUNC(13.6,2)</f>
        <v>13.6</v>
      </c>
      <c r="G21" s="77">
        <f>TRUNC(E21*F21,2)</f>
        <v>16.8</v>
      </c>
      <c r="H21" s="77"/>
      <c r="I21" s="68"/>
      <c r="K21" s="78"/>
    </row>
    <row r="22" spans="1:11" ht="15">
      <c r="A22" s="72"/>
      <c r="B22" s="73"/>
      <c r="C22" s="74"/>
      <c r="D22" s="75"/>
      <c r="E22" s="76" t="s">
        <v>132</v>
      </c>
      <c r="F22" s="77"/>
      <c r="G22" s="77">
        <f>TRUNC(SUM(G21:G21),2)</f>
        <v>16.8</v>
      </c>
      <c r="H22" s="77"/>
      <c r="I22" s="68"/>
      <c r="K22" s="78"/>
    </row>
    <row r="23" spans="1:11" s="70" customFormat="1" ht="45">
      <c r="A23" s="14" t="s">
        <v>26</v>
      </c>
      <c r="B23" s="15" t="s">
        <v>27</v>
      </c>
      <c r="C23" s="16" t="s">
        <v>28</v>
      </c>
      <c r="D23" s="17" t="s">
        <v>22</v>
      </c>
      <c r="E23" s="18">
        <v>32.78</v>
      </c>
      <c r="F23" s="19">
        <f>TRUNC(G26,2)</f>
        <v>13.66</v>
      </c>
      <c r="G23" s="19">
        <f>TRUNC(F23*1.2882,2)</f>
        <v>17.59</v>
      </c>
      <c r="H23" s="19">
        <f>TRUNC(F23*E23,2)</f>
        <v>447.77</v>
      </c>
      <c r="I23" s="69">
        <f>TRUNC(E23*G23,2)</f>
        <v>576.6</v>
      </c>
      <c r="K23" s="71"/>
    </row>
    <row r="24" spans="1:11" ht="30">
      <c r="A24" s="72"/>
      <c r="B24" s="73" t="s">
        <v>160</v>
      </c>
      <c r="C24" s="74" t="s">
        <v>161</v>
      </c>
      <c r="D24" s="75" t="s">
        <v>162</v>
      </c>
      <c r="E24" s="76">
        <v>0.72099999999999997</v>
      </c>
      <c r="F24" s="77">
        <f>TRUNC(13.6,2)</f>
        <v>13.6</v>
      </c>
      <c r="G24" s="77">
        <f>TRUNC(E24*F24,2)</f>
        <v>9.8000000000000007</v>
      </c>
      <c r="H24" s="77"/>
      <c r="I24" s="79"/>
      <c r="K24" s="78"/>
    </row>
    <row r="25" spans="1:11" ht="15">
      <c r="A25" s="72"/>
      <c r="B25" s="73" t="s">
        <v>165</v>
      </c>
      <c r="C25" s="74" t="s">
        <v>166</v>
      </c>
      <c r="D25" s="75" t="s">
        <v>162</v>
      </c>
      <c r="E25" s="76">
        <v>0.20600000000000002</v>
      </c>
      <c r="F25" s="77">
        <f>TRUNC(18.77,2)</f>
        <v>18.77</v>
      </c>
      <c r="G25" s="77">
        <f>TRUNC(E25*F25,2)</f>
        <v>3.86</v>
      </c>
      <c r="H25" s="77"/>
      <c r="I25" s="79"/>
      <c r="K25" s="78"/>
    </row>
    <row r="26" spans="1:11" ht="15">
      <c r="A26" s="72"/>
      <c r="B26" s="73"/>
      <c r="C26" s="74"/>
      <c r="D26" s="75"/>
      <c r="E26" s="76" t="s">
        <v>132</v>
      </c>
      <c r="F26" s="77"/>
      <c r="G26" s="77">
        <f>TRUNC(SUM(G24:G25),2)</f>
        <v>13.66</v>
      </c>
      <c r="H26" s="77"/>
      <c r="I26" s="79"/>
      <c r="K26" s="78"/>
    </row>
    <row r="27" spans="1:11" s="70" customFormat="1" ht="30">
      <c r="A27" s="14" t="s">
        <v>29</v>
      </c>
      <c r="B27" s="15" t="s">
        <v>30</v>
      </c>
      <c r="C27" s="16" t="s">
        <v>31</v>
      </c>
      <c r="D27" s="17" t="s">
        <v>22</v>
      </c>
      <c r="E27" s="18">
        <v>40.58</v>
      </c>
      <c r="F27" s="19">
        <f>TRUNC(G30,2)</f>
        <v>1.74</v>
      </c>
      <c r="G27" s="19">
        <f>TRUNC(F27*1.2882,2)</f>
        <v>2.2400000000000002</v>
      </c>
      <c r="H27" s="19">
        <f>TRUNC(F27*E27,2)</f>
        <v>70.599999999999994</v>
      </c>
      <c r="I27" s="69">
        <f>TRUNC(E27*G27,2)</f>
        <v>90.89</v>
      </c>
      <c r="K27" s="71"/>
    </row>
    <row r="28" spans="1:11" ht="15">
      <c r="A28" s="72"/>
      <c r="B28" s="73" t="s">
        <v>167</v>
      </c>
      <c r="C28" s="74" t="s">
        <v>168</v>
      </c>
      <c r="D28" s="75" t="s">
        <v>162</v>
      </c>
      <c r="E28" s="76">
        <v>5.0700000000000002E-2</v>
      </c>
      <c r="F28" s="77">
        <f>TRUNC(20.38,2)</f>
        <v>20.38</v>
      </c>
      <c r="G28" s="77">
        <f>TRUNC(E28*F28,2)</f>
        <v>1.03</v>
      </c>
      <c r="H28" s="77"/>
      <c r="I28" s="68"/>
      <c r="K28" s="78"/>
    </row>
    <row r="29" spans="1:11" ht="15">
      <c r="A29" s="72"/>
      <c r="B29" s="73" t="s">
        <v>169</v>
      </c>
      <c r="C29" s="74" t="s">
        <v>170</v>
      </c>
      <c r="D29" s="75" t="s">
        <v>162</v>
      </c>
      <c r="E29" s="76">
        <v>2.58E-2</v>
      </c>
      <c r="F29" s="77">
        <f>TRUNC(27.62,2)</f>
        <v>27.62</v>
      </c>
      <c r="G29" s="77">
        <f>TRUNC(E29*F29,2)</f>
        <v>0.71</v>
      </c>
      <c r="H29" s="77"/>
      <c r="I29" s="68"/>
      <c r="K29" s="78"/>
    </row>
    <row r="30" spans="1:11" ht="15">
      <c r="A30" s="72"/>
      <c r="B30" s="73"/>
      <c r="C30" s="74"/>
      <c r="D30" s="75"/>
      <c r="E30" s="76" t="s">
        <v>132</v>
      </c>
      <c r="F30" s="77"/>
      <c r="G30" s="77">
        <f>TRUNC(SUM(G28:G29),2)</f>
        <v>1.74</v>
      </c>
      <c r="H30" s="77"/>
      <c r="I30" s="68"/>
      <c r="K30" s="78"/>
    </row>
    <row r="31" spans="1:11" s="70" customFormat="1" ht="30">
      <c r="A31" s="14" t="s">
        <v>32</v>
      </c>
      <c r="B31" s="15" t="s">
        <v>33</v>
      </c>
      <c r="C31" s="16" t="s">
        <v>34</v>
      </c>
      <c r="D31" s="17" t="s">
        <v>22</v>
      </c>
      <c r="E31" s="18">
        <v>46.36</v>
      </c>
      <c r="F31" s="19">
        <f>TRUNC(G34,2)</f>
        <v>3.47</v>
      </c>
      <c r="G31" s="19">
        <f>TRUNC(F31*1.2882,2)</f>
        <v>4.47</v>
      </c>
      <c r="H31" s="19">
        <f>TRUNC(F31*E31,2)</f>
        <v>160.86000000000001</v>
      </c>
      <c r="I31" s="69">
        <f>TRUNC(E31*G31,2)</f>
        <v>207.22</v>
      </c>
      <c r="K31" s="71"/>
    </row>
    <row r="32" spans="1:11" ht="15">
      <c r="A32" s="72"/>
      <c r="B32" s="73" t="s">
        <v>171</v>
      </c>
      <c r="C32" s="74" t="s">
        <v>172</v>
      </c>
      <c r="D32" s="75" t="s">
        <v>162</v>
      </c>
      <c r="E32" s="76">
        <v>4.9399999999999999E-2</v>
      </c>
      <c r="F32" s="77">
        <f>TRUNC(25.98,2)</f>
        <v>25.98</v>
      </c>
      <c r="G32" s="77">
        <f>TRUNC(E32*F32,2)</f>
        <v>1.28</v>
      </c>
      <c r="H32" s="77"/>
      <c r="I32" s="68"/>
      <c r="K32" s="78"/>
    </row>
    <row r="33" spans="1:11" ht="15">
      <c r="A33" s="72"/>
      <c r="B33" s="73" t="s">
        <v>173</v>
      </c>
      <c r="C33" s="74" t="s">
        <v>168</v>
      </c>
      <c r="D33" s="75" t="s">
        <v>162</v>
      </c>
      <c r="E33" s="76">
        <v>9.7100000000000006E-2</v>
      </c>
      <c r="F33" s="77">
        <f>TRUNC(22.56,2)</f>
        <v>22.56</v>
      </c>
      <c r="G33" s="77">
        <f>TRUNC(E33*F33,2)</f>
        <v>2.19</v>
      </c>
      <c r="H33" s="77"/>
      <c r="I33" s="68"/>
      <c r="K33" s="78"/>
    </row>
    <row r="34" spans="1:11" ht="15">
      <c r="A34" s="72"/>
      <c r="B34" s="73"/>
      <c r="C34" s="74"/>
      <c r="D34" s="75"/>
      <c r="E34" s="76" t="s">
        <v>132</v>
      </c>
      <c r="F34" s="77"/>
      <c r="G34" s="77">
        <f>TRUNC(SUM(G32:G33),2)</f>
        <v>3.47</v>
      </c>
      <c r="H34" s="77"/>
      <c r="I34" s="68"/>
      <c r="K34" s="78"/>
    </row>
    <row r="35" spans="1:11" s="70" customFormat="1" ht="30">
      <c r="A35" s="14" t="s">
        <v>35</v>
      </c>
      <c r="B35" s="15" t="s">
        <v>36</v>
      </c>
      <c r="C35" s="16" t="s">
        <v>37</v>
      </c>
      <c r="D35" s="17" t="s">
        <v>22</v>
      </c>
      <c r="E35" s="18">
        <v>5.04</v>
      </c>
      <c r="F35" s="19">
        <f>TRUNC(G38,2)</f>
        <v>8.6300000000000008</v>
      </c>
      <c r="G35" s="19">
        <f>TRUNC(F35*1.2882,2)</f>
        <v>11.11</v>
      </c>
      <c r="H35" s="19">
        <f>TRUNC(F35*E35,2)</f>
        <v>43.49</v>
      </c>
      <c r="I35" s="69">
        <f>TRUNC(E35*G35,2)</f>
        <v>55.99</v>
      </c>
      <c r="K35" s="71"/>
    </row>
    <row r="36" spans="1:11" ht="15">
      <c r="A36" s="72"/>
      <c r="B36" s="73" t="s">
        <v>167</v>
      </c>
      <c r="C36" s="74" t="s">
        <v>168</v>
      </c>
      <c r="D36" s="75" t="s">
        <v>162</v>
      </c>
      <c r="E36" s="76">
        <v>0.25819999999999999</v>
      </c>
      <c r="F36" s="77">
        <f>TRUNC(20.38,2)</f>
        <v>20.38</v>
      </c>
      <c r="G36" s="77">
        <f>TRUNC(E36*F36,2)</f>
        <v>5.26</v>
      </c>
      <c r="H36" s="77"/>
      <c r="I36" s="68"/>
      <c r="K36" s="78"/>
    </row>
    <row r="37" spans="1:11" ht="15">
      <c r="A37" s="72"/>
      <c r="B37" s="73" t="s">
        <v>174</v>
      </c>
      <c r="C37" s="74" t="s">
        <v>175</v>
      </c>
      <c r="D37" s="75" t="s">
        <v>162</v>
      </c>
      <c r="E37" s="76">
        <v>0.13150000000000001</v>
      </c>
      <c r="F37" s="77">
        <f>TRUNC(25.63,2)</f>
        <v>25.63</v>
      </c>
      <c r="G37" s="77">
        <f>TRUNC(E37*F37,2)</f>
        <v>3.37</v>
      </c>
      <c r="H37" s="77"/>
      <c r="I37" s="68"/>
      <c r="K37" s="78"/>
    </row>
    <row r="38" spans="1:11" ht="15">
      <c r="A38" s="72"/>
      <c r="B38" s="73"/>
      <c r="C38" s="74"/>
      <c r="D38" s="75"/>
      <c r="E38" s="76" t="s">
        <v>132</v>
      </c>
      <c r="F38" s="77"/>
      <c r="G38" s="77">
        <f>TRUNC(SUM(G36:G37),2)</f>
        <v>8.6300000000000008</v>
      </c>
      <c r="H38" s="77"/>
      <c r="I38" s="68"/>
      <c r="K38" s="78"/>
    </row>
    <row r="39" spans="1:11" s="70" customFormat="1" ht="30">
      <c r="A39" s="14" t="s">
        <v>38</v>
      </c>
      <c r="B39" s="15" t="s">
        <v>39</v>
      </c>
      <c r="C39" s="16" t="s">
        <v>40</v>
      </c>
      <c r="D39" s="17" t="s">
        <v>10</v>
      </c>
      <c r="E39" s="18">
        <v>6</v>
      </c>
      <c r="F39" s="19">
        <f>TRUNC(G42,2)</f>
        <v>8.33</v>
      </c>
      <c r="G39" s="19">
        <f>TRUNC(F39*1.2882,2)</f>
        <v>10.73</v>
      </c>
      <c r="H39" s="19">
        <f>TRUNC(F39*E39,2)</f>
        <v>49.98</v>
      </c>
      <c r="I39" s="69">
        <f>TRUNC(E39*G39,2)</f>
        <v>64.38</v>
      </c>
      <c r="K39" s="71"/>
    </row>
    <row r="40" spans="1:11" ht="15">
      <c r="A40" s="72"/>
      <c r="B40" s="73" t="s">
        <v>167</v>
      </c>
      <c r="C40" s="74" t="s">
        <v>168</v>
      </c>
      <c r="D40" s="75" t="s">
        <v>162</v>
      </c>
      <c r="E40" s="76">
        <v>0.25140000000000001</v>
      </c>
      <c r="F40" s="77">
        <f>TRUNC(20.38,2)</f>
        <v>20.38</v>
      </c>
      <c r="G40" s="77">
        <f>TRUNC(E40*F40,2)</f>
        <v>5.12</v>
      </c>
      <c r="H40" s="77"/>
      <c r="I40" s="68"/>
      <c r="K40" s="78"/>
    </row>
    <row r="41" spans="1:11" ht="15">
      <c r="A41" s="72"/>
      <c r="B41" s="73" t="s">
        <v>176</v>
      </c>
      <c r="C41" s="74" t="s">
        <v>177</v>
      </c>
      <c r="D41" s="75" t="s">
        <v>162</v>
      </c>
      <c r="E41" s="76">
        <v>0.128</v>
      </c>
      <c r="F41" s="77">
        <f>TRUNC(25.14,2)</f>
        <v>25.14</v>
      </c>
      <c r="G41" s="77">
        <f>TRUNC(E41*F41,2)</f>
        <v>3.21</v>
      </c>
      <c r="H41" s="77"/>
      <c r="I41" s="68"/>
      <c r="K41" s="78"/>
    </row>
    <row r="42" spans="1:11" ht="15">
      <c r="A42" s="72"/>
      <c r="B42" s="73"/>
      <c r="C42" s="74"/>
      <c r="D42" s="75"/>
      <c r="E42" s="76" t="s">
        <v>132</v>
      </c>
      <c r="F42" s="77"/>
      <c r="G42" s="77">
        <f>TRUNC(SUM(G40:G41),2)</f>
        <v>8.33</v>
      </c>
      <c r="H42" s="77"/>
      <c r="I42" s="68"/>
      <c r="K42" s="78"/>
    </row>
    <row r="43" spans="1:11" ht="30" customHeight="1">
      <c r="A43" s="14" t="s">
        <v>178</v>
      </c>
      <c r="B43" s="15" t="s">
        <v>141</v>
      </c>
      <c r="C43" s="16" t="s">
        <v>41</v>
      </c>
      <c r="D43" s="17" t="s">
        <v>10</v>
      </c>
      <c r="E43" s="18">
        <v>10</v>
      </c>
      <c r="F43" s="19">
        <f>TRUNC(G47,2)</f>
        <v>11.43</v>
      </c>
      <c r="G43" s="19">
        <f>TRUNC(F43*1.2882,2)</f>
        <v>14.72</v>
      </c>
      <c r="H43" s="19">
        <f>TRUNC(F43*E43,2)</f>
        <v>114.3</v>
      </c>
      <c r="I43" s="69">
        <f>TRUNC(E43*G43,2)</f>
        <v>147.19999999999999</v>
      </c>
      <c r="K43" s="78"/>
    </row>
    <row r="44" spans="1:11" ht="15.95" customHeight="1">
      <c r="A44" s="80"/>
      <c r="B44" s="81" t="s">
        <v>141</v>
      </c>
      <c r="C44" s="82" t="s">
        <v>179</v>
      </c>
      <c r="D44" s="83" t="s">
        <v>10</v>
      </c>
      <c r="E44" s="84">
        <v>1</v>
      </c>
      <c r="F44" s="85">
        <f>G47</f>
        <v>11.43</v>
      </c>
      <c r="G44" s="86">
        <f>TRUNC(E44*F44,2)</f>
        <v>11.43</v>
      </c>
      <c r="H44" s="87"/>
      <c r="I44" s="88"/>
      <c r="K44" s="78"/>
    </row>
    <row r="45" spans="1:11" ht="15.95" customHeight="1">
      <c r="A45" s="80"/>
      <c r="B45" s="81" t="s">
        <v>167</v>
      </c>
      <c r="C45" s="82" t="s">
        <v>168</v>
      </c>
      <c r="D45" s="83" t="s">
        <v>162</v>
      </c>
      <c r="E45" s="84">
        <v>0.3448</v>
      </c>
      <c r="F45" s="85">
        <f>TRUNC(20.38,2)</f>
        <v>20.38</v>
      </c>
      <c r="G45" s="86">
        <f>TRUNC(E45*F45,2)</f>
        <v>7.02</v>
      </c>
      <c r="H45" s="87"/>
      <c r="I45" s="88"/>
      <c r="K45" s="78"/>
    </row>
    <row r="46" spans="1:11" ht="15.95" customHeight="1">
      <c r="A46" s="80"/>
      <c r="B46" s="81" t="s">
        <v>176</v>
      </c>
      <c r="C46" s="82" t="s">
        <v>177</v>
      </c>
      <c r="D46" s="83" t="s">
        <v>162</v>
      </c>
      <c r="E46" s="84">
        <v>0.17549999999999999</v>
      </c>
      <c r="F46" s="85">
        <f>TRUNC(25.14,2)</f>
        <v>25.14</v>
      </c>
      <c r="G46" s="86">
        <f>TRUNC(E46*F46,2)</f>
        <v>4.41</v>
      </c>
      <c r="H46" s="87"/>
      <c r="I46" s="88"/>
      <c r="K46" s="78"/>
    </row>
    <row r="47" spans="1:11" ht="15.95" customHeight="1">
      <c r="A47" s="80"/>
      <c r="B47" s="81"/>
      <c r="C47" s="82"/>
      <c r="D47" s="83"/>
      <c r="E47" s="84" t="s">
        <v>132</v>
      </c>
      <c r="F47" s="85"/>
      <c r="G47" s="86">
        <f>TRUNC(SUM(G45:G46),2)</f>
        <v>11.43</v>
      </c>
      <c r="H47" s="87"/>
      <c r="I47" s="88"/>
      <c r="K47" s="78"/>
    </row>
    <row r="48" spans="1:11" ht="30" customHeight="1">
      <c r="A48" s="14" t="s">
        <v>42</v>
      </c>
      <c r="B48" s="15" t="s">
        <v>142</v>
      </c>
      <c r="C48" s="16" t="s">
        <v>180</v>
      </c>
      <c r="D48" s="17" t="s">
        <v>43</v>
      </c>
      <c r="E48" s="18">
        <v>33</v>
      </c>
      <c r="F48" s="19">
        <f>TRUNC(G52,2)</f>
        <v>32.369999999999997</v>
      </c>
      <c r="G48" s="19">
        <f>TRUNC(F48*1.2882,2)</f>
        <v>41.69</v>
      </c>
      <c r="H48" s="19">
        <f>TRUNC(F48*E48,2)</f>
        <v>1068.21</v>
      </c>
      <c r="I48" s="69">
        <f>TRUNC(E48*G48,2)</f>
        <v>1375.77</v>
      </c>
      <c r="K48" s="78"/>
    </row>
    <row r="49" spans="1:16" ht="30">
      <c r="A49" s="80"/>
      <c r="B49" s="81" t="s">
        <v>181</v>
      </c>
      <c r="C49" s="82" t="s">
        <v>182</v>
      </c>
      <c r="D49" s="83" t="s">
        <v>22</v>
      </c>
      <c r="E49" s="84">
        <v>1</v>
      </c>
      <c r="F49" s="85">
        <f>G52</f>
        <v>32.369999999999997</v>
      </c>
      <c r="G49" s="86">
        <f>TRUNC(E49*F49,2)</f>
        <v>32.369999999999997</v>
      </c>
      <c r="H49" s="87"/>
      <c r="I49" s="88"/>
      <c r="K49" s="78"/>
    </row>
    <row r="50" spans="1:16" ht="15.95" customHeight="1">
      <c r="A50" s="80"/>
      <c r="B50" s="81" t="s">
        <v>183</v>
      </c>
      <c r="C50" s="82" t="s">
        <v>184</v>
      </c>
      <c r="D50" s="83" t="s">
        <v>162</v>
      </c>
      <c r="E50" s="84">
        <v>1</v>
      </c>
      <c r="F50" s="85">
        <f>TRUNC(18.77,2)</f>
        <v>18.77</v>
      </c>
      <c r="G50" s="86">
        <f>TRUNC(E50*F50,2)</f>
        <v>18.77</v>
      </c>
      <c r="H50" s="87"/>
      <c r="I50" s="88"/>
      <c r="K50" s="78"/>
    </row>
    <row r="51" spans="1:16" ht="15.95" customHeight="1">
      <c r="A51" s="80"/>
      <c r="B51" s="81" t="s">
        <v>160</v>
      </c>
      <c r="C51" s="82" t="s">
        <v>161</v>
      </c>
      <c r="D51" s="83" t="s">
        <v>162</v>
      </c>
      <c r="E51" s="84">
        <v>1</v>
      </c>
      <c r="F51" s="85">
        <f>TRUNC(13.6,2)</f>
        <v>13.6</v>
      </c>
      <c r="G51" s="86">
        <f>TRUNC(E51*F51,2)</f>
        <v>13.6</v>
      </c>
      <c r="H51" s="87"/>
      <c r="I51" s="88"/>
      <c r="K51" s="78"/>
    </row>
    <row r="52" spans="1:16" ht="15.95" customHeight="1">
      <c r="A52" s="80"/>
      <c r="B52" s="81"/>
      <c r="C52" s="82"/>
      <c r="D52" s="83"/>
      <c r="E52" s="84" t="s">
        <v>132</v>
      </c>
      <c r="F52" s="85"/>
      <c r="G52" s="86">
        <f>TRUNC(SUM(G50:G51),2)</f>
        <v>32.369999999999997</v>
      </c>
      <c r="H52" s="87"/>
      <c r="I52" s="88"/>
      <c r="K52" s="78"/>
    </row>
    <row r="53" spans="1:16" s="295" customFormat="1" ht="15.75">
      <c r="A53" s="287" t="s">
        <v>44</v>
      </c>
      <c r="B53" s="288"/>
      <c r="C53" s="289" t="s">
        <v>45</v>
      </c>
      <c r="D53" s="290"/>
      <c r="E53" s="291"/>
      <c r="F53" s="291"/>
      <c r="G53" s="292"/>
      <c r="H53" s="293">
        <f>H13+H20+H23+H27+H31+H35+H39+H43+H48</f>
        <v>4779.3</v>
      </c>
      <c r="I53" s="294">
        <f>I13+I20+I23+I27+I31+I35+I39+I43+I48</f>
        <v>6155.83</v>
      </c>
      <c r="K53" s="296"/>
    </row>
    <row r="54" spans="1:16" ht="15.75">
      <c r="A54" s="89" t="s">
        <v>46</v>
      </c>
      <c r="B54" s="90"/>
      <c r="C54" s="91" t="s">
        <v>47</v>
      </c>
      <c r="D54" s="92"/>
      <c r="E54" s="93"/>
      <c r="F54" s="93"/>
      <c r="G54" s="93"/>
      <c r="H54" s="93"/>
      <c r="I54" s="94"/>
      <c r="K54" s="95"/>
      <c r="L54" s="96"/>
      <c r="M54" s="97"/>
      <c r="N54" s="98"/>
      <c r="O54" s="99"/>
      <c r="P54" s="99"/>
    </row>
    <row r="55" spans="1:16" s="70" customFormat="1" ht="45">
      <c r="A55" s="100" t="s">
        <v>48</v>
      </c>
      <c r="B55" s="14" t="s">
        <v>49</v>
      </c>
      <c r="C55" s="101" t="s">
        <v>50</v>
      </c>
      <c r="D55" s="100" t="s">
        <v>22</v>
      </c>
      <c r="E55" s="102">
        <v>32.78</v>
      </c>
      <c r="F55" s="19">
        <f>TRUNC(G61,2)</f>
        <v>50.11</v>
      </c>
      <c r="G55" s="19">
        <f>TRUNC(F55*1.2882,2)</f>
        <v>64.55</v>
      </c>
      <c r="H55" s="19">
        <f>TRUNC(E55*F55,2)</f>
        <v>1642.6</v>
      </c>
      <c r="I55" s="69">
        <f>TRUNC(E55*G55,2)</f>
        <v>2115.94</v>
      </c>
      <c r="K55" s="103"/>
      <c r="L55" s="104"/>
      <c r="M55" s="105"/>
      <c r="N55" s="106"/>
      <c r="O55" s="107"/>
      <c r="P55" s="107"/>
    </row>
    <row r="56" spans="1:16" ht="15">
      <c r="A56" s="72"/>
      <c r="B56" s="73" t="s">
        <v>185</v>
      </c>
      <c r="C56" s="74" t="s">
        <v>186</v>
      </c>
      <c r="D56" s="75" t="s">
        <v>157</v>
      </c>
      <c r="E56" s="76">
        <v>0.24</v>
      </c>
      <c r="F56" s="77">
        <v>4.1100000000000003</v>
      </c>
      <c r="G56" s="77">
        <f>TRUNC(E56*F56,2)</f>
        <v>0.98</v>
      </c>
      <c r="H56" s="77"/>
      <c r="I56" s="68"/>
      <c r="K56" s="78"/>
    </row>
    <row r="57" spans="1:16" ht="15">
      <c r="A57" s="72"/>
      <c r="B57" s="73" t="s">
        <v>187</v>
      </c>
      <c r="C57" s="74" t="s">
        <v>188</v>
      </c>
      <c r="D57" s="75" t="s">
        <v>157</v>
      </c>
      <c r="E57" s="76">
        <v>4.8600000000000003</v>
      </c>
      <c r="F57" s="77">
        <v>0.7</v>
      </c>
      <c r="G57" s="77">
        <f>TRUNC(E57*F57,2)</f>
        <v>3.4</v>
      </c>
      <c r="H57" s="77"/>
      <c r="I57" s="79"/>
      <c r="K57" s="78"/>
    </row>
    <row r="58" spans="1:16" ht="30">
      <c r="A58" s="72"/>
      <c r="B58" s="73" t="s">
        <v>189</v>
      </c>
      <c r="C58" s="74" t="s">
        <v>190</v>
      </c>
      <c r="D58" s="75" t="s">
        <v>22</v>
      </c>
      <c r="E58" s="76">
        <v>1.06</v>
      </c>
      <c r="F58" s="77">
        <v>34.299999999999997</v>
      </c>
      <c r="G58" s="77">
        <f>TRUNC(E58*F58,2)</f>
        <v>36.35</v>
      </c>
      <c r="H58" s="77"/>
      <c r="I58" s="79"/>
      <c r="K58" s="78"/>
    </row>
    <row r="59" spans="1:16" ht="15">
      <c r="A59" s="72"/>
      <c r="B59" s="73" t="s">
        <v>167</v>
      </c>
      <c r="C59" s="74" t="s">
        <v>168</v>
      </c>
      <c r="D59" s="75" t="s">
        <v>162</v>
      </c>
      <c r="E59" s="76">
        <v>0.15</v>
      </c>
      <c r="F59" s="77">
        <f>TRUNC(20.11,2)</f>
        <v>20.11</v>
      </c>
      <c r="G59" s="77">
        <f>TRUNC(E59*F59,2)</f>
        <v>3.01</v>
      </c>
      <c r="H59" s="77"/>
      <c r="I59" s="79"/>
      <c r="K59" s="78"/>
    </row>
    <row r="60" spans="1:16" ht="15">
      <c r="A60" s="72"/>
      <c r="B60" s="73" t="s">
        <v>191</v>
      </c>
      <c r="C60" s="74" t="s">
        <v>192</v>
      </c>
      <c r="D60" s="75" t="s">
        <v>162</v>
      </c>
      <c r="E60" s="76">
        <v>0.24</v>
      </c>
      <c r="F60" s="77">
        <f>TRUNC(26.57,2)</f>
        <v>26.57</v>
      </c>
      <c r="G60" s="77">
        <f>TRUNC(E60*F60,2)</f>
        <v>6.37</v>
      </c>
      <c r="H60" s="77"/>
      <c r="I60" s="79"/>
      <c r="K60" s="78"/>
    </row>
    <row r="61" spans="1:16" ht="15">
      <c r="A61" s="72"/>
      <c r="B61" s="73"/>
      <c r="C61" s="74"/>
      <c r="D61" s="75"/>
      <c r="E61" s="76" t="s">
        <v>132</v>
      </c>
      <c r="F61" s="77"/>
      <c r="G61" s="77">
        <f>TRUNC(SUM(G56:G60),2)</f>
        <v>50.11</v>
      </c>
      <c r="H61" s="77"/>
      <c r="I61" s="79"/>
      <c r="K61" s="78"/>
    </row>
    <row r="62" spans="1:16" s="70" customFormat="1" ht="45">
      <c r="A62" s="100" t="s">
        <v>51</v>
      </c>
      <c r="B62" s="14" t="s">
        <v>52</v>
      </c>
      <c r="C62" s="101" t="s">
        <v>53</v>
      </c>
      <c r="D62" s="100" t="s">
        <v>22</v>
      </c>
      <c r="E62" s="102">
        <v>90.24</v>
      </c>
      <c r="F62" s="19">
        <f>TRUNC(G68,2)</f>
        <v>74.33</v>
      </c>
      <c r="G62" s="19">
        <f>TRUNC(F62*1.2882,2)</f>
        <v>95.75</v>
      </c>
      <c r="H62" s="19">
        <f>TRUNC(E62*F62,2)</f>
        <v>6707.53</v>
      </c>
      <c r="I62" s="69">
        <f>TRUNC(E62*G62,2)</f>
        <v>8640.48</v>
      </c>
      <c r="K62" s="103"/>
      <c r="L62" s="104"/>
      <c r="M62" s="105"/>
      <c r="N62" s="106"/>
      <c r="O62" s="107"/>
      <c r="P62" s="107"/>
    </row>
    <row r="63" spans="1:16" ht="15">
      <c r="A63" s="72"/>
      <c r="B63" s="73" t="s">
        <v>185</v>
      </c>
      <c r="C63" s="74" t="s">
        <v>186</v>
      </c>
      <c r="D63" s="75" t="s">
        <v>157</v>
      </c>
      <c r="E63" s="76">
        <v>0.42</v>
      </c>
      <c r="F63" s="77">
        <v>4.1100000000000003</v>
      </c>
      <c r="G63" s="77">
        <f>TRUNC(E63*F63,2)</f>
        <v>1.72</v>
      </c>
      <c r="H63" s="77"/>
      <c r="I63" s="79"/>
      <c r="K63" s="78"/>
    </row>
    <row r="64" spans="1:16" ht="15">
      <c r="A64" s="72"/>
      <c r="B64" s="73" t="s">
        <v>187</v>
      </c>
      <c r="C64" s="74" t="s">
        <v>188</v>
      </c>
      <c r="D64" s="75" t="s">
        <v>157</v>
      </c>
      <c r="E64" s="76">
        <v>4.8600000000000003</v>
      </c>
      <c r="F64" s="77">
        <v>0.7</v>
      </c>
      <c r="G64" s="77">
        <f>TRUNC(E64*F64,2)</f>
        <v>3.4</v>
      </c>
      <c r="H64" s="77"/>
      <c r="I64" s="79"/>
      <c r="K64" s="78"/>
    </row>
    <row r="65" spans="1:11" ht="30">
      <c r="A65" s="72"/>
      <c r="B65" s="73" t="s">
        <v>193</v>
      </c>
      <c r="C65" s="74" t="s">
        <v>194</v>
      </c>
      <c r="D65" s="75" t="s">
        <v>22</v>
      </c>
      <c r="E65" s="76">
        <v>1.06</v>
      </c>
      <c r="F65" s="77">
        <v>40.74</v>
      </c>
      <c r="G65" s="77">
        <f>TRUNC(E65*F65,2)</f>
        <v>43.18</v>
      </c>
      <c r="H65" s="77"/>
      <c r="I65" s="79"/>
      <c r="K65" s="78"/>
    </row>
    <row r="66" spans="1:11" ht="15">
      <c r="A66" s="72"/>
      <c r="B66" s="73" t="s">
        <v>167</v>
      </c>
      <c r="C66" s="74" t="s">
        <v>168</v>
      </c>
      <c r="D66" s="75" t="s">
        <v>162</v>
      </c>
      <c r="E66" s="76">
        <v>0.37</v>
      </c>
      <c r="F66" s="77">
        <f>TRUNC(20.11,2)</f>
        <v>20.11</v>
      </c>
      <c r="G66" s="77">
        <f>TRUNC(E66*F66,2)</f>
        <v>7.44</v>
      </c>
      <c r="H66" s="77"/>
      <c r="I66" s="79"/>
      <c r="K66" s="78"/>
    </row>
    <row r="67" spans="1:11" ht="15">
      <c r="A67" s="72"/>
      <c r="B67" s="73" t="s">
        <v>191</v>
      </c>
      <c r="C67" s="74" t="s">
        <v>192</v>
      </c>
      <c r="D67" s="75" t="s">
        <v>162</v>
      </c>
      <c r="E67" s="76">
        <v>0.7</v>
      </c>
      <c r="F67" s="77">
        <f>TRUNC(26.57,2)</f>
        <v>26.57</v>
      </c>
      <c r="G67" s="77">
        <f>TRUNC(E67*F67,2)</f>
        <v>18.59</v>
      </c>
      <c r="H67" s="77"/>
      <c r="I67" s="79"/>
      <c r="K67" s="78"/>
    </row>
    <row r="68" spans="1:11" ht="15">
      <c r="A68" s="72"/>
      <c r="B68" s="73"/>
      <c r="C68" s="74"/>
      <c r="D68" s="75"/>
      <c r="E68" s="76" t="s">
        <v>132</v>
      </c>
      <c r="F68" s="77"/>
      <c r="G68" s="77">
        <f>TRUNC(SUM(G63:G67),2)</f>
        <v>74.33</v>
      </c>
      <c r="H68" s="77"/>
      <c r="I68" s="79"/>
      <c r="K68" s="78"/>
    </row>
    <row r="69" spans="1:11" ht="30">
      <c r="A69" s="100" t="s">
        <v>54</v>
      </c>
      <c r="B69" s="108" t="s">
        <v>55</v>
      </c>
      <c r="C69" s="109" t="s">
        <v>56</v>
      </c>
      <c r="D69" s="20" t="s">
        <v>22</v>
      </c>
      <c r="E69" s="69">
        <v>40.58</v>
      </c>
      <c r="F69" s="69">
        <f>TRUNC(G81,2)</f>
        <v>72.989999999999995</v>
      </c>
      <c r="G69" s="19">
        <f>TRUNC(F69*1.2882,2)</f>
        <v>94.02</v>
      </c>
      <c r="H69" s="19">
        <f>TRUNC(E69*F69,2)</f>
        <v>2961.93</v>
      </c>
      <c r="I69" s="69">
        <f>TRUNC(E69*G69,2)</f>
        <v>3815.33</v>
      </c>
    </row>
    <row r="70" spans="1:11" ht="30">
      <c r="A70" s="110"/>
      <c r="B70" s="111" t="s">
        <v>195</v>
      </c>
      <c r="C70" s="112" t="s">
        <v>196</v>
      </c>
      <c r="D70" s="113" t="s">
        <v>157</v>
      </c>
      <c r="E70" s="79">
        <v>4.2599999999999999E-2</v>
      </c>
      <c r="F70" s="79">
        <v>28.11</v>
      </c>
      <c r="G70" s="79">
        <f t="shared" ref="G70:G80" si="0">TRUNC(E70*F70,2)</f>
        <v>1.19</v>
      </c>
      <c r="H70" s="79"/>
      <c r="I70" s="114"/>
    </row>
    <row r="71" spans="1:11" ht="15">
      <c r="A71" s="110"/>
      <c r="B71" s="111" t="s">
        <v>197</v>
      </c>
      <c r="C71" s="112" t="s">
        <v>198</v>
      </c>
      <c r="D71" s="113" t="s">
        <v>199</v>
      </c>
      <c r="E71" s="79">
        <v>1.32E-2</v>
      </c>
      <c r="F71" s="79">
        <v>33.83</v>
      </c>
      <c r="G71" s="79">
        <f t="shared" si="0"/>
        <v>0.44</v>
      </c>
      <c r="H71" s="79"/>
      <c r="I71" s="114"/>
    </row>
    <row r="72" spans="1:11" ht="30">
      <c r="A72" s="110"/>
      <c r="B72" s="111" t="s">
        <v>200</v>
      </c>
      <c r="C72" s="112" t="s">
        <v>201</v>
      </c>
      <c r="D72" s="113" t="s">
        <v>10</v>
      </c>
      <c r="E72" s="79">
        <v>2.1911999999999998</v>
      </c>
      <c r="F72" s="79">
        <v>0.3</v>
      </c>
      <c r="G72" s="79">
        <f t="shared" si="0"/>
        <v>0.65</v>
      </c>
      <c r="H72" s="79"/>
      <c r="I72" s="114"/>
    </row>
    <row r="73" spans="1:11" ht="30">
      <c r="A73" s="110"/>
      <c r="B73" s="111" t="s">
        <v>202</v>
      </c>
      <c r="C73" s="112" t="s">
        <v>203</v>
      </c>
      <c r="D73" s="113" t="s">
        <v>10</v>
      </c>
      <c r="E73" s="79">
        <v>7.9740000000000002</v>
      </c>
      <c r="F73" s="79">
        <v>0.13</v>
      </c>
      <c r="G73" s="79">
        <f t="shared" si="0"/>
        <v>1.03</v>
      </c>
      <c r="H73" s="79"/>
      <c r="I73" s="114"/>
    </row>
    <row r="74" spans="1:11" ht="45">
      <c r="A74" s="110"/>
      <c r="B74" s="111" t="s">
        <v>204</v>
      </c>
      <c r="C74" s="112" t="s">
        <v>205</v>
      </c>
      <c r="D74" s="113" t="s">
        <v>157</v>
      </c>
      <c r="E74" s="79">
        <v>0.5202</v>
      </c>
      <c r="F74" s="79">
        <v>3.03</v>
      </c>
      <c r="G74" s="79">
        <f t="shared" si="0"/>
        <v>1.57</v>
      </c>
      <c r="H74" s="79"/>
      <c r="I74" s="114"/>
    </row>
    <row r="75" spans="1:11" ht="30">
      <c r="A75" s="110"/>
      <c r="B75" s="111" t="s">
        <v>206</v>
      </c>
      <c r="C75" s="112" t="s">
        <v>207</v>
      </c>
      <c r="D75" s="113" t="s">
        <v>88</v>
      </c>
      <c r="E75" s="79">
        <v>1.4395</v>
      </c>
      <c r="F75" s="79">
        <v>2.42</v>
      </c>
      <c r="G75" s="79">
        <f t="shared" si="0"/>
        <v>3.48</v>
      </c>
      <c r="H75" s="79"/>
      <c r="I75" s="114"/>
    </row>
    <row r="76" spans="1:11" ht="45">
      <c r="A76" s="110"/>
      <c r="B76" s="111" t="s">
        <v>208</v>
      </c>
      <c r="C76" s="112" t="s">
        <v>209</v>
      </c>
      <c r="D76" s="113" t="s">
        <v>10</v>
      </c>
      <c r="E76" s="79">
        <v>1.3265</v>
      </c>
      <c r="F76" s="79">
        <v>2.5</v>
      </c>
      <c r="G76" s="79">
        <f t="shared" si="0"/>
        <v>3.31</v>
      </c>
      <c r="H76" s="79"/>
      <c r="I76" s="114"/>
    </row>
    <row r="77" spans="1:11" ht="30">
      <c r="A77" s="110"/>
      <c r="B77" s="111" t="s">
        <v>210</v>
      </c>
      <c r="C77" s="112" t="s">
        <v>211</v>
      </c>
      <c r="D77" s="113" t="s">
        <v>88</v>
      </c>
      <c r="E77" s="79">
        <v>3.851</v>
      </c>
      <c r="F77" s="79">
        <v>6.64</v>
      </c>
      <c r="G77" s="79">
        <f t="shared" si="0"/>
        <v>25.57</v>
      </c>
      <c r="H77" s="79"/>
      <c r="I77" s="114"/>
    </row>
    <row r="78" spans="1:11" ht="30">
      <c r="A78" s="110"/>
      <c r="B78" s="111" t="s">
        <v>212</v>
      </c>
      <c r="C78" s="112" t="s">
        <v>213</v>
      </c>
      <c r="D78" s="113" t="s">
        <v>22</v>
      </c>
      <c r="E78" s="79">
        <v>1.0966</v>
      </c>
      <c r="F78" s="79">
        <v>17.52</v>
      </c>
      <c r="G78" s="79">
        <f t="shared" si="0"/>
        <v>19.21</v>
      </c>
      <c r="H78" s="79"/>
      <c r="I78" s="114"/>
    </row>
    <row r="79" spans="1:11" ht="15">
      <c r="A79" s="110"/>
      <c r="B79" s="111" t="s">
        <v>167</v>
      </c>
      <c r="C79" s="112" t="s">
        <v>168</v>
      </c>
      <c r="D79" s="113" t="s">
        <v>162</v>
      </c>
      <c r="E79" s="79">
        <v>0.36280000000000001</v>
      </c>
      <c r="F79" s="79">
        <f>TRUNC(20.11,2)</f>
        <v>20.11</v>
      </c>
      <c r="G79" s="79">
        <f t="shared" si="0"/>
        <v>7.29</v>
      </c>
      <c r="H79" s="79"/>
      <c r="I79" s="114"/>
    </row>
    <row r="80" spans="1:11" ht="15">
      <c r="A80" s="110"/>
      <c r="B80" s="111" t="s">
        <v>169</v>
      </c>
      <c r="C80" s="112" t="s">
        <v>170</v>
      </c>
      <c r="D80" s="113" t="s">
        <v>162</v>
      </c>
      <c r="E80" s="79">
        <v>0.36280000000000001</v>
      </c>
      <c r="F80" s="79">
        <f>TRUNC(25.5,2)</f>
        <v>25.5</v>
      </c>
      <c r="G80" s="79">
        <f t="shared" si="0"/>
        <v>9.25</v>
      </c>
      <c r="H80" s="79"/>
      <c r="I80" s="114"/>
    </row>
    <row r="81" spans="1:11" ht="15">
      <c r="A81" s="110"/>
      <c r="B81" s="111"/>
      <c r="C81" s="112"/>
      <c r="D81" s="113"/>
      <c r="E81" s="79" t="s">
        <v>132</v>
      </c>
      <c r="F81" s="79"/>
      <c r="G81" s="79">
        <f>TRUNC(SUM(G70:G80),2)</f>
        <v>72.989999999999995</v>
      </c>
      <c r="H81" s="79"/>
      <c r="I81" s="114"/>
    </row>
    <row r="82" spans="1:11" s="295" customFormat="1" ht="15.75">
      <c r="A82" s="287" t="s">
        <v>44</v>
      </c>
      <c r="B82" s="288"/>
      <c r="C82" s="289" t="s">
        <v>57</v>
      </c>
      <c r="D82" s="290"/>
      <c r="E82" s="291"/>
      <c r="F82" s="291"/>
      <c r="G82" s="292"/>
      <c r="H82" s="293">
        <f>H55+H62+H69</f>
        <v>11312.06</v>
      </c>
      <c r="I82" s="294">
        <f>I55+I62+I69</f>
        <v>14571.75</v>
      </c>
      <c r="K82" s="296"/>
    </row>
    <row r="83" spans="1:11" s="117" customFormat="1" ht="15.75">
      <c r="A83" s="89" t="s">
        <v>58</v>
      </c>
      <c r="B83" s="115"/>
      <c r="C83" s="116" t="s">
        <v>59</v>
      </c>
      <c r="D83" s="245"/>
      <c r="E83" s="246"/>
      <c r="F83" s="246"/>
      <c r="G83" s="246"/>
      <c r="H83" s="246"/>
      <c r="I83" s="247"/>
    </row>
    <row r="84" spans="1:11" ht="30">
      <c r="A84" s="100" t="s">
        <v>60</v>
      </c>
      <c r="B84" s="108" t="s">
        <v>61</v>
      </c>
      <c r="C84" s="109" t="s">
        <v>214</v>
      </c>
      <c r="D84" s="20" t="s">
        <v>22</v>
      </c>
      <c r="E84" s="69">
        <v>33.5</v>
      </c>
      <c r="F84" s="69">
        <f>TRUNC(G88,2)</f>
        <v>9.7100000000000009</v>
      </c>
      <c r="G84" s="19">
        <f>TRUNC(F84*1.2882,2)</f>
        <v>12.5</v>
      </c>
      <c r="H84" s="19">
        <f>TRUNC(E84*F84,2)</f>
        <v>325.27999999999997</v>
      </c>
      <c r="I84" s="19">
        <f>TRUNC(E84*G84,2)</f>
        <v>418.75</v>
      </c>
    </row>
    <row r="85" spans="1:11" ht="15">
      <c r="A85" s="72"/>
      <c r="B85" s="73" t="s">
        <v>215</v>
      </c>
      <c r="C85" s="74" t="s">
        <v>216</v>
      </c>
      <c r="D85" s="75" t="s">
        <v>217</v>
      </c>
      <c r="E85" s="76">
        <v>0.33</v>
      </c>
      <c r="F85" s="77">
        <v>16.170000000000002</v>
      </c>
      <c r="G85" s="77">
        <f>TRUNC(E85*F85,2)</f>
        <v>5.33</v>
      </c>
      <c r="H85" s="77"/>
      <c r="I85" s="79"/>
      <c r="K85" s="78"/>
    </row>
    <row r="86" spans="1:11" ht="15">
      <c r="A86" s="72"/>
      <c r="B86" s="73" t="s">
        <v>167</v>
      </c>
      <c r="C86" s="74" t="s">
        <v>168</v>
      </c>
      <c r="D86" s="75" t="s">
        <v>162</v>
      </c>
      <c r="E86" s="76">
        <v>4.8000000000000001E-2</v>
      </c>
      <c r="F86" s="77">
        <f>TRUNC(20.11,2)</f>
        <v>20.11</v>
      </c>
      <c r="G86" s="77">
        <f>TRUNC(E86*F86,2)</f>
        <v>0.96</v>
      </c>
      <c r="H86" s="77"/>
      <c r="I86" s="79"/>
      <c r="K86" s="78"/>
    </row>
    <row r="87" spans="1:11" ht="15">
      <c r="A87" s="72"/>
      <c r="B87" s="73" t="s">
        <v>218</v>
      </c>
      <c r="C87" s="74" t="s">
        <v>219</v>
      </c>
      <c r="D87" s="75" t="s">
        <v>162</v>
      </c>
      <c r="E87" s="76">
        <v>0.13</v>
      </c>
      <c r="F87" s="77">
        <f>TRUNC(26.36,2)</f>
        <v>26.36</v>
      </c>
      <c r="G87" s="77">
        <f>TRUNC(E87*F87,2)</f>
        <v>3.42</v>
      </c>
      <c r="H87" s="77"/>
      <c r="I87" s="79"/>
      <c r="K87" s="78"/>
    </row>
    <row r="88" spans="1:11" ht="15">
      <c r="A88" s="72"/>
      <c r="B88" s="73"/>
      <c r="C88" s="74"/>
      <c r="D88" s="75"/>
      <c r="E88" s="76" t="s">
        <v>132</v>
      </c>
      <c r="F88" s="77"/>
      <c r="G88" s="77">
        <f>TRUNC(SUM(G85:G87),2)</f>
        <v>9.7100000000000009</v>
      </c>
      <c r="H88" s="77"/>
      <c r="I88" s="79"/>
      <c r="K88" s="78"/>
    </row>
    <row r="89" spans="1:11" ht="30">
      <c r="A89" s="100" t="s">
        <v>62</v>
      </c>
      <c r="B89" s="108" t="s">
        <v>63</v>
      </c>
      <c r="C89" s="109" t="s">
        <v>64</v>
      </c>
      <c r="D89" s="20" t="s">
        <v>22</v>
      </c>
      <c r="E89" s="69">
        <v>40.58</v>
      </c>
      <c r="F89" s="69">
        <f>TRUNC(G93,2)</f>
        <v>11.05</v>
      </c>
      <c r="G89" s="19">
        <f>TRUNC(F89*1.2882,2)</f>
        <v>14.23</v>
      </c>
      <c r="H89" s="19">
        <f>TRUNC(E89*F89,2)</f>
        <v>448.4</v>
      </c>
      <c r="I89" s="19">
        <f>TRUNC(E89*G89,2)</f>
        <v>577.45000000000005</v>
      </c>
    </row>
    <row r="90" spans="1:11" ht="15">
      <c r="A90" s="110"/>
      <c r="B90" s="111" t="s">
        <v>215</v>
      </c>
      <c r="C90" s="112" t="s">
        <v>216</v>
      </c>
      <c r="D90" s="113" t="s">
        <v>217</v>
      </c>
      <c r="E90" s="79">
        <v>0.33</v>
      </c>
      <c r="F90" s="79">
        <v>16.170000000000002</v>
      </c>
      <c r="G90" s="79">
        <f>TRUNC(E90*F90,2)</f>
        <v>5.33</v>
      </c>
      <c r="H90" s="79"/>
      <c r="I90" s="114"/>
    </row>
    <row r="91" spans="1:11" ht="15">
      <c r="A91" s="110"/>
      <c r="B91" s="111" t="s">
        <v>167</v>
      </c>
      <c r="C91" s="112" t="s">
        <v>168</v>
      </c>
      <c r="D91" s="113" t="s">
        <v>162</v>
      </c>
      <c r="E91" s="79">
        <v>6.2E-2</v>
      </c>
      <c r="F91" s="79">
        <f>TRUNC(20.11,2)</f>
        <v>20.11</v>
      </c>
      <c r="G91" s="79">
        <f>TRUNC(E91*F91,2)</f>
        <v>1.24</v>
      </c>
      <c r="H91" s="79"/>
      <c r="I91" s="114"/>
    </row>
    <row r="92" spans="1:11" ht="15">
      <c r="A92" s="110"/>
      <c r="B92" s="111" t="s">
        <v>218</v>
      </c>
      <c r="C92" s="112" t="s">
        <v>219</v>
      </c>
      <c r="D92" s="113" t="s">
        <v>162</v>
      </c>
      <c r="E92" s="79">
        <v>0.17</v>
      </c>
      <c r="F92" s="79">
        <f>TRUNC(26.36,2)</f>
        <v>26.36</v>
      </c>
      <c r="G92" s="79">
        <f>TRUNC(E92*F92,2)</f>
        <v>4.4800000000000004</v>
      </c>
      <c r="H92" s="79"/>
      <c r="I92" s="114"/>
    </row>
    <row r="93" spans="1:11" ht="15">
      <c r="A93" s="110"/>
      <c r="B93" s="111"/>
      <c r="C93" s="112"/>
      <c r="D93" s="113"/>
      <c r="E93" s="79" t="s">
        <v>132</v>
      </c>
      <c r="F93" s="79"/>
      <c r="G93" s="79">
        <f>TRUNC(SUM(G90:G92),2)</f>
        <v>11.05</v>
      </c>
      <c r="H93" s="79"/>
      <c r="I93" s="114"/>
    </row>
    <row r="94" spans="1:11" ht="30">
      <c r="A94" s="100" t="s">
        <v>65</v>
      </c>
      <c r="B94" s="108" t="s">
        <v>66</v>
      </c>
      <c r="C94" s="109" t="s">
        <v>220</v>
      </c>
      <c r="D94" s="20" t="s">
        <v>22</v>
      </c>
      <c r="E94" s="69">
        <v>74.08</v>
      </c>
      <c r="F94" s="69">
        <f>TRUNC(G99,2)</f>
        <v>10.5</v>
      </c>
      <c r="G94" s="19">
        <f>TRUNC(F94*1.2882,2)</f>
        <v>13.52</v>
      </c>
      <c r="H94" s="19">
        <f>TRUNC(E94*F94,2)</f>
        <v>777.84</v>
      </c>
      <c r="I94" s="19">
        <f>TRUNC(E94*G94,2)</f>
        <v>1001.56</v>
      </c>
    </row>
    <row r="95" spans="1:11" ht="15">
      <c r="A95" s="110"/>
      <c r="B95" s="111" t="s">
        <v>221</v>
      </c>
      <c r="C95" s="112" t="s">
        <v>222</v>
      </c>
      <c r="D95" s="113" t="s">
        <v>223</v>
      </c>
      <c r="E95" s="79">
        <v>3.2800000000000003E-2</v>
      </c>
      <c r="F95" s="79">
        <v>77.900000000000006</v>
      </c>
      <c r="G95" s="79">
        <f>TRUNC(E95*F95,2)</f>
        <v>2.5499999999999998</v>
      </c>
      <c r="H95" s="79"/>
      <c r="I95" s="114"/>
    </row>
    <row r="96" spans="1:11" ht="15">
      <c r="A96" s="110"/>
      <c r="B96" s="111" t="s">
        <v>224</v>
      </c>
      <c r="C96" s="112" t="s">
        <v>225</v>
      </c>
      <c r="D96" s="113" t="s">
        <v>10</v>
      </c>
      <c r="E96" s="79">
        <v>0.06</v>
      </c>
      <c r="F96" s="79">
        <v>1.28</v>
      </c>
      <c r="G96" s="79">
        <f>TRUNC(E96*F96,2)</f>
        <v>7.0000000000000007E-2</v>
      </c>
      <c r="H96" s="79"/>
      <c r="I96" s="114"/>
    </row>
    <row r="97" spans="1:9" ht="15">
      <c r="A97" s="110"/>
      <c r="B97" s="111" t="s">
        <v>167</v>
      </c>
      <c r="C97" s="112" t="s">
        <v>168</v>
      </c>
      <c r="D97" s="113" t="s">
        <v>162</v>
      </c>
      <c r="E97" s="79">
        <v>8.5999999999999993E-2</v>
      </c>
      <c r="F97" s="79">
        <f>TRUNC(20.11,2)</f>
        <v>20.11</v>
      </c>
      <c r="G97" s="79">
        <f>TRUNC(E97*F97,2)</f>
        <v>1.72</v>
      </c>
      <c r="H97" s="79"/>
      <c r="I97" s="114"/>
    </row>
    <row r="98" spans="1:9" ht="15">
      <c r="A98" s="110"/>
      <c r="B98" s="111" t="s">
        <v>218</v>
      </c>
      <c r="C98" s="112" t="s">
        <v>219</v>
      </c>
      <c r="D98" s="113" t="s">
        <v>162</v>
      </c>
      <c r="E98" s="79">
        <v>0.23400000000000001</v>
      </c>
      <c r="F98" s="79">
        <f>TRUNC(26.36,2)</f>
        <v>26.36</v>
      </c>
      <c r="G98" s="79">
        <f>TRUNC(E98*F98,2)</f>
        <v>6.16</v>
      </c>
      <c r="H98" s="79"/>
      <c r="I98" s="114"/>
    </row>
    <row r="99" spans="1:9" ht="15">
      <c r="A99" s="110"/>
      <c r="B99" s="111"/>
      <c r="C99" s="112"/>
      <c r="D99" s="113"/>
      <c r="E99" s="79" t="s">
        <v>132</v>
      </c>
      <c r="F99" s="79"/>
      <c r="G99" s="79">
        <f>TRUNC(SUM(G95:G98),2)</f>
        <v>10.5</v>
      </c>
      <c r="H99" s="79"/>
      <c r="I99" s="114"/>
    </row>
    <row r="100" spans="1:9" ht="75">
      <c r="A100" s="100" t="s">
        <v>67</v>
      </c>
      <c r="B100" s="108" t="s">
        <v>68</v>
      </c>
      <c r="C100" s="109" t="s">
        <v>69</v>
      </c>
      <c r="D100" s="20" t="s">
        <v>22</v>
      </c>
      <c r="E100" s="69">
        <v>13.4</v>
      </c>
      <c r="F100" s="69">
        <f>TRUNC(G104,2)</f>
        <v>17.87</v>
      </c>
      <c r="G100" s="19">
        <f>TRUNC(F100*1.2882,2)</f>
        <v>23.02</v>
      </c>
      <c r="H100" s="19">
        <f>TRUNC(E100*F100,2)</f>
        <v>239.45</v>
      </c>
      <c r="I100" s="19">
        <f>TRUNC(E100*G100,2)</f>
        <v>308.45999999999998</v>
      </c>
    </row>
    <row r="101" spans="1:9" ht="15">
      <c r="A101" s="110"/>
      <c r="B101" s="111" t="s">
        <v>226</v>
      </c>
      <c r="C101" s="112" t="s">
        <v>227</v>
      </c>
      <c r="D101" s="113" t="s">
        <v>157</v>
      </c>
      <c r="E101" s="79">
        <v>2</v>
      </c>
      <c r="F101" s="79">
        <v>3.94</v>
      </c>
      <c r="G101" s="79">
        <f>TRUNC(E101*F101,2)</f>
        <v>7.88</v>
      </c>
      <c r="H101" s="79"/>
      <c r="I101" s="114"/>
    </row>
    <row r="102" spans="1:9" ht="30">
      <c r="A102" s="110"/>
      <c r="B102" s="111" t="s">
        <v>160</v>
      </c>
      <c r="C102" s="112" t="s">
        <v>161</v>
      </c>
      <c r="D102" s="113" t="s">
        <v>162</v>
      </c>
      <c r="E102" s="79">
        <v>0.309</v>
      </c>
      <c r="F102" s="79">
        <f>TRUNC(13.6,2)</f>
        <v>13.6</v>
      </c>
      <c r="G102" s="79">
        <f>TRUNC(E102*F102,2)</f>
        <v>4.2</v>
      </c>
      <c r="H102" s="79"/>
      <c r="I102" s="114"/>
    </row>
    <row r="103" spans="1:9" ht="15">
      <c r="A103" s="110"/>
      <c r="B103" s="111" t="s">
        <v>165</v>
      </c>
      <c r="C103" s="112" t="s">
        <v>166</v>
      </c>
      <c r="D103" s="113" t="s">
        <v>162</v>
      </c>
      <c r="E103" s="79">
        <v>0.309</v>
      </c>
      <c r="F103" s="79">
        <f>TRUNC(18.77,2)</f>
        <v>18.77</v>
      </c>
      <c r="G103" s="79">
        <f>TRUNC(E103*F103,2)</f>
        <v>5.79</v>
      </c>
      <c r="H103" s="79"/>
      <c r="I103" s="114"/>
    </row>
    <row r="104" spans="1:9" ht="15">
      <c r="A104" s="110"/>
      <c r="B104" s="111"/>
      <c r="C104" s="112"/>
      <c r="D104" s="113"/>
      <c r="E104" s="79" t="s">
        <v>132</v>
      </c>
      <c r="F104" s="79"/>
      <c r="G104" s="79">
        <f>TRUNC(SUM(G101:G103),2)</f>
        <v>17.87</v>
      </c>
      <c r="H104" s="79"/>
      <c r="I104" s="114"/>
    </row>
    <row r="105" spans="1:9" ht="15">
      <c r="A105" s="100" t="s">
        <v>70</v>
      </c>
      <c r="B105" s="108" t="s">
        <v>71</v>
      </c>
      <c r="C105" s="109" t="s">
        <v>72</v>
      </c>
      <c r="D105" s="20" t="s">
        <v>22</v>
      </c>
      <c r="E105" s="69">
        <v>33</v>
      </c>
      <c r="F105" s="69">
        <f>TRUNC(G108,2)</f>
        <v>9.1199999999999992</v>
      </c>
      <c r="G105" s="19">
        <f>TRUNC(F105*1.2882,2)</f>
        <v>11.74</v>
      </c>
      <c r="H105" s="19">
        <f>TRUNC(E105*F105,2)</f>
        <v>300.95999999999998</v>
      </c>
      <c r="I105" s="19">
        <f>TRUNC(E105*G105,2)</f>
        <v>387.42</v>
      </c>
    </row>
    <row r="106" spans="1:9" ht="15">
      <c r="A106" s="110"/>
      <c r="B106" s="118" t="s">
        <v>228</v>
      </c>
      <c r="C106" s="119" t="s">
        <v>229</v>
      </c>
      <c r="D106" s="110" t="s">
        <v>10</v>
      </c>
      <c r="E106" s="79">
        <v>0.3</v>
      </c>
      <c r="F106" s="79">
        <v>3.83</v>
      </c>
      <c r="G106" s="77">
        <f>TRUNC(E106*F106,2)</f>
        <v>1.1399999999999999</v>
      </c>
      <c r="H106" s="79"/>
      <c r="I106" s="114"/>
    </row>
    <row r="107" spans="1:9" ht="15">
      <c r="A107" s="110"/>
      <c r="B107" s="118" t="s">
        <v>218</v>
      </c>
      <c r="C107" s="119" t="s">
        <v>219</v>
      </c>
      <c r="D107" s="110" t="s">
        <v>162</v>
      </c>
      <c r="E107" s="79">
        <v>0.3</v>
      </c>
      <c r="F107" s="79">
        <f>TRUNC(26.62,2)</f>
        <v>26.62</v>
      </c>
      <c r="G107" s="77">
        <f>TRUNC(E107*F107,2)</f>
        <v>7.98</v>
      </c>
      <c r="H107" s="79"/>
      <c r="I107" s="114"/>
    </row>
    <row r="108" spans="1:9" ht="15">
      <c r="A108" s="110"/>
      <c r="B108" s="111"/>
      <c r="C108" s="112"/>
      <c r="D108" s="113"/>
      <c r="E108" s="114" t="s">
        <v>132</v>
      </c>
      <c r="F108" s="79"/>
      <c r="G108" s="77">
        <f>TRUNC(SUM(G106:G107),2)</f>
        <v>9.1199999999999992</v>
      </c>
      <c r="H108" s="79"/>
      <c r="I108" s="114"/>
    </row>
    <row r="109" spans="1:9" ht="30" customHeight="1">
      <c r="A109" s="100" t="s">
        <v>73</v>
      </c>
      <c r="B109" s="108" t="s">
        <v>74</v>
      </c>
      <c r="C109" s="109" t="s">
        <v>75</v>
      </c>
      <c r="D109" s="20" t="s">
        <v>22</v>
      </c>
      <c r="E109" s="69">
        <v>33</v>
      </c>
      <c r="F109" s="69">
        <f>TRUNC(G113,2)</f>
        <v>8.98</v>
      </c>
      <c r="G109" s="19">
        <f>TRUNC(F109*1.2882,2)</f>
        <v>11.56</v>
      </c>
      <c r="H109" s="19">
        <f>TRUNC(E109*F109,2)</f>
        <v>296.33999999999997</v>
      </c>
      <c r="I109" s="19">
        <f>TRUNC(E109*G109,2)</f>
        <v>381.48</v>
      </c>
    </row>
    <row r="110" spans="1:9" ht="15">
      <c r="A110" s="110"/>
      <c r="B110" s="118" t="s">
        <v>230</v>
      </c>
      <c r="C110" s="119" t="s">
        <v>231</v>
      </c>
      <c r="D110" s="110" t="s">
        <v>223</v>
      </c>
      <c r="E110" s="114">
        <v>5.8999999999999999E-3</v>
      </c>
      <c r="F110" s="79">
        <v>526.59</v>
      </c>
      <c r="G110" s="77">
        <f>TRUNC(E110*F110,2)</f>
        <v>3.1</v>
      </c>
      <c r="H110" s="79"/>
      <c r="I110" s="114"/>
    </row>
    <row r="111" spans="1:9" ht="15">
      <c r="A111" s="110"/>
      <c r="B111" s="118" t="s">
        <v>232</v>
      </c>
      <c r="C111" s="119" t="s">
        <v>233</v>
      </c>
      <c r="D111" s="110" t="s">
        <v>217</v>
      </c>
      <c r="E111" s="114">
        <v>1.06E-2</v>
      </c>
      <c r="F111" s="79">
        <v>15.19</v>
      </c>
      <c r="G111" s="77">
        <f>TRUNC(E111*F111,2)</f>
        <v>0.16</v>
      </c>
      <c r="H111" s="79"/>
      <c r="I111" s="114"/>
    </row>
    <row r="112" spans="1:9" ht="15">
      <c r="A112" s="110"/>
      <c r="B112" s="118" t="s">
        <v>218</v>
      </c>
      <c r="C112" s="119" t="s">
        <v>219</v>
      </c>
      <c r="D112" s="110" t="s">
        <v>162</v>
      </c>
      <c r="E112" s="114">
        <v>0.21490000000000001</v>
      </c>
      <c r="F112" s="79">
        <f>TRUNC(26.62,2)</f>
        <v>26.62</v>
      </c>
      <c r="G112" s="77">
        <f>TRUNC(E112*F112,2)</f>
        <v>5.72</v>
      </c>
      <c r="H112" s="79"/>
      <c r="I112" s="114"/>
    </row>
    <row r="113" spans="1:11" ht="15">
      <c r="A113" s="110"/>
      <c r="B113" s="111"/>
      <c r="C113" s="112"/>
      <c r="D113" s="113"/>
      <c r="E113" s="114" t="s">
        <v>132</v>
      </c>
      <c r="F113" s="79"/>
      <c r="G113" s="77">
        <f>TRUNC(SUM(G110:G112),2)</f>
        <v>8.98</v>
      </c>
      <c r="H113" s="79"/>
      <c r="I113" s="114"/>
    </row>
    <row r="114" spans="1:11" ht="30" customHeight="1">
      <c r="A114" s="100" t="s">
        <v>76</v>
      </c>
      <c r="B114" s="108" t="s">
        <v>77</v>
      </c>
      <c r="C114" s="109" t="s">
        <v>78</v>
      </c>
      <c r="D114" s="20" t="s">
        <v>22</v>
      </c>
      <c r="E114" s="69">
        <v>33</v>
      </c>
      <c r="F114" s="69">
        <f>TRUNC(G118,2)</f>
        <v>22.09</v>
      </c>
      <c r="G114" s="19">
        <f>TRUNC(F114*1.2882,2)</f>
        <v>28.45</v>
      </c>
      <c r="H114" s="19">
        <f>TRUNC(E114*F114,2)</f>
        <v>728.97</v>
      </c>
      <c r="I114" s="19">
        <f>TRUNC(E114*G114,2)</f>
        <v>938.85</v>
      </c>
    </row>
    <row r="115" spans="1:11" ht="15">
      <c r="A115" s="110"/>
      <c r="B115" s="118" t="s">
        <v>234</v>
      </c>
      <c r="C115" s="119" t="s">
        <v>235</v>
      </c>
      <c r="D115" s="110" t="s">
        <v>217</v>
      </c>
      <c r="E115" s="114">
        <v>0.20200000000000001</v>
      </c>
      <c r="F115" s="79">
        <v>74.459999999999994</v>
      </c>
      <c r="G115" s="77">
        <f>TRUNC(E115*F115,2)</f>
        <v>15.04</v>
      </c>
      <c r="H115" s="79"/>
      <c r="I115" s="114"/>
    </row>
    <row r="116" spans="1:11" ht="15">
      <c r="A116" s="110"/>
      <c r="B116" s="118" t="s">
        <v>236</v>
      </c>
      <c r="C116" s="119" t="s">
        <v>237</v>
      </c>
      <c r="D116" s="110" t="s">
        <v>217</v>
      </c>
      <c r="E116" s="114">
        <v>3.0300000000000001E-2</v>
      </c>
      <c r="F116" s="79">
        <v>34.619999999999997</v>
      </c>
      <c r="G116" s="77">
        <f>TRUNC(E116*F116,2)</f>
        <v>1.04</v>
      </c>
      <c r="H116" s="79"/>
      <c r="I116" s="114"/>
    </row>
    <row r="117" spans="1:11" ht="15">
      <c r="A117" s="110"/>
      <c r="B117" s="118" t="s">
        <v>238</v>
      </c>
      <c r="C117" s="119" t="s">
        <v>239</v>
      </c>
      <c r="D117" s="110" t="s">
        <v>162</v>
      </c>
      <c r="E117" s="114">
        <v>0.21490000000000001</v>
      </c>
      <c r="F117" s="79">
        <f>TRUNC(28.01,2)</f>
        <v>28.01</v>
      </c>
      <c r="G117" s="77">
        <f>TRUNC(E117*F117,2)</f>
        <v>6.01</v>
      </c>
      <c r="H117" s="79"/>
      <c r="I117" s="114"/>
    </row>
    <row r="118" spans="1:11" ht="15">
      <c r="A118" s="110"/>
      <c r="B118" s="111"/>
      <c r="C118" s="112"/>
      <c r="D118" s="113"/>
      <c r="E118" s="114" t="s">
        <v>132</v>
      </c>
      <c r="F118" s="79"/>
      <c r="G118" s="77">
        <f>TRUNC(SUM(G115:G117),2)</f>
        <v>22.09</v>
      </c>
      <c r="H118" s="79"/>
      <c r="I118" s="114"/>
    </row>
    <row r="119" spans="1:11" s="295" customFormat="1" ht="15.75">
      <c r="A119" s="287" t="s">
        <v>44</v>
      </c>
      <c r="B119" s="288"/>
      <c r="C119" s="289" t="s">
        <v>79</v>
      </c>
      <c r="D119" s="290"/>
      <c r="E119" s="291"/>
      <c r="F119" s="291"/>
      <c r="G119" s="292"/>
      <c r="H119" s="293">
        <f>H84+H89+H94+H100+H105+H109+H114</f>
        <v>3117.24</v>
      </c>
      <c r="I119" s="294">
        <f>I84+I89+I94+I100+I105+I109+I114</f>
        <v>4013.97</v>
      </c>
      <c r="K119" s="296"/>
    </row>
    <row r="120" spans="1:11" s="123" customFormat="1" ht="15.75">
      <c r="A120" s="232" t="s">
        <v>80</v>
      </c>
      <c r="B120" s="233"/>
      <c r="C120" s="120" t="s">
        <v>81</v>
      </c>
      <c r="D120" s="121"/>
      <c r="E120" s="121"/>
      <c r="F120" s="121"/>
      <c r="G120" s="121"/>
      <c r="H120" s="121"/>
      <c r="I120" s="122"/>
    </row>
    <row r="121" spans="1:11" ht="30" hidden="1">
      <c r="A121" s="124" t="s">
        <v>82</v>
      </c>
      <c r="B121" s="125" t="s">
        <v>83</v>
      </c>
      <c r="C121" s="21" t="s">
        <v>84</v>
      </c>
      <c r="D121" s="124" t="s">
        <v>22</v>
      </c>
      <c r="E121" s="22">
        <v>107.28</v>
      </c>
      <c r="F121" s="126">
        <f>TRUNC(G128,2)</f>
        <v>40.950000000000003</v>
      </c>
      <c r="G121" s="23">
        <f>TRUNC(F121*1.2882,2)</f>
        <v>52.75</v>
      </c>
      <c r="H121" s="23">
        <f>TRUNC(E121*F121,2)</f>
        <v>4393.1099999999997</v>
      </c>
      <c r="I121" s="23">
        <f>TRUNC(E121*G121,2)</f>
        <v>5659.02</v>
      </c>
    </row>
    <row r="122" spans="1:11" ht="30" hidden="1">
      <c r="A122" s="127"/>
      <c r="B122" s="128" t="s">
        <v>240</v>
      </c>
      <c r="C122" s="129" t="s">
        <v>241</v>
      </c>
      <c r="D122" s="130" t="s">
        <v>242</v>
      </c>
      <c r="E122" s="131">
        <v>4.1500000000000004</v>
      </c>
      <c r="F122" s="131">
        <f>TRUNC(1.41,2)</f>
        <v>1.41</v>
      </c>
      <c r="G122" s="131">
        <f t="shared" ref="G122:G127" si="1">TRUNC(E122*F122,2)</f>
        <v>5.85</v>
      </c>
      <c r="H122" s="131"/>
      <c r="I122" s="132"/>
    </row>
    <row r="123" spans="1:11" ht="30" hidden="1">
      <c r="A123" s="127"/>
      <c r="B123" s="128" t="s">
        <v>243</v>
      </c>
      <c r="C123" s="129" t="s">
        <v>244</v>
      </c>
      <c r="D123" s="130" t="s">
        <v>22</v>
      </c>
      <c r="E123" s="131">
        <v>1.1659999999999999</v>
      </c>
      <c r="F123" s="131">
        <f>TRUNC(26.61,2)</f>
        <v>26.61</v>
      </c>
      <c r="G123" s="131">
        <f t="shared" si="1"/>
        <v>31.02</v>
      </c>
      <c r="H123" s="131"/>
      <c r="I123" s="132"/>
    </row>
    <row r="124" spans="1:11" ht="15" hidden="1">
      <c r="A124" s="127"/>
      <c r="B124" s="128" t="s">
        <v>245</v>
      </c>
      <c r="C124" s="129" t="s">
        <v>172</v>
      </c>
      <c r="D124" s="130" t="s">
        <v>162</v>
      </c>
      <c r="E124" s="131">
        <v>9.0999999999999998E-2</v>
      </c>
      <c r="F124" s="131">
        <f>TRUNC(22.94,2)</f>
        <v>22.94</v>
      </c>
      <c r="G124" s="131">
        <f t="shared" si="1"/>
        <v>2.08</v>
      </c>
      <c r="H124" s="131"/>
      <c r="I124" s="132"/>
    </row>
    <row r="125" spans="1:11" ht="15" hidden="1">
      <c r="A125" s="127"/>
      <c r="B125" s="128" t="s">
        <v>167</v>
      </c>
      <c r="C125" s="129" t="s">
        <v>168</v>
      </c>
      <c r="D125" s="130" t="s">
        <v>162</v>
      </c>
      <c r="E125" s="131">
        <v>9.7000000000000003E-2</v>
      </c>
      <c r="F125" s="131">
        <f>TRUNC(20.11,2)</f>
        <v>20.11</v>
      </c>
      <c r="G125" s="131">
        <f t="shared" si="1"/>
        <v>1.95</v>
      </c>
      <c r="H125" s="131"/>
      <c r="I125" s="132"/>
    </row>
    <row r="126" spans="1:11" ht="30" hidden="1">
      <c r="A126" s="127"/>
      <c r="B126" s="128" t="s">
        <v>246</v>
      </c>
      <c r="C126" s="129" t="s">
        <v>247</v>
      </c>
      <c r="D126" s="130" t="s">
        <v>248</v>
      </c>
      <c r="E126" s="131">
        <v>1.2999999999999999E-3</v>
      </c>
      <c r="F126" s="131">
        <f>TRUNC(28.26,2)</f>
        <v>28.26</v>
      </c>
      <c r="G126" s="131">
        <f t="shared" si="1"/>
        <v>0.03</v>
      </c>
      <c r="H126" s="131"/>
      <c r="I126" s="132"/>
    </row>
    <row r="127" spans="1:11" ht="30" hidden="1">
      <c r="A127" s="127"/>
      <c r="B127" s="128" t="s">
        <v>249</v>
      </c>
      <c r="C127" s="129" t="s">
        <v>250</v>
      </c>
      <c r="D127" s="130" t="s">
        <v>251</v>
      </c>
      <c r="E127" s="131">
        <v>8.9999999999999998E-4</v>
      </c>
      <c r="F127" s="131">
        <f>TRUNC(29.19,2)</f>
        <v>29.19</v>
      </c>
      <c r="G127" s="131">
        <f t="shared" si="1"/>
        <v>0.02</v>
      </c>
      <c r="H127" s="131"/>
      <c r="I127" s="132"/>
    </row>
    <row r="128" spans="1:11" ht="15" hidden="1">
      <c r="A128" s="127"/>
      <c r="B128" s="128"/>
      <c r="C128" s="129"/>
      <c r="D128" s="130"/>
      <c r="E128" s="131" t="s">
        <v>132</v>
      </c>
      <c r="F128" s="131"/>
      <c r="G128" s="131">
        <f>TRUNC(SUM(G122:G127),2)</f>
        <v>40.950000000000003</v>
      </c>
      <c r="H128" s="131"/>
      <c r="I128" s="132"/>
    </row>
    <row r="129" spans="1:9" ht="30" hidden="1">
      <c r="A129" s="124" t="s">
        <v>85</v>
      </c>
      <c r="B129" s="125" t="s">
        <v>86</v>
      </c>
      <c r="C129" s="21" t="s">
        <v>87</v>
      </c>
      <c r="D129" s="124" t="s">
        <v>88</v>
      </c>
      <c r="E129" s="22">
        <v>22.35</v>
      </c>
      <c r="F129" s="126">
        <f>TRUNC(G139,2)</f>
        <v>45.54</v>
      </c>
      <c r="G129" s="23">
        <f>TRUNC(F129*1.2882,2)</f>
        <v>58.66</v>
      </c>
      <c r="H129" s="23">
        <f>TRUNC(E129*F129,2)</f>
        <v>1017.81</v>
      </c>
      <c r="I129" s="23">
        <f>TRUNC(E129*G129,2)</f>
        <v>1311.05</v>
      </c>
    </row>
    <row r="130" spans="1:9" ht="15" hidden="1">
      <c r="A130" s="127"/>
      <c r="B130" s="128" t="s">
        <v>252</v>
      </c>
      <c r="C130" s="129" t="s">
        <v>253</v>
      </c>
      <c r="D130" s="130" t="s">
        <v>88</v>
      </c>
      <c r="E130" s="131">
        <v>1.05</v>
      </c>
      <c r="F130" s="131">
        <f>TRUNC(21.95,2)</f>
        <v>21.95</v>
      </c>
      <c r="G130" s="131">
        <f t="shared" ref="G130:G138" si="2">TRUNC(E130*F130,2)</f>
        <v>23.04</v>
      </c>
      <c r="H130" s="131"/>
      <c r="I130" s="132"/>
    </row>
    <row r="131" spans="1:9" ht="15" hidden="1">
      <c r="A131" s="127"/>
      <c r="B131" s="128" t="s">
        <v>254</v>
      </c>
      <c r="C131" s="129" t="s">
        <v>255</v>
      </c>
      <c r="D131" s="130" t="s">
        <v>157</v>
      </c>
      <c r="E131" s="131">
        <v>5.8999999999999997E-2</v>
      </c>
      <c r="F131" s="131">
        <f>TRUNC(172.76,2)</f>
        <v>172.76</v>
      </c>
      <c r="G131" s="131">
        <f t="shared" si="2"/>
        <v>10.19</v>
      </c>
      <c r="H131" s="131"/>
      <c r="I131" s="132"/>
    </row>
    <row r="132" spans="1:9" ht="15" hidden="1">
      <c r="A132" s="127"/>
      <c r="B132" s="128" t="s">
        <v>256</v>
      </c>
      <c r="C132" s="129" t="s">
        <v>257</v>
      </c>
      <c r="D132" s="130" t="s">
        <v>157</v>
      </c>
      <c r="E132" s="131">
        <v>1.6000000000000001E-3</v>
      </c>
      <c r="F132" s="131">
        <f>TRUNC(46.96,2)</f>
        <v>46.96</v>
      </c>
      <c r="G132" s="131">
        <f t="shared" si="2"/>
        <v>7.0000000000000007E-2</v>
      </c>
      <c r="H132" s="131"/>
      <c r="I132" s="132"/>
    </row>
    <row r="133" spans="1:9" ht="15" hidden="1">
      <c r="A133" s="127"/>
      <c r="B133" s="128" t="s">
        <v>258</v>
      </c>
      <c r="C133" s="129" t="s">
        <v>259</v>
      </c>
      <c r="D133" s="130" t="s">
        <v>157</v>
      </c>
      <c r="E133" s="131">
        <v>8.0000000000000002E-3</v>
      </c>
      <c r="F133" s="131">
        <f>TRUNC(10.9,2)</f>
        <v>10.9</v>
      </c>
      <c r="G133" s="131">
        <f t="shared" si="2"/>
        <v>0.08</v>
      </c>
      <c r="H133" s="131"/>
      <c r="I133" s="132"/>
    </row>
    <row r="134" spans="1:9" ht="30" hidden="1">
      <c r="A134" s="127"/>
      <c r="B134" s="128" t="s">
        <v>260</v>
      </c>
      <c r="C134" s="129" t="s">
        <v>261</v>
      </c>
      <c r="D134" s="130" t="s">
        <v>262</v>
      </c>
      <c r="E134" s="131">
        <v>5.2999999999999999E-2</v>
      </c>
      <c r="F134" s="131">
        <f>TRUNC(24.36,2)</f>
        <v>24.36</v>
      </c>
      <c r="G134" s="131">
        <f t="shared" si="2"/>
        <v>1.29</v>
      </c>
      <c r="H134" s="131"/>
      <c r="I134" s="132"/>
    </row>
    <row r="135" spans="1:9" ht="15" hidden="1">
      <c r="A135" s="127"/>
      <c r="B135" s="128" t="s">
        <v>245</v>
      </c>
      <c r="C135" s="129" t="s">
        <v>172</v>
      </c>
      <c r="D135" s="130" t="s">
        <v>162</v>
      </c>
      <c r="E135" s="131">
        <v>0.188</v>
      </c>
      <c r="F135" s="131">
        <f>TRUNC(22.94,2)</f>
        <v>22.94</v>
      </c>
      <c r="G135" s="131">
        <f t="shared" si="2"/>
        <v>4.3099999999999996</v>
      </c>
      <c r="H135" s="131"/>
      <c r="I135" s="132"/>
    </row>
    <row r="136" spans="1:9" ht="15" hidden="1">
      <c r="A136" s="127"/>
      <c r="B136" s="128" t="s">
        <v>167</v>
      </c>
      <c r="C136" s="129" t="s">
        <v>168</v>
      </c>
      <c r="D136" s="130" t="s">
        <v>162</v>
      </c>
      <c r="E136" s="131">
        <v>0.28199999999999997</v>
      </c>
      <c r="F136" s="131">
        <f>TRUNC(20.11,2)</f>
        <v>20.11</v>
      </c>
      <c r="G136" s="131">
        <f t="shared" si="2"/>
        <v>5.67</v>
      </c>
      <c r="H136" s="131"/>
      <c r="I136" s="132"/>
    </row>
    <row r="137" spans="1:9" ht="30" hidden="1">
      <c r="A137" s="127"/>
      <c r="B137" s="128" t="s">
        <v>246</v>
      </c>
      <c r="C137" s="129" t="s">
        <v>247</v>
      </c>
      <c r="D137" s="130" t="s">
        <v>248</v>
      </c>
      <c r="E137" s="131">
        <v>1.83E-2</v>
      </c>
      <c r="F137" s="131">
        <f>TRUNC(28.26,2)</f>
        <v>28.26</v>
      </c>
      <c r="G137" s="131">
        <f t="shared" si="2"/>
        <v>0.51</v>
      </c>
      <c r="H137" s="131"/>
      <c r="I137" s="132"/>
    </row>
    <row r="138" spans="1:9" ht="30" hidden="1">
      <c r="A138" s="127"/>
      <c r="B138" s="128" t="s">
        <v>249</v>
      </c>
      <c r="C138" s="129" t="s">
        <v>250</v>
      </c>
      <c r="D138" s="130" t="s">
        <v>251</v>
      </c>
      <c r="E138" s="131">
        <v>1.32E-2</v>
      </c>
      <c r="F138" s="131">
        <f>TRUNC(29.19,2)</f>
        <v>29.19</v>
      </c>
      <c r="G138" s="131">
        <f t="shared" si="2"/>
        <v>0.38</v>
      </c>
      <c r="H138" s="131"/>
      <c r="I138" s="132"/>
    </row>
    <row r="139" spans="1:9" ht="15" hidden="1">
      <c r="A139" s="127"/>
      <c r="B139" s="128"/>
      <c r="C139" s="129"/>
      <c r="D139" s="130"/>
      <c r="E139" s="131" t="s">
        <v>132</v>
      </c>
      <c r="F139" s="131"/>
      <c r="G139" s="131">
        <f>TRUNC(SUM(G130:G138),2)</f>
        <v>45.54</v>
      </c>
      <c r="H139" s="131"/>
      <c r="I139" s="132"/>
    </row>
    <row r="140" spans="1:9" ht="30">
      <c r="A140" s="100" t="s">
        <v>82</v>
      </c>
      <c r="B140" s="108" t="s">
        <v>83</v>
      </c>
      <c r="C140" s="109" t="s">
        <v>84</v>
      </c>
      <c r="D140" s="20" t="s">
        <v>22</v>
      </c>
      <c r="E140" s="69">
        <v>46.36</v>
      </c>
      <c r="F140" s="69">
        <f>TRUNC(G147,2)</f>
        <v>71.989999999999995</v>
      </c>
      <c r="G140" s="19">
        <f>TRUNC(F140*1.2882,2)</f>
        <v>92.73</v>
      </c>
      <c r="H140" s="19">
        <f>TRUNC(E140*F140,2)</f>
        <v>3337.45</v>
      </c>
      <c r="I140" s="19">
        <f>TRUNC(E140*G140,2)</f>
        <v>4298.96</v>
      </c>
    </row>
    <row r="141" spans="1:9" ht="30">
      <c r="A141" s="110"/>
      <c r="B141" s="118" t="s">
        <v>240</v>
      </c>
      <c r="C141" s="119" t="s">
        <v>241</v>
      </c>
      <c r="D141" s="110" t="s">
        <v>242</v>
      </c>
      <c r="E141" s="114">
        <v>4.1500000000000004</v>
      </c>
      <c r="F141" s="79">
        <v>2.2599999999999998</v>
      </c>
      <c r="G141" s="77">
        <f t="shared" ref="G141:G146" si="3">TRUNC(E141*F141,2)</f>
        <v>9.3699999999999992</v>
      </c>
      <c r="H141" s="77"/>
      <c r="I141" s="79"/>
    </row>
    <row r="142" spans="1:9" ht="30">
      <c r="A142" s="110"/>
      <c r="B142" s="118" t="s">
        <v>243</v>
      </c>
      <c r="C142" s="119" t="s">
        <v>244</v>
      </c>
      <c r="D142" s="110" t="s">
        <v>22</v>
      </c>
      <c r="E142" s="114">
        <v>1.1659999999999999</v>
      </c>
      <c r="F142" s="79">
        <v>50.16</v>
      </c>
      <c r="G142" s="77">
        <f t="shared" si="3"/>
        <v>58.48</v>
      </c>
      <c r="H142" s="77"/>
      <c r="I142" s="79"/>
    </row>
    <row r="143" spans="1:9" ht="15">
      <c r="A143" s="110"/>
      <c r="B143" s="118" t="s">
        <v>245</v>
      </c>
      <c r="C143" s="119" t="s">
        <v>172</v>
      </c>
      <c r="D143" s="110" t="s">
        <v>162</v>
      </c>
      <c r="E143" s="114">
        <v>9.0999999999999998E-2</v>
      </c>
      <c r="F143" s="79">
        <f>TRUNC(23.33,2)</f>
        <v>23.33</v>
      </c>
      <c r="G143" s="77">
        <f t="shared" si="3"/>
        <v>2.12</v>
      </c>
      <c r="H143" s="77"/>
      <c r="I143" s="79"/>
    </row>
    <row r="144" spans="1:9" ht="15">
      <c r="A144" s="110"/>
      <c r="B144" s="118" t="s">
        <v>167</v>
      </c>
      <c r="C144" s="119" t="s">
        <v>168</v>
      </c>
      <c r="D144" s="110" t="s">
        <v>162</v>
      </c>
      <c r="E144" s="114">
        <v>9.7000000000000003E-2</v>
      </c>
      <c r="F144" s="79">
        <f>TRUNC(20.38,2)</f>
        <v>20.38</v>
      </c>
      <c r="G144" s="77">
        <f t="shared" si="3"/>
        <v>1.97</v>
      </c>
      <c r="H144" s="77"/>
      <c r="I144" s="79"/>
    </row>
    <row r="145" spans="1:9" ht="30">
      <c r="A145" s="110"/>
      <c r="B145" s="118" t="s">
        <v>246</v>
      </c>
      <c r="C145" s="119" t="s">
        <v>263</v>
      </c>
      <c r="D145" s="110" t="s">
        <v>248</v>
      </c>
      <c r="E145" s="114">
        <v>1.2999999999999999E-3</v>
      </c>
      <c r="F145" s="79">
        <f>TRUNC(30.39,2)</f>
        <v>30.39</v>
      </c>
      <c r="G145" s="77">
        <f t="shared" si="3"/>
        <v>0.03</v>
      </c>
      <c r="H145" s="77"/>
      <c r="I145" s="79"/>
    </row>
    <row r="146" spans="1:9" ht="30">
      <c r="A146" s="110"/>
      <c r="B146" s="118" t="s">
        <v>249</v>
      </c>
      <c r="C146" s="119" t="s">
        <v>264</v>
      </c>
      <c r="D146" s="110" t="s">
        <v>251</v>
      </c>
      <c r="E146" s="114">
        <v>8.9999999999999998E-4</v>
      </c>
      <c r="F146" s="79">
        <f>TRUNC(31.37,2)</f>
        <v>31.37</v>
      </c>
      <c r="G146" s="77">
        <f t="shared" si="3"/>
        <v>0.02</v>
      </c>
      <c r="H146" s="77"/>
      <c r="I146" s="79"/>
    </row>
    <row r="147" spans="1:9" ht="15">
      <c r="A147" s="110"/>
      <c r="B147" s="118"/>
      <c r="C147" s="119"/>
      <c r="D147" s="110"/>
      <c r="E147" s="114" t="s">
        <v>132</v>
      </c>
      <c r="F147" s="79"/>
      <c r="G147" s="77">
        <f>TRUNC(SUM(G141:G146),2)</f>
        <v>71.989999999999995</v>
      </c>
      <c r="H147" s="77"/>
      <c r="I147" s="79"/>
    </row>
    <row r="148" spans="1:9" ht="30">
      <c r="A148" s="100" t="s">
        <v>85</v>
      </c>
      <c r="B148" s="108" t="s">
        <v>86</v>
      </c>
      <c r="C148" s="109" t="s">
        <v>87</v>
      </c>
      <c r="D148" s="20" t="s">
        <v>88</v>
      </c>
      <c r="E148" s="69">
        <v>14.65</v>
      </c>
      <c r="F148" s="69">
        <f>TRUNC(G158,2)</f>
        <v>77.45</v>
      </c>
      <c r="G148" s="19">
        <f>TRUNC(F148*1.2882,2)</f>
        <v>99.77</v>
      </c>
      <c r="H148" s="19">
        <f>TRUNC(E148*F148,2)</f>
        <v>1134.6400000000001</v>
      </c>
      <c r="I148" s="19">
        <f>TRUNC(E148*G148,2)</f>
        <v>1461.63</v>
      </c>
    </row>
    <row r="149" spans="1:9" ht="15">
      <c r="A149" s="110"/>
      <c r="B149" s="118" t="s">
        <v>252</v>
      </c>
      <c r="C149" s="119" t="s">
        <v>253</v>
      </c>
      <c r="D149" s="110" t="s">
        <v>88</v>
      </c>
      <c r="E149" s="114">
        <v>1.05</v>
      </c>
      <c r="F149" s="79">
        <v>50.65</v>
      </c>
      <c r="G149" s="77">
        <f t="shared" ref="G149:G157" si="4">TRUNC(E149*F149,2)</f>
        <v>53.18</v>
      </c>
      <c r="H149" s="77"/>
      <c r="I149" s="79"/>
    </row>
    <row r="150" spans="1:9" ht="15">
      <c r="A150" s="110"/>
      <c r="B150" s="118" t="s">
        <v>254</v>
      </c>
      <c r="C150" s="119" t="s">
        <v>255</v>
      </c>
      <c r="D150" s="110" t="s">
        <v>157</v>
      </c>
      <c r="E150" s="114">
        <v>5.8999999999999997E-2</v>
      </c>
      <c r="F150" s="79">
        <v>194.66</v>
      </c>
      <c r="G150" s="77">
        <f t="shared" si="4"/>
        <v>11.48</v>
      </c>
      <c r="H150" s="77"/>
      <c r="I150" s="79"/>
    </row>
    <row r="151" spans="1:9" ht="15">
      <c r="A151" s="110"/>
      <c r="B151" s="118" t="s">
        <v>256</v>
      </c>
      <c r="C151" s="119" t="s">
        <v>257</v>
      </c>
      <c r="D151" s="110" t="s">
        <v>157</v>
      </c>
      <c r="E151" s="114">
        <v>1.6000000000000001E-3</v>
      </c>
      <c r="F151" s="79">
        <v>71.89</v>
      </c>
      <c r="G151" s="77">
        <f t="shared" si="4"/>
        <v>0.11</v>
      </c>
      <c r="H151" s="77"/>
      <c r="I151" s="79"/>
    </row>
    <row r="152" spans="1:9" ht="15">
      <c r="A152" s="110"/>
      <c r="B152" s="118" t="s">
        <v>258</v>
      </c>
      <c r="C152" s="119" t="s">
        <v>259</v>
      </c>
      <c r="D152" s="110" t="s">
        <v>157</v>
      </c>
      <c r="E152" s="114">
        <v>8.0000000000000002E-3</v>
      </c>
      <c r="F152" s="79">
        <v>18.45</v>
      </c>
      <c r="G152" s="77">
        <f t="shared" si="4"/>
        <v>0.14000000000000001</v>
      </c>
      <c r="H152" s="77"/>
      <c r="I152" s="79"/>
    </row>
    <row r="153" spans="1:9" ht="30">
      <c r="A153" s="110"/>
      <c r="B153" s="118" t="s">
        <v>260</v>
      </c>
      <c r="C153" s="119" t="s">
        <v>261</v>
      </c>
      <c r="D153" s="110" t="s">
        <v>262</v>
      </c>
      <c r="E153" s="114">
        <v>5.2999999999999999E-2</v>
      </c>
      <c r="F153" s="79">
        <v>27.62</v>
      </c>
      <c r="G153" s="77">
        <f t="shared" si="4"/>
        <v>1.46</v>
      </c>
      <c r="H153" s="77"/>
      <c r="I153" s="79"/>
    </row>
    <row r="154" spans="1:9" ht="15">
      <c r="A154" s="110"/>
      <c r="B154" s="118" t="s">
        <v>245</v>
      </c>
      <c r="C154" s="119" t="s">
        <v>172</v>
      </c>
      <c r="D154" s="110" t="s">
        <v>162</v>
      </c>
      <c r="E154" s="114">
        <v>0.188</v>
      </c>
      <c r="F154" s="79">
        <f>TRUNC(23.33,2)</f>
        <v>23.33</v>
      </c>
      <c r="G154" s="77">
        <f t="shared" si="4"/>
        <v>4.38</v>
      </c>
      <c r="H154" s="77"/>
      <c r="I154" s="79"/>
    </row>
    <row r="155" spans="1:9" ht="15">
      <c r="A155" s="110"/>
      <c r="B155" s="118" t="s">
        <v>167</v>
      </c>
      <c r="C155" s="119" t="s">
        <v>168</v>
      </c>
      <c r="D155" s="110" t="s">
        <v>162</v>
      </c>
      <c r="E155" s="114">
        <v>0.28199999999999997</v>
      </c>
      <c r="F155" s="79">
        <f>TRUNC(20.38,2)</f>
        <v>20.38</v>
      </c>
      <c r="G155" s="77">
        <f t="shared" si="4"/>
        <v>5.74</v>
      </c>
      <c r="H155" s="77"/>
      <c r="I155" s="79"/>
    </row>
    <row r="156" spans="1:9" ht="30">
      <c r="A156" s="110"/>
      <c r="B156" s="118" t="s">
        <v>246</v>
      </c>
      <c r="C156" s="119" t="s">
        <v>263</v>
      </c>
      <c r="D156" s="110" t="s">
        <v>248</v>
      </c>
      <c r="E156" s="114">
        <v>1.83E-2</v>
      </c>
      <c r="F156" s="79">
        <f>TRUNC(30.39,2)</f>
        <v>30.39</v>
      </c>
      <c r="G156" s="77">
        <f t="shared" si="4"/>
        <v>0.55000000000000004</v>
      </c>
      <c r="H156" s="77"/>
      <c r="I156" s="79"/>
    </row>
    <row r="157" spans="1:9" ht="30">
      <c r="A157" s="110"/>
      <c r="B157" s="118" t="s">
        <v>249</v>
      </c>
      <c r="C157" s="119" t="s">
        <v>264</v>
      </c>
      <c r="D157" s="110" t="s">
        <v>251</v>
      </c>
      <c r="E157" s="114">
        <v>1.32E-2</v>
      </c>
      <c r="F157" s="79">
        <f>TRUNC(31.37,2)</f>
        <v>31.37</v>
      </c>
      <c r="G157" s="77">
        <f t="shared" si="4"/>
        <v>0.41</v>
      </c>
      <c r="H157" s="77"/>
      <c r="I157" s="79"/>
    </row>
    <row r="158" spans="1:9" ht="15">
      <c r="A158" s="110"/>
      <c r="B158" s="118"/>
      <c r="C158" s="119"/>
      <c r="D158" s="110"/>
      <c r="E158" s="114" t="s">
        <v>132</v>
      </c>
      <c r="F158" s="79"/>
      <c r="G158" s="77">
        <f>TRUNC(SUM(G149:G157),2)</f>
        <v>77.45</v>
      </c>
      <c r="H158" s="77"/>
      <c r="I158" s="79"/>
    </row>
    <row r="159" spans="1:9" ht="30">
      <c r="A159" s="100" t="s">
        <v>89</v>
      </c>
      <c r="B159" s="108" t="s">
        <v>90</v>
      </c>
      <c r="C159" s="109" t="s">
        <v>91</v>
      </c>
      <c r="D159" s="20" t="s">
        <v>88</v>
      </c>
      <c r="E159" s="69">
        <v>6</v>
      </c>
      <c r="F159" s="69">
        <f>TRUNC(G166,2)</f>
        <v>105.11</v>
      </c>
      <c r="G159" s="19">
        <f>TRUNC(F159*1.2882,2)</f>
        <v>135.4</v>
      </c>
      <c r="H159" s="19">
        <f>TRUNC(E159*F159,2)</f>
        <v>630.66</v>
      </c>
      <c r="I159" s="19">
        <f>TRUNC(E159*G159,2)</f>
        <v>812.4</v>
      </c>
    </row>
    <row r="160" spans="1:9" ht="15">
      <c r="A160" s="110"/>
      <c r="B160" s="118" t="s">
        <v>265</v>
      </c>
      <c r="C160" s="119" t="s">
        <v>266</v>
      </c>
      <c r="D160" s="110" t="s">
        <v>10</v>
      </c>
      <c r="E160" s="114">
        <v>0.67</v>
      </c>
      <c r="F160" s="79">
        <v>2.08</v>
      </c>
      <c r="G160" s="77">
        <f t="shared" ref="G160:G165" si="5">TRUNC(E160*F160,2)</f>
        <v>1.39</v>
      </c>
      <c r="H160" s="77"/>
      <c r="I160" s="79"/>
    </row>
    <row r="161" spans="1:11" ht="15">
      <c r="A161" s="110"/>
      <c r="B161" s="118" t="s">
        <v>267</v>
      </c>
      <c r="C161" s="119" t="s">
        <v>268</v>
      </c>
      <c r="D161" s="110" t="s">
        <v>10</v>
      </c>
      <c r="E161" s="114">
        <v>0.33</v>
      </c>
      <c r="F161" s="79">
        <v>19.89</v>
      </c>
      <c r="G161" s="77">
        <f t="shared" si="5"/>
        <v>6.56</v>
      </c>
      <c r="H161" s="77"/>
      <c r="I161" s="79"/>
    </row>
    <row r="162" spans="1:11" ht="30">
      <c r="A162" s="110"/>
      <c r="B162" s="118" t="s">
        <v>269</v>
      </c>
      <c r="C162" s="119" t="s">
        <v>270</v>
      </c>
      <c r="D162" s="110" t="s">
        <v>10</v>
      </c>
      <c r="E162" s="114">
        <v>0.17499999999999999</v>
      </c>
      <c r="F162" s="79">
        <v>100.43</v>
      </c>
      <c r="G162" s="77">
        <f t="shared" si="5"/>
        <v>17.57</v>
      </c>
      <c r="H162" s="77"/>
      <c r="I162" s="79"/>
    </row>
    <row r="163" spans="1:11" ht="30">
      <c r="A163" s="110"/>
      <c r="B163" s="118" t="s">
        <v>160</v>
      </c>
      <c r="C163" s="119" t="s">
        <v>161</v>
      </c>
      <c r="D163" s="110" t="s">
        <v>162</v>
      </c>
      <c r="E163" s="114">
        <v>1.4419999999999999</v>
      </c>
      <c r="F163" s="79">
        <v>14.34</v>
      </c>
      <c r="G163" s="77">
        <f t="shared" si="5"/>
        <v>20.67</v>
      </c>
      <c r="H163" s="77"/>
      <c r="I163" s="79"/>
    </row>
    <row r="164" spans="1:11" ht="30">
      <c r="A164" s="110"/>
      <c r="B164" s="118" t="s">
        <v>271</v>
      </c>
      <c r="C164" s="119" t="s">
        <v>272</v>
      </c>
      <c r="D164" s="110" t="s">
        <v>162</v>
      </c>
      <c r="E164" s="114">
        <v>0.51500000000000001</v>
      </c>
      <c r="F164" s="79">
        <f>TRUNC(18.77,2)</f>
        <v>18.77</v>
      </c>
      <c r="G164" s="77">
        <f t="shared" si="5"/>
        <v>9.66</v>
      </c>
      <c r="H164" s="77"/>
      <c r="I164" s="79"/>
    </row>
    <row r="165" spans="1:11" ht="15">
      <c r="A165" s="110"/>
      <c r="B165" s="118" t="s">
        <v>273</v>
      </c>
      <c r="C165" s="119" t="s">
        <v>274</v>
      </c>
      <c r="D165" s="110" t="s">
        <v>10</v>
      </c>
      <c r="E165" s="114">
        <v>0.7</v>
      </c>
      <c r="F165" s="79">
        <v>70.376400000000004</v>
      </c>
      <c r="G165" s="77">
        <f t="shared" si="5"/>
        <v>49.26</v>
      </c>
      <c r="H165" s="77"/>
      <c r="I165" s="79"/>
    </row>
    <row r="166" spans="1:11" ht="15">
      <c r="A166" s="110"/>
      <c r="B166" s="118"/>
      <c r="C166" s="119"/>
      <c r="D166" s="110"/>
      <c r="E166" s="114" t="s">
        <v>132</v>
      </c>
      <c r="F166" s="79"/>
      <c r="G166" s="77">
        <f>TRUNC(SUM(G160:G165),2)</f>
        <v>105.11</v>
      </c>
      <c r="H166" s="77"/>
      <c r="I166" s="79"/>
    </row>
    <row r="167" spans="1:11" ht="30" customHeight="1">
      <c r="A167" s="100" t="s">
        <v>92</v>
      </c>
      <c r="B167" s="108" t="s">
        <v>143</v>
      </c>
      <c r="C167" s="109" t="s">
        <v>275</v>
      </c>
      <c r="D167" s="20" t="s">
        <v>43</v>
      </c>
      <c r="E167" s="69">
        <v>33</v>
      </c>
      <c r="F167" s="69">
        <f>F168</f>
        <v>53.34</v>
      </c>
      <c r="G167" s="19">
        <f>TRUNC(F167*1.2882,2)</f>
        <v>68.709999999999994</v>
      </c>
      <c r="H167" s="19">
        <f>TRUNC(E167*F167,2)</f>
        <v>1760.22</v>
      </c>
      <c r="I167" s="19">
        <f>TRUNC(E167*G167,2)</f>
        <v>2267.4299999999998</v>
      </c>
    </row>
    <row r="168" spans="1:11" ht="45">
      <c r="A168" s="133"/>
      <c r="B168" s="134" t="s">
        <v>276</v>
      </c>
      <c r="C168" s="135" t="s">
        <v>277</v>
      </c>
      <c r="D168" s="133" t="s">
        <v>22</v>
      </c>
      <c r="E168" s="136">
        <v>1</v>
      </c>
      <c r="F168" s="137">
        <f>G172</f>
        <v>53.34</v>
      </c>
      <c r="G168" s="138">
        <f>TRUNC(E168*F168,2)</f>
        <v>53.34</v>
      </c>
      <c r="H168" s="138"/>
      <c r="I168" s="137"/>
    </row>
    <row r="169" spans="1:11" ht="15">
      <c r="A169" s="133"/>
      <c r="B169" s="134" t="s">
        <v>278</v>
      </c>
      <c r="C169" s="135" t="s">
        <v>279</v>
      </c>
      <c r="D169" s="133" t="s">
        <v>22</v>
      </c>
      <c r="E169" s="136"/>
      <c r="F169" s="137">
        <f>TRUNC(333,2)</f>
        <v>333</v>
      </c>
      <c r="G169" s="138">
        <f>TRUNC(E169*F169,2)</f>
        <v>0</v>
      </c>
      <c r="H169" s="138"/>
      <c r="I169" s="137"/>
    </row>
    <row r="170" spans="1:11" ht="15">
      <c r="A170" s="133"/>
      <c r="B170" s="134" t="s">
        <v>183</v>
      </c>
      <c r="C170" s="135" t="s">
        <v>184</v>
      </c>
      <c r="D170" s="133" t="s">
        <v>162</v>
      </c>
      <c r="E170" s="136">
        <f>0.824*2</f>
        <v>1.6479999999999999</v>
      </c>
      <c r="F170" s="137">
        <f>TRUNC(18.77,2)</f>
        <v>18.77</v>
      </c>
      <c r="G170" s="138">
        <f>TRUNC(E170*F170,2)</f>
        <v>30.93</v>
      </c>
      <c r="H170" s="138"/>
      <c r="I170" s="137"/>
    </row>
    <row r="171" spans="1:11" ht="30">
      <c r="A171" s="133"/>
      <c r="B171" s="134" t="s">
        <v>160</v>
      </c>
      <c r="C171" s="135" t="s">
        <v>161</v>
      </c>
      <c r="D171" s="133" t="s">
        <v>162</v>
      </c>
      <c r="E171" s="136">
        <f>0.824*2</f>
        <v>1.6479999999999999</v>
      </c>
      <c r="F171" s="137">
        <f>TRUNC(13.6,2)</f>
        <v>13.6</v>
      </c>
      <c r="G171" s="138">
        <f>TRUNC(E171*F171,2)</f>
        <v>22.41</v>
      </c>
      <c r="H171" s="138"/>
      <c r="I171" s="137"/>
    </row>
    <row r="172" spans="1:11" ht="15">
      <c r="A172" s="133"/>
      <c r="B172" s="134"/>
      <c r="C172" s="135"/>
      <c r="D172" s="133"/>
      <c r="E172" s="136" t="s">
        <v>132</v>
      </c>
      <c r="F172" s="137"/>
      <c r="G172" s="138">
        <f>TRUNC(SUM(G169:G171),2)</f>
        <v>53.34</v>
      </c>
      <c r="H172" s="138"/>
      <c r="I172" s="137"/>
    </row>
    <row r="173" spans="1:11" s="295" customFormat="1" ht="15.75">
      <c r="A173" s="287" t="s">
        <v>44</v>
      </c>
      <c r="B173" s="288"/>
      <c r="C173" s="289" t="s">
        <v>93</v>
      </c>
      <c r="D173" s="290"/>
      <c r="E173" s="291"/>
      <c r="F173" s="291"/>
      <c r="G173" s="292"/>
      <c r="H173" s="293">
        <f>H140+H148+H159+H167</f>
        <v>6862.97</v>
      </c>
      <c r="I173" s="294">
        <f>I140+I148+I159+I167</f>
        <v>8840.42</v>
      </c>
      <c r="K173" s="296"/>
    </row>
    <row r="174" spans="1:11" ht="15.75">
      <c r="A174" s="89" t="s">
        <v>94</v>
      </c>
      <c r="B174" s="115"/>
      <c r="C174" s="116" t="s">
        <v>95</v>
      </c>
      <c r="D174" s="139"/>
      <c r="E174" s="140"/>
      <c r="F174" s="140"/>
      <c r="G174" s="140"/>
      <c r="H174" s="140"/>
      <c r="I174" s="141"/>
    </row>
    <row r="175" spans="1:11" ht="30">
      <c r="A175" s="100" t="s">
        <v>96</v>
      </c>
      <c r="B175" s="108" t="s">
        <v>97</v>
      </c>
      <c r="C175" s="109" t="s">
        <v>98</v>
      </c>
      <c r="D175" s="20" t="s">
        <v>22</v>
      </c>
      <c r="E175" s="69">
        <v>5.67</v>
      </c>
      <c r="F175" s="69">
        <f>TRUNC(G182,2)</f>
        <v>651.78</v>
      </c>
      <c r="G175" s="19">
        <f>TRUNC(F175*1.2882,2)</f>
        <v>839.62</v>
      </c>
      <c r="H175" s="19">
        <f>TRUNC(E175*F175,2)</f>
        <v>3695.59</v>
      </c>
      <c r="I175" s="19">
        <f>TRUNC(E175*G175,2)</f>
        <v>4760.6400000000003</v>
      </c>
    </row>
    <row r="176" spans="1:11" ht="30">
      <c r="A176" s="110"/>
      <c r="B176" s="118" t="s">
        <v>280</v>
      </c>
      <c r="C176" s="119" t="s">
        <v>281</v>
      </c>
      <c r="D176" s="110" t="s">
        <v>10</v>
      </c>
      <c r="E176" s="114">
        <v>0.54730000000000001</v>
      </c>
      <c r="F176" s="79">
        <v>730.62</v>
      </c>
      <c r="G176" s="77">
        <f t="shared" ref="G176:G181" si="6">TRUNC(E176*F176,2)</f>
        <v>399.86</v>
      </c>
      <c r="H176" s="77"/>
      <c r="I176" s="79"/>
    </row>
    <row r="177" spans="1:11" ht="45">
      <c r="A177" s="110"/>
      <c r="B177" s="118" t="s">
        <v>282</v>
      </c>
      <c r="C177" s="119" t="s">
        <v>283</v>
      </c>
      <c r="D177" s="110" t="s">
        <v>88</v>
      </c>
      <c r="E177" s="114">
        <v>6.8503999999999996</v>
      </c>
      <c r="F177" s="79">
        <v>30.79</v>
      </c>
      <c r="G177" s="77">
        <f t="shared" si="6"/>
        <v>210.92</v>
      </c>
      <c r="H177" s="77"/>
      <c r="I177" s="79"/>
    </row>
    <row r="178" spans="1:11" ht="30">
      <c r="A178" s="110"/>
      <c r="B178" s="118" t="s">
        <v>284</v>
      </c>
      <c r="C178" s="119" t="s">
        <v>285</v>
      </c>
      <c r="D178" s="110" t="s">
        <v>10</v>
      </c>
      <c r="E178" s="114">
        <v>4.8166000000000002</v>
      </c>
      <c r="F178" s="79">
        <v>0.61</v>
      </c>
      <c r="G178" s="77">
        <f t="shared" si="6"/>
        <v>2.93</v>
      </c>
      <c r="H178" s="77"/>
      <c r="I178" s="79"/>
    </row>
    <row r="179" spans="1:11" ht="30">
      <c r="A179" s="110"/>
      <c r="B179" s="118" t="s">
        <v>260</v>
      </c>
      <c r="C179" s="119" t="s">
        <v>261</v>
      </c>
      <c r="D179" s="110" t="s">
        <v>262</v>
      </c>
      <c r="E179" s="114">
        <v>0.88290000000000002</v>
      </c>
      <c r="F179" s="79">
        <v>27.62</v>
      </c>
      <c r="G179" s="77">
        <f t="shared" si="6"/>
        <v>24.38</v>
      </c>
      <c r="H179" s="77"/>
      <c r="I179" s="79"/>
    </row>
    <row r="180" spans="1:11" ht="15">
      <c r="A180" s="110"/>
      <c r="B180" s="118" t="s">
        <v>167</v>
      </c>
      <c r="C180" s="119" t="s">
        <v>168</v>
      </c>
      <c r="D180" s="110" t="s">
        <v>162</v>
      </c>
      <c r="E180" s="114">
        <v>0.191</v>
      </c>
      <c r="F180" s="79">
        <f>TRUNC(20.38,2)</f>
        <v>20.38</v>
      </c>
      <c r="G180" s="77">
        <f t="shared" si="6"/>
        <v>3.89</v>
      </c>
      <c r="H180" s="77"/>
      <c r="I180" s="79"/>
    </row>
    <row r="181" spans="1:11" ht="15">
      <c r="A181" s="110"/>
      <c r="B181" s="118" t="s">
        <v>174</v>
      </c>
      <c r="C181" s="119" t="s">
        <v>175</v>
      </c>
      <c r="D181" s="110" t="s">
        <v>162</v>
      </c>
      <c r="E181" s="114">
        <v>0.3826</v>
      </c>
      <c r="F181" s="79">
        <f>TRUNC(25.63,2)</f>
        <v>25.63</v>
      </c>
      <c r="G181" s="77">
        <f t="shared" si="6"/>
        <v>9.8000000000000007</v>
      </c>
      <c r="H181" s="77"/>
      <c r="I181" s="79"/>
    </row>
    <row r="182" spans="1:11" ht="15">
      <c r="A182" s="110"/>
      <c r="B182" s="118"/>
      <c r="C182" s="119"/>
      <c r="D182" s="110"/>
      <c r="E182" s="114" t="s">
        <v>132</v>
      </c>
      <c r="F182" s="79"/>
      <c r="G182" s="77">
        <f>TRUNC(SUM(G176:G181),2)</f>
        <v>651.78</v>
      </c>
      <c r="H182" s="77"/>
      <c r="I182" s="79"/>
    </row>
    <row r="183" spans="1:11" s="295" customFormat="1" ht="15.75">
      <c r="A183" s="287" t="s">
        <v>44</v>
      </c>
      <c r="B183" s="288"/>
      <c r="C183" s="289" t="s">
        <v>99</v>
      </c>
      <c r="D183" s="290"/>
      <c r="E183" s="291"/>
      <c r="F183" s="291"/>
      <c r="G183" s="292"/>
      <c r="H183" s="293">
        <f>H175</f>
        <v>3695.59</v>
      </c>
      <c r="I183" s="294">
        <f>I175</f>
        <v>4760.6400000000003</v>
      </c>
      <c r="K183" s="296"/>
    </row>
    <row r="184" spans="1:11" ht="15.75">
      <c r="A184" s="89" t="s">
        <v>100</v>
      </c>
      <c r="B184" s="115"/>
      <c r="C184" s="116" t="s">
        <v>101</v>
      </c>
      <c r="D184" s="139"/>
      <c r="E184" s="140"/>
      <c r="F184" s="140"/>
      <c r="G184" s="140"/>
      <c r="H184" s="140"/>
      <c r="I184" s="141"/>
    </row>
    <row r="185" spans="1:11" ht="30">
      <c r="A185" s="100" t="s">
        <v>102</v>
      </c>
      <c r="B185" s="108" t="s">
        <v>103</v>
      </c>
      <c r="C185" s="109" t="s">
        <v>104</v>
      </c>
      <c r="D185" s="20" t="s">
        <v>10</v>
      </c>
      <c r="E185" s="69">
        <v>4</v>
      </c>
      <c r="F185" s="69">
        <f>TRUNC(G187,2)</f>
        <v>61.69</v>
      </c>
      <c r="G185" s="19">
        <f>TRUNC(F185*1.2882,2)</f>
        <v>79.459999999999994</v>
      </c>
      <c r="H185" s="19">
        <f>TRUNC(E185*F185,2)</f>
        <v>246.76</v>
      </c>
      <c r="I185" s="19">
        <f>TRUNC(E185*G185,2)</f>
        <v>317.83999999999997</v>
      </c>
    </row>
    <row r="186" spans="1:11" ht="30">
      <c r="A186" s="110"/>
      <c r="B186" s="118" t="s">
        <v>286</v>
      </c>
      <c r="C186" s="119" t="s">
        <v>287</v>
      </c>
      <c r="D186" s="110" t="s">
        <v>10</v>
      </c>
      <c r="E186" s="114">
        <v>1</v>
      </c>
      <c r="F186" s="79">
        <v>61.69</v>
      </c>
      <c r="G186" s="77">
        <f>TRUNC(E186*F186,2)</f>
        <v>61.69</v>
      </c>
      <c r="H186" s="77"/>
      <c r="I186" s="79"/>
    </row>
    <row r="187" spans="1:11" ht="15">
      <c r="A187" s="110"/>
      <c r="B187" s="118"/>
      <c r="C187" s="119"/>
      <c r="D187" s="110"/>
      <c r="E187" s="114" t="s">
        <v>132</v>
      </c>
      <c r="F187" s="79"/>
      <c r="G187" s="77">
        <f>TRUNC(SUM(G186:G186),2)</f>
        <v>61.69</v>
      </c>
      <c r="H187" s="77"/>
      <c r="I187" s="79"/>
    </row>
    <row r="188" spans="1:11" ht="90">
      <c r="A188" s="100" t="s">
        <v>105</v>
      </c>
      <c r="B188" s="108" t="s">
        <v>106</v>
      </c>
      <c r="C188" s="109" t="s">
        <v>107</v>
      </c>
      <c r="D188" s="20" t="s">
        <v>10</v>
      </c>
      <c r="E188" s="69">
        <v>1</v>
      </c>
      <c r="F188" s="69">
        <f>TRUNC(F189,2)</f>
        <v>336.8</v>
      </c>
      <c r="G188" s="19">
        <f>TRUNC(F188*1.2882,2)</f>
        <v>433.86</v>
      </c>
      <c r="H188" s="19">
        <f>TRUNC(E188*F188,2)</f>
        <v>336.8</v>
      </c>
      <c r="I188" s="19">
        <f>TRUNC(E188*G188,2)</f>
        <v>433.86</v>
      </c>
    </row>
    <row r="189" spans="1:11" ht="90">
      <c r="A189" s="110"/>
      <c r="B189" s="111" t="s">
        <v>106</v>
      </c>
      <c r="C189" s="112" t="s">
        <v>288</v>
      </c>
      <c r="D189" s="113" t="s">
        <v>10</v>
      </c>
      <c r="E189" s="79">
        <v>1</v>
      </c>
      <c r="F189" s="79">
        <f>G209</f>
        <v>336.8</v>
      </c>
      <c r="G189" s="77">
        <f t="shared" ref="G189:G208" si="7">TRUNC(E189*F189,2)</f>
        <v>336.8</v>
      </c>
      <c r="H189" s="77"/>
      <c r="I189" s="77"/>
    </row>
    <row r="190" spans="1:11" ht="30">
      <c r="A190" s="110"/>
      <c r="B190" s="111" t="s">
        <v>289</v>
      </c>
      <c r="C190" s="112" t="s">
        <v>290</v>
      </c>
      <c r="D190" s="113" t="s">
        <v>10</v>
      </c>
      <c r="E190" s="79">
        <v>0.08</v>
      </c>
      <c r="F190" s="79">
        <f>TRUNC(50.55,2)</f>
        <v>50.55</v>
      </c>
      <c r="G190" s="77">
        <f t="shared" si="7"/>
        <v>4.04</v>
      </c>
      <c r="H190" s="77"/>
      <c r="I190" s="77"/>
    </row>
    <row r="191" spans="1:11" ht="30">
      <c r="A191" s="110"/>
      <c r="B191" s="111" t="s">
        <v>291</v>
      </c>
      <c r="C191" s="112" t="s">
        <v>292</v>
      </c>
      <c r="D191" s="113" t="s">
        <v>10</v>
      </c>
      <c r="E191" s="79">
        <v>1</v>
      </c>
      <c r="F191" s="79">
        <f>TRUNC(28.94,2)</f>
        <v>28.94</v>
      </c>
      <c r="G191" s="77">
        <f t="shared" si="7"/>
        <v>28.94</v>
      </c>
      <c r="H191" s="77"/>
      <c r="I191" s="77"/>
    </row>
    <row r="192" spans="1:11" ht="15">
      <c r="A192" s="110"/>
      <c r="B192" s="111" t="s">
        <v>293</v>
      </c>
      <c r="C192" s="112" t="s">
        <v>294</v>
      </c>
      <c r="D192" s="113" t="s">
        <v>10</v>
      </c>
      <c r="E192" s="79">
        <v>0.6</v>
      </c>
      <c r="F192" s="79">
        <f>TRUNC(5.35,2)</f>
        <v>5.35</v>
      </c>
      <c r="G192" s="77">
        <f t="shared" si="7"/>
        <v>3.21</v>
      </c>
      <c r="H192" s="77"/>
      <c r="I192" s="77"/>
    </row>
    <row r="193" spans="1:9" ht="30">
      <c r="A193" s="110"/>
      <c r="B193" s="111" t="s">
        <v>295</v>
      </c>
      <c r="C193" s="112" t="s">
        <v>296</v>
      </c>
      <c r="D193" s="113" t="s">
        <v>10</v>
      </c>
      <c r="E193" s="79">
        <v>2</v>
      </c>
      <c r="F193" s="79">
        <f>TRUNC(9.84,2)</f>
        <v>9.84</v>
      </c>
      <c r="G193" s="77">
        <f t="shared" si="7"/>
        <v>19.68</v>
      </c>
      <c r="H193" s="77"/>
      <c r="I193" s="77"/>
    </row>
    <row r="194" spans="1:9" ht="30">
      <c r="A194" s="110"/>
      <c r="B194" s="111" t="s">
        <v>297</v>
      </c>
      <c r="C194" s="112" t="s">
        <v>298</v>
      </c>
      <c r="D194" s="113" t="s">
        <v>10</v>
      </c>
      <c r="E194" s="79">
        <v>1</v>
      </c>
      <c r="F194" s="79">
        <f>TRUNC(34.71,2)</f>
        <v>34.71</v>
      </c>
      <c r="G194" s="77">
        <f t="shared" si="7"/>
        <v>34.71</v>
      </c>
      <c r="H194" s="77"/>
      <c r="I194" s="77"/>
    </row>
    <row r="195" spans="1:9" ht="15">
      <c r="A195" s="110"/>
      <c r="B195" s="111" t="s">
        <v>299</v>
      </c>
      <c r="C195" s="112" t="s">
        <v>300</v>
      </c>
      <c r="D195" s="113" t="s">
        <v>10</v>
      </c>
      <c r="E195" s="79">
        <v>2</v>
      </c>
      <c r="F195" s="79">
        <f>TRUNC(0.78,2)</f>
        <v>0.78</v>
      </c>
      <c r="G195" s="77">
        <f t="shared" si="7"/>
        <v>1.56</v>
      </c>
      <c r="H195" s="77"/>
      <c r="I195" s="77"/>
    </row>
    <row r="196" spans="1:9" ht="15">
      <c r="A196" s="110"/>
      <c r="B196" s="111" t="s">
        <v>301</v>
      </c>
      <c r="C196" s="112" t="s">
        <v>302</v>
      </c>
      <c r="D196" s="113" t="s">
        <v>10</v>
      </c>
      <c r="E196" s="79">
        <v>1</v>
      </c>
      <c r="F196" s="79">
        <f>TRUNC(3.97,2)</f>
        <v>3.97</v>
      </c>
      <c r="G196" s="77">
        <f t="shared" si="7"/>
        <v>3.97</v>
      </c>
      <c r="H196" s="77"/>
      <c r="I196" s="77"/>
    </row>
    <row r="197" spans="1:9" ht="30">
      <c r="A197" s="110"/>
      <c r="B197" s="111" t="s">
        <v>303</v>
      </c>
      <c r="C197" s="112" t="s">
        <v>304</v>
      </c>
      <c r="D197" s="113" t="s">
        <v>10</v>
      </c>
      <c r="E197" s="79">
        <v>1</v>
      </c>
      <c r="F197" s="79">
        <f>TRUNC(7.07,2)</f>
        <v>7.07</v>
      </c>
      <c r="G197" s="77">
        <f t="shared" si="7"/>
        <v>7.07</v>
      </c>
      <c r="H197" s="77"/>
      <c r="I197" s="77"/>
    </row>
    <row r="198" spans="1:9" ht="15">
      <c r="A198" s="110"/>
      <c r="B198" s="111" t="s">
        <v>305</v>
      </c>
      <c r="C198" s="112" t="s">
        <v>306</v>
      </c>
      <c r="D198" s="113" t="s">
        <v>88</v>
      </c>
      <c r="E198" s="79">
        <v>10</v>
      </c>
      <c r="F198" s="79">
        <f>TRUNC(1.98,2)</f>
        <v>1.98</v>
      </c>
      <c r="G198" s="77">
        <f t="shared" si="7"/>
        <v>19.8</v>
      </c>
      <c r="H198" s="77"/>
      <c r="I198" s="77"/>
    </row>
    <row r="199" spans="1:9" ht="30">
      <c r="A199" s="110"/>
      <c r="B199" s="111" t="s">
        <v>307</v>
      </c>
      <c r="C199" s="112" t="s">
        <v>308</v>
      </c>
      <c r="D199" s="113" t="s">
        <v>10</v>
      </c>
      <c r="E199" s="79">
        <v>1</v>
      </c>
      <c r="F199" s="79">
        <f>TRUNC(20.6,2)</f>
        <v>20.6</v>
      </c>
      <c r="G199" s="77">
        <f t="shared" si="7"/>
        <v>20.6</v>
      </c>
      <c r="H199" s="77"/>
      <c r="I199" s="77"/>
    </row>
    <row r="200" spans="1:9" ht="30">
      <c r="A200" s="110"/>
      <c r="B200" s="111" t="s">
        <v>309</v>
      </c>
      <c r="C200" s="112" t="s">
        <v>310</v>
      </c>
      <c r="D200" s="113" t="s">
        <v>10</v>
      </c>
      <c r="E200" s="79">
        <v>2</v>
      </c>
      <c r="F200" s="79">
        <f>TRUNC(1.35,2)</f>
        <v>1.35</v>
      </c>
      <c r="G200" s="77">
        <f t="shared" si="7"/>
        <v>2.7</v>
      </c>
      <c r="H200" s="77"/>
      <c r="I200" s="77"/>
    </row>
    <row r="201" spans="1:9" ht="15">
      <c r="A201" s="110"/>
      <c r="B201" s="111" t="s">
        <v>311</v>
      </c>
      <c r="C201" s="112" t="s">
        <v>312</v>
      </c>
      <c r="D201" s="113" t="s">
        <v>10</v>
      </c>
      <c r="E201" s="79">
        <v>2</v>
      </c>
      <c r="F201" s="79">
        <f>TRUNC(0.64,2)</f>
        <v>0.64</v>
      </c>
      <c r="G201" s="77">
        <f t="shared" si="7"/>
        <v>1.28</v>
      </c>
      <c r="H201" s="77"/>
      <c r="I201" s="77"/>
    </row>
    <row r="202" spans="1:9" ht="15">
      <c r="A202" s="110"/>
      <c r="B202" s="111" t="s">
        <v>313</v>
      </c>
      <c r="C202" s="112" t="s">
        <v>314</v>
      </c>
      <c r="D202" s="113" t="s">
        <v>10</v>
      </c>
      <c r="E202" s="79">
        <v>1</v>
      </c>
      <c r="F202" s="79">
        <f>TRUNC(0.98,2)</f>
        <v>0.98</v>
      </c>
      <c r="G202" s="77">
        <f t="shared" si="7"/>
        <v>0.98</v>
      </c>
      <c r="H202" s="77"/>
      <c r="I202" s="77"/>
    </row>
    <row r="203" spans="1:9" ht="15">
      <c r="A203" s="110"/>
      <c r="B203" s="111" t="s">
        <v>315</v>
      </c>
      <c r="C203" s="112" t="s">
        <v>316</v>
      </c>
      <c r="D203" s="113" t="s">
        <v>10</v>
      </c>
      <c r="E203" s="79">
        <v>1</v>
      </c>
      <c r="F203" s="79">
        <f>TRUNC(7.23,2)</f>
        <v>7.23</v>
      </c>
      <c r="G203" s="77">
        <f t="shared" si="7"/>
        <v>7.23</v>
      </c>
      <c r="H203" s="77"/>
      <c r="I203" s="77"/>
    </row>
    <row r="204" spans="1:9" ht="15">
      <c r="A204" s="110"/>
      <c r="B204" s="111" t="s">
        <v>317</v>
      </c>
      <c r="C204" s="112" t="s">
        <v>318</v>
      </c>
      <c r="D204" s="113" t="s">
        <v>10</v>
      </c>
      <c r="E204" s="79">
        <v>1</v>
      </c>
      <c r="F204" s="79">
        <f>TRUNC(1.39,2)</f>
        <v>1.39</v>
      </c>
      <c r="G204" s="77">
        <f t="shared" si="7"/>
        <v>1.39</v>
      </c>
      <c r="H204" s="77"/>
      <c r="I204" s="77"/>
    </row>
    <row r="205" spans="1:9" ht="15">
      <c r="A205" s="110"/>
      <c r="B205" s="111" t="s">
        <v>319</v>
      </c>
      <c r="C205" s="112" t="s">
        <v>320</v>
      </c>
      <c r="D205" s="113" t="s">
        <v>10</v>
      </c>
      <c r="E205" s="79">
        <v>2</v>
      </c>
      <c r="F205" s="79">
        <f>TRUNC(1.89,2)</f>
        <v>1.89</v>
      </c>
      <c r="G205" s="77">
        <f t="shared" si="7"/>
        <v>3.78</v>
      </c>
      <c r="H205" s="77"/>
      <c r="I205" s="77"/>
    </row>
    <row r="206" spans="1:9" ht="30">
      <c r="A206" s="110"/>
      <c r="B206" s="111" t="s">
        <v>160</v>
      </c>
      <c r="C206" s="112" t="s">
        <v>161</v>
      </c>
      <c r="D206" s="113" t="s">
        <v>162</v>
      </c>
      <c r="E206" s="79">
        <v>5.15</v>
      </c>
      <c r="F206" s="79">
        <f>TRUNC(14.34,2)</f>
        <v>14.34</v>
      </c>
      <c r="G206" s="77">
        <f t="shared" si="7"/>
        <v>73.849999999999994</v>
      </c>
      <c r="H206" s="77"/>
      <c r="I206" s="77"/>
    </row>
    <row r="207" spans="1:9" ht="30">
      <c r="A207" s="110"/>
      <c r="B207" s="111" t="s">
        <v>271</v>
      </c>
      <c r="C207" s="112" t="s">
        <v>272</v>
      </c>
      <c r="D207" s="113" t="s">
        <v>162</v>
      </c>
      <c r="E207" s="79">
        <v>4.12</v>
      </c>
      <c r="F207" s="79">
        <f>TRUNC(19.81,2)</f>
        <v>19.809999999999999</v>
      </c>
      <c r="G207" s="77">
        <f t="shared" si="7"/>
        <v>81.61</v>
      </c>
      <c r="H207" s="77"/>
      <c r="I207" s="77"/>
    </row>
    <row r="208" spans="1:9" ht="30">
      <c r="A208" s="110"/>
      <c r="B208" s="111" t="s">
        <v>321</v>
      </c>
      <c r="C208" s="112" t="s">
        <v>322</v>
      </c>
      <c r="D208" s="113" t="s">
        <v>162</v>
      </c>
      <c r="E208" s="79">
        <v>1.03</v>
      </c>
      <c r="F208" s="79">
        <f>TRUNC(19.81,2)</f>
        <v>19.809999999999999</v>
      </c>
      <c r="G208" s="77">
        <f t="shared" si="7"/>
        <v>20.399999999999999</v>
      </c>
      <c r="H208" s="77"/>
      <c r="I208" s="77"/>
    </row>
    <row r="209" spans="1:9" ht="15">
      <c r="A209" s="110"/>
      <c r="B209" s="111"/>
      <c r="C209" s="112"/>
      <c r="D209" s="113"/>
      <c r="E209" s="79" t="s">
        <v>132</v>
      </c>
      <c r="F209" s="79"/>
      <c r="G209" s="77">
        <f>TRUNC(SUM(G190:G208),2)</f>
        <v>336.8</v>
      </c>
      <c r="H209" s="77"/>
      <c r="I209" s="77"/>
    </row>
    <row r="210" spans="1:9" ht="45">
      <c r="A210" s="100" t="s">
        <v>108</v>
      </c>
      <c r="B210" s="108" t="s">
        <v>109</v>
      </c>
      <c r="C210" s="109" t="s">
        <v>110</v>
      </c>
      <c r="D210" s="20" t="s">
        <v>10</v>
      </c>
      <c r="E210" s="69">
        <v>2</v>
      </c>
      <c r="F210" s="69">
        <f>TRUNC(G214,2)</f>
        <v>806.93</v>
      </c>
      <c r="G210" s="19">
        <f>TRUNC(F210*1.2882,2)</f>
        <v>1039.48</v>
      </c>
      <c r="H210" s="19">
        <f>TRUNC(E210*F210,2)</f>
        <v>1613.86</v>
      </c>
      <c r="I210" s="19">
        <f>TRUNC(E210*G210,2)</f>
        <v>2078.96</v>
      </c>
    </row>
    <row r="211" spans="1:9" ht="15">
      <c r="A211" s="110"/>
      <c r="B211" s="118" t="s">
        <v>323</v>
      </c>
      <c r="C211" s="119" t="s">
        <v>324</v>
      </c>
      <c r="D211" s="110" t="s">
        <v>10</v>
      </c>
      <c r="E211" s="114">
        <v>1</v>
      </c>
      <c r="F211" s="79">
        <v>790.27</v>
      </c>
      <c r="G211" s="77">
        <f>TRUNC(E211*F211,2)</f>
        <v>790.27</v>
      </c>
      <c r="H211" s="77"/>
      <c r="I211" s="79"/>
    </row>
    <row r="212" spans="1:9" ht="30">
      <c r="A212" s="110"/>
      <c r="B212" s="118" t="s">
        <v>160</v>
      </c>
      <c r="C212" s="119" t="s">
        <v>161</v>
      </c>
      <c r="D212" s="110" t="s">
        <v>162</v>
      </c>
      <c r="E212" s="114">
        <v>0.51500000000000001</v>
      </c>
      <c r="F212" s="79">
        <f>TRUNC(13.6,2)</f>
        <v>13.6</v>
      </c>
      <c r="G212" s="77">
        <f>TRUNC(E212*F212,2)</f>
        <v>7</v>
      </c>
      <c r="H212" s="77"/>
      <c r="I212" s="79"/>
    </row>
    <row r="213" spans="1:9" ht="15">
      <c r="A213" s="110"/>
      <c r="B213" s="118" t="s">
        <v>165</v>
      </c>
      <c r="C213" s="119" t="s">
        <v>166</v>
      </c>
      <c r="D213" s="110" t="s">
        <v>162</v>
      </c>
      <c r="E213" s="114">
        <v>0.51500000000000001</v>
      </c>
      <c r="F213" s="79">
        <f>TRUNC(18.77,2)</f>
        <v>18.77</v>
      </c>
      <c r="G213" s="77">
        <f>TRUNC(E213*F213,2)</f>
        <v>9.66</v>
      </c>
      <c r="H213" s="77"/>
      <c r="I213" s="79"/>
    </row>
    <row r="214" spans="1:9" ht="15">
      <c r="A214" s="110"/>
      <c r="B214" s="118"/>
      <c r="C214" s="119"/>
      <c r="D214" s="110"/>
      <c r="E214" s="114" t="s">
        <v>132</v>
      </c>
      <c r="F214" s="79"/>
      <c r="G214" s="77">
        <f>TRUNC(SUM(G211:G213),2)</f>
        <v>806.93</v>
      </c>
      <c r="H214" s="77"/>
      <c r="I214" s="79"/>
    </row>
    <row r="215" spans="1:9" ht="30" customHeight="1">
      <c r="A215" s="100" t="s">
        <v>111</v>
      </c>
      <c r="B215" s="108" t="s">
        <v>144</v>
      </c>
      <c r="C215" s="109" t="s">
        <v>325</v>
      </c>
      <c r="D215" s="20" t="s">
        <v>10</v>
      </c>
      <c r="E215" s="69">
        <v>2</v>
      </c>
      <c r="F215" s="69">
        <f>G219</f>
        <v>547.82000000000005</v>
      </c>
      <c r="G215" s="19">
        <f>TRUNC(F215*1.2882,2)</f>
        <v>705.7</v>
      </c>
      <c r="H215" s="19">
        <f>TRUNC(E215*F215,2)</f>
        <v>1095.6400000000001</v>
      </c>
      <c r="I215" s="19">
        <f>TRUNC(E215*G215,2)</f>
        <v>1411.4</v>
      </c>
    </row>
    <row r="216" spans="1:9" ht="45">
      <c r="A216" s="133"/>
      <c r="B216" s="134" t="s">
        <v>144</v>
      </c>
      <c r="C216" s="135" t="s">
        <v>326</v>
      </c>
      <c r="D216" s="133" t="s">
        <v>10</v>
      </c>
      <c r="E216" s="136">
        <v>1</v>
      </c>
      <c r="F216" s="137">
        <f>TRUNC(547.8,2)</f>
        <v>547.79999999999995</v>
      </c>
      <c r="G216" s="138">
        <f>TRUNC(E216*F216,2)</f>
        <v>547.79999999999995</v>
      </c>
      <c r="H216" s="138"/>
      <c r="I216" s="137"/>
    </row>
    <row r="217" spans="1:9" ht="30">
      <c r="A217" s="133"/>
      <c r="B217" s="134" t="s">
        <v>327</v>
      </c>
      <c r="C217" s="135" t="s">
        <v>328</v>
      </c>
      <c r="D217" s="133" t="s">
        <v>10</v>
      </c>
      <c r="E217" s="136">
        <v>1</v>
      </c>
      <c r="F217" s="137">
        <f>TRUNC(499.555984,2)</f>
        <v>499.55</v>
      </c>
      <c r="G217" s="138">
        <f>TRUNC(E217*F217,2)</f>
        <v>499.55</v>
      </c>
      <c r="H217" s="138"/>
      <c r="I217" s="137"/>
    </row>
    <row r="218" spans="1:9" ht="30">
      <c r="A218" s="133"/>
      <c r="B218" s="134" t="s">
        <v>329</v>
      </c>
      <c r="C218" s="135" t="s">
        <v>330</v>
      </c>
      <c r="D218" s="133" t="s">
        <v>10</v>
      </c>
      <c r="E218" s="136">
        <v>1</v>
      </c>
      <c r="F218" s="137">
        <f>TRUNC(48.275969,2)</f>
        <v>48.27</v>
      </c>
      <c r="G218" s="138">
        <f>TRUNC(E218*F218,2)</f>
        <v>48.27</v>
      </c>
      <c r="H218" s="138"/>
      <c r="I218" s="137"/>
    </row>
    <row r="219" spans="1:9" ht="15">
      <c r="A219" s="133"/>
      <c r="B219" s="134"/>
      <c r="C219" s="135"/>
      <c r="D219" s="133"/>
      <c r="E219" s="136" t="s">
        <v>132</v>
      </c>
      <c r="F219" s="137"/>
      <c r="G219" s="138">
        <f>TRUNC(SUM(G217:G218),2)</f>
        <v>547.82000000000005</v>
      </c>
      <c r="H219" s="138"/>
      <c r="I219" s="137"/>
    </row>
    <row r="220" spans="1:9" ht="69.95" customHeight="1">
      <c r="A220" s="100" t="s">
        <v>112</v>
      </c>
      <c r="B220" s="108" t="s">
        <v>149</v>
      </c>
      <c r="C220" s="24" t="s">
        <v>331</v>
      </c>
      <c r="D220" s="20" t="s">
        <v>10</v>
      </c>
      <c r="E220" s="69">
        <v>4</v>
      </c>
      <c r="F220" s="69">
        <f>F221</f>
        <v>380.04</v>
      </c>
      <c r="G220" s="19">
        <f>TRUNC(F220*1.2882,2)</f>
        <v>489.56</v>
      </c>
      <c r="H220" s="19">
        <f>TRUNC(E220*F220,2)</f>
        <v>1520.16</v>
      </c>
      <c r="I220" s="19">
        <f>TRUNC(E220*G220,2)</f>
        <v>1958.24</v>
      </c>
    </row>
    <row r="221" spans="1:9" ht="30">
      <c r="A221" s="133"/>
      <c r="B221" s="134" t="s">
        <v>149</v>
      </c>
      <c r="C221" s="135" t="s">
        <v>332</v>
      </c>
      <c r="D221" s="133" t="s">
        <v>10</v>
      </c>
      <c r="E221" s="136">
        <v>1</v>
      </c>
      <c r="F221" s="137">
        <f>G229</f>
        <v>380.04</v>
      </c>
      <c r="G221" s="138">
        <f t="shared" ref="G221:G228" si="8">TRUNC(E221*F221,2)</f>
        <v>380.04</v>
      </c>
      <c r="H221" s="138"/>
      <c r="I221" s="137"/>
    </row>
    <row r="222" spans="1:9" ht="30">
      <c r="A222" s="133"/>
      <c r="B222" s="134" t="s">
        <v>333</v>
      </c>
      <c r="C222" s="135" t="s">
        <v>334</v>
      </c>
      <c r="D222" s="133" t="s">
        <v>10</v>
      </c>
      <c r="E222" s="136">
        <v>1</v>
      </c>
      <c r="F222" s="137">
        <v>7.81</v>
      </c>
      <c r="G222" s="138">
        <f t="shared" si="8"/>
        <v>7.81</v>
      </c>
      <c r="H222" s="138"/>
      <c r="I222" s="137"/>
    </row>
    <row r="223" spans="1:9" ht="15">
      <c r="A223" s="133"/>
      <c r="B223" s="134" t="s">
        <v>335</v>
      </c>
      <c r="C223" s="135" t="s">
        <v>336</v>
      </c>
      <c r="D223" s="133" t="s">
        <v>10</v>
      </c>
      <c r="E223" s="136">
        <v>1</v>
      </c>
      <c r="F223" s="137">
        <v>2.2400000000000002</v>
      </c>
      <c r="G223" s="138">
        <f t="shared" si="8"/>
        <v>2.2400000000000002</v>
      </c>
      <c r="H223" s="138"/>
      <c r="I223" s="137"/>
    </row>
    <row r="224" spans="1:9" ht="15">
      <c r="A224" s="133"/>
      <c r="B224" s="134" t="s">
        <v>337</v>
      </c>
      <c r="C224" s="135" t="s">
        <v>338</v>
      </c>
      <c r="D224" s="133" t="s">
        <v>10</v>
      </c>
      <c r="E224" s="136">
        <v>1</v>
      </c>
      <c r="F224" s="137">
        <v>21.62</v>
      </c>
      <c r="G224" s="138">
        <f t="shared" si="8"/>
        <v>21.62</v>
      </c>
      <c r="H224" s="138"/>
      <c r="I224" s="137"/>
    </row>
    <row r="225" spans="1:9" ht="30">
      <c r="A225" s="133"/>
      <c r="B225" s="134" t="s">
        <v>339</v>
      </c>
      <c r="C225" s="135" t="s">
        <v>340</v>
      </c>
      <c r="D225" s="133" t="s">
        <v>10</v>
      </c>
      <c r="E225" s="136">
        <v>1</v>
      </c>
      <c r="F225" s="137">
        <v>277.73</v>
      </c>
      <c r="G225" s="138">
        <f t="shared" si="8"/>
        <v>277.73</v>
      </c>
      <c r="H225" s="138"/>
      <c r="I225" s="137"/>
    </row>
    <row r="226" spans="1:9" ht="15">
      <c r="A226" s="133"/>
      <c r="B226" s="134" t="s">
        <v>301</v>
      </c>
      <c r="C226" s="135" t="s">
        <v>302</v>
      </c>
      <c r="D226" s="133" t="s">
        <v>10</v>
      </c>
      <c r="E226" s="136">
        <v>1</v>
      </c>
      <c r="F226" s="137">
        <v>3.97</v>
      </c>
      <c r="G226" s="138">
        <f t="shared" si="8"/>
        <v>3.97</v>
      </c>
      <c r="H226" s="138"/>
      <c r="I226" s="137"/>
    </row>
    <row r="227" spans="1:9" ht="30">
      <c r="A227" s="133"/>
      <c r="B227" s="134" t="s">
        <v>160</v>
      </c>
      <c r="C227" s="135" t="s">
        <v>161</v>
      </c>
      <c r="D227" s="133" t="s">
        <v>162</v>
      </c>
      <c r="E227" s="136">
        <v>2.06</v>
      </c>
      <c r="F227" s="137">
        <f>TRUNC(13.6,2)</f>
        <v>13.6</v>
      </c>
      <c r="G227" s="138">
        <f t="shared" si="8"/>
        <v>28.01</v>
      </c>
      <c r="H227" s="138"/>
      <c r="I227" s="137"/>
    </row>
    <row r="228" spans="1:9" ht="30">
      <c r="A228" s="133"/>
      <c r="B228" s="134" t="s">
        <v>271</v>
      </c>
      <c r="C228" s="135" t="s">
        <v>272</v>
      </c>
      <c r="D228" s="133" t="s">
        <v>162</v>
      </c>
      <c r="E228" s="136">
        <v>2.06</v>
      </c>
      <c r="F228" s="137">
        <f>TRUNC(18.77,2)</f>
        <v>18.77</v>
      </c>
      <c r="G228" s="138">
        <f t="shared" si="8"/>
        <v>38.659999999999997</v>
      </c>
      <c r="H228" s="138"/>
      <c r="I228" s="137"/>
    </row>
    <row r="229" spans="1:9" ht="15">
      <c r="A229" s="133"/>
      <c r="B229" s="134"/>
      <c r="C229" s="135"/>
      <c r="D229" s="133"/>
      <c r="E229" s="136" t="s">
        <v>132</v>
      </c>
      <c r="F229" s="137"/>
      <c r="G229" s="138">
        <f>TRUNC(SUM(G222:G228),2)</f>
        <v>380.04</v>
      </c>
      <c r="H229" s="138"/>
      <c r="I229" s="137"/>
    </row>
    <row r="230" spans="1:9" ht="15">
      <c r="A230" s="100" t="s">
        <v>113</v>
      </c>
      <c r="B230" s="108" t="s">
        <v>145</v>
      </c>
      <c r="C230" s="109" t="s">
        <v>341</v>
      </c>
      <c r="D230" s="20" t="s">
        <v>10</v>
      </c>
      <c r="E230" s="69">
        <v>2</v>
      </c>
      <c r="F230" s="69">
        <f>F231</f>
        <v>39.74</v>
      </c>
      <c r="G230" s="19">
        <f>TRUNC(F230*1.2882,2)</f>
        <v>51.19</v>
      </c>
      <c r="H230" s="19">
        <f>TRUNC(E230*F230,2)</f>
        <v>79.48</v>
      </c>
      <c r="I230" s="19">
        <f>TRUNC(E230*G230,2)</f>
        <v>102.38</v>
      </c>
    </row>
    <row r="231" spans="1:9" ht="30">
      <c r="A231" s="133"/>
      <c r="B231" s="134" t="s">
        <v>145</v>
      </c>
      <c r="C231" s="135" t="s">
        <v>342</v>
      </c>
      <c r="D231" s="133" t="s">
        <v>10</v>
      </c>
      <c r="E231" s="136">
        <v>1</v>
      </c>
      <c r="F231" s="137">
        <f>G235</f>
        <v>39.74</v>
      </c>
      <c r="G231" s="138">
        <f>TRUNC(E231*F231,2)</f>
        <v>39.74</v>
      </c>
      <c r="H231" s="138"/>
      <c r="I231" s="137"/>
    </row>
    <row r="232" spans="1:9" ht="15">
      <c r="A232" s="133"/>
      <c r="B232" s="134" t="s">
        <v>343</v>
      </c>
      <c r="C232" s="135" t="s">
        <v>344</v>
      </c>
      <c r="D232" s="133" t="s">
        <v>10</v>
      </c>
      <c r="E232" s="136">
        <v>1</v>
      </c>
      <c r="F232" s="137">
        <v>34.9</v>
      </c>
      <c r="G232" s="138">
        <f>TRUNC(E232*F232,2)</f>
        <v>34.9</v>
      </c>
      <c r="H232" s="138"/>
      <c r="I232" s="137"/>
    </row>
    <row r="233" spans="1:9" ht="15">
      <c r="A233" s="133"/>
      <c r="B233" s="134" t="s">
        <v>167</v>
      </c>
      <c r="C233" s="135" t="s">
        <v>168</v>
      </c>
      <c r="D233" s="133" t="s">
        <v>162</v>
      </c>
      <c r="E233" s="136">
        <v>4.8399999999999999E-2</v>
      </c>
      <c r="F233" s="137">
        <f>TRUNC(20.38,2)</f>
        <v>20.38</v>
      </c>
      <c r="G233" s="138">
        <f>TRUNC(E233*F233,2)</f>
        <v>0.98</v>
      </c>
      <c r="H233" s="138"/>
      <c r="I233" s="137"/>
    </row>
    <row r="234" spans="1:9" ht="15">
      <c r="A234" s="133"/>
      <c r="B234" s="134" t="s">
        <v>176</v>
      </c>
      <c r="C234" s="135" t="s">
        <v>177</v>
      </c>
      <c r="D234" s="133" t="s">
        <v>162</v>
      </c>
      <c r="E234" s="136">
        <v>0.15359999999999999</v>
      </c>
      <c r="F234" s="137">
        <f>TRUNC(25.14,2)</f>
        <v>25.14</v>
      </c>
      <c r="G234" s="138">
        <f>TRUNC(E234*F234,2)</f>
        <v>3.86</v>
      </c>
      <c r="H234" s="138"/>
      <c r="I234" s="137"/>
    </row>
    <row r="235" spans="1:9" ht="15">
      <c r="A235" s="133"/>
      <c r="B235" s="134"/>
      <c r="C235" s="135"/>
      <c r="D235" s="133"/>
      <c r="E235" s="136" t="s">
        <v>132</v>
      </c>
      <c r="F235" s="137"/>
      <c r="G235" s="138">
        <f>TRUNC(SUM(G232:G234),2)</f>
        <v>39.74</v>
      </c>
      <c r="H235" s="138"/>
      <c r="I235" s="137"/>
    </row>
    <row r="236" spans="1:9" ht="30">
      <c r="A236" s="100" t="s">
        <v>114</v>
      </c>
      <c r="B236" s="108" t="s">
        <v>146</v>
      </c>
      <c r="C236" s="109" t="s">
        <v>345</v>
      </c>
      <c r="D236" s="20" t="s">
        <v>140</v>
      </c>
      <c r="E236" s="69">
        <v>1</v>
      </c>
      <c r="F236" s="69">
        <f>F237</f>
        <v>126.04</v>
      </c>
      <c r="G236" s="19">
        <f>TRUNC(F236*1.2882,2)</f>
        <v>162.36000000000001</v>
      </c>
      <c r="H236" s="19">
        <f>TRUNC(E236*F236,2)</f>
        <v>126.04</v>
      </c>
      <c r="I236" s="19">
        <f>TRUNC(E236*G236,2)</f>
        <v>162.36000000000001</v>
      </c>
    </row>
    <row r="237" spans="1:9" ht="60">
      <c r="A237" s="133"/>
      <c r="B237" s="134" t="s">
        <v>346</v>
      </c>
      <c r="C237" s="135" t="s">
        <v>347</v>
      </c>
      <c r="D237" s="133" t="s">
        <v>10</v>
      </c>
      <c r="E237" s="136">
        <v>1</v>
      </c>
      <c r="F237" s="137">
        <f>G249</f>
        <v>126.04</v>
      </c>
      <c r="G237" s="138">
        <f t="shared" ref="G237:G248" si="9">TRUNC(E237*F237,2)</f>
        <v>126.04</v>
      </c>
      <c r="H237" s="138"/>
      <c r="I237" s="137"/>
    </row>
    <row r="238" spans="1:9" ht="15">
      <c r="A238" s="133"/>
      <c r="B238" s="134" t="s">
        <v>348</v>
      </c>
      <c r="C238" s="135" t="s">
        <v>349</v>
      </c>
      <c r="D238" s="133" t="s">
        <v>10</v>
      </c>
      <c r="E238" s="136">
        <v>1</v>
      </c>
      <c r="F238" s="137">
        <v>3.13</v>
      </c>
      <c r="G238" s="138">
        <f t="shared" si="9"/>
        <v>3.13</v>
      </c>
      <c r="H238" s="138"/>
      <c r="I238" s="137"/>
    </row>
    <row r="239" spans="1:9" ht="15">
      <c r="A239" s="133"/>
      <c r="B239" s="134" t="s">
        <v>350</v>
      </c>
      <c r="C239" s="135" t="s">
        <v>351</v>
      </c>
      <c r="D239" s="133" t="s">
        <v>10</v>
      </c>
      <c r="E239" s="136">
        <v>0</v>
      </c>
      <c r="F239" s="137">
        <v>2.58</v>
      </c>
      <c r="G239" s="138">
        <f t="shared" si="9"/>
        <v>0</v>
      </c>
      <c r="H239" s="138"/>
      <c r="I239" s="137"/>
    </row>
    <row r="240" spans="1:9" ht="15">
      <c r="A240" s="133"/>
      <c r="B240" s="134" t="s">
        <v>313</v>
      </c>
      <c r="C240" s="135" t="s">
        <v>314</v>
      </c>
      <c r="D240" s="133" t="s">
        <v>10</v>
      </c>
      <c r="E240" s="136">
        <v>3</v>
      </c>
      <c r="F240" s="137">
        <v>0.98</v>
      </c>
      <c r="G240" s="138">
        <f t="shared" si="9"/>
        <v>2.94</v>
      </c>
      <c r="H240" s="138"/>
      <c r="I240" s="137"/>
    </row>
    <row r="241" spans="1:9" ht="15">
      <c r="A241" s="133"/>
      <c r="B241" s="134" t="s">
        <v>352</v>
      </c>
      <c r="C241" s="135" t="s">
        <v>353</v>
      </c>
      <c r="D241" s="133" t="s">
        <v>10</v>
      </c>
      <c r="E241" s="136">
        <v>5</v>
      </c>
      <c r="F241" s="137">
        <v>2.35</v>
      </c>
      <c r="G241" s="138">
        <f t="shared" si="9"/>
        <v>11.75</v>
      </c>
      <c r="H241" s="138"/>
      <c r="I241" s="137"/>
    </row>
    <row r="242" spans="1:9" ht="15">
      <c r="A242" s="133"/>
      <c r="B242" s="134" t="s">
        <v>354</v>
      </c>
      <c r="C242" s="135" t="s">
        <v>355</v>
      </c>
      <c r="D242" s="133" t="s">
        <v>10</v>
      </c>
      <c r="E242" s="136">
        <v>1</v>
      </c>
      <c r="F242" s="137">
        <v>2.12</v>
      </c>
      <c r="G242" s="138">
        <f t="shared" si="9"/>
        <v>2.12</v>
      </c>
      <c r="H242" s="138"/>
      <c r="I242" s="137"/>
    </row>
    <row r="243" spans="1:9" ht="15">
      <c r="A243" s="133"/>
      <c r="B243" s="134" t="s">
        <v>299</v>
      </c>
      <c r="C243" s="135" t="s">
        <v>300</v>
      </c>
      <c r="D243" s="133" t="s">
        <v>10</v>
      </c>
      <c r="E243" s="136">
        <v>1</v>
      </c>
      <c r="F243" s="137">
        <v>0.78</v>
      </c>
      <c r="G243" s="138">
        <f t="shared" si="9"/>
        <v>0.78</v>
      </c>
      <c r="H243" s="138"/>
      <c r="I243" s="137"/>
    </row>
    <row r="244" spans="1:9" ht="30">
      <c r="A244" s="133"/>
      <c r="B244" s="134" t="s">
        <v>295</v>
      </c>
      <c r="C244" s="135" t="s">
        <v>296</v>
      </c>
      <c r="D244" s="133" t="s">
        <v>10</v>
      </c>
      <c r="E244" s="136">
        <v>2</v>
      </c>
      <c r="F244" s="137">
        <v>9.84</v>
      </c>
      <c r="G244" s="138">
        <f t="shared" si="9"/>
        <v>19.68</v>
      </c>
      <c r="H244" s="138"/>
      <c r="I244" s="137"/>
    </row>
    <row r="245" spans="1:9" ht="15">
      <c r="A245" s="133"/>
      <c r="B245" s="134" t="s">
        <v>305</v>
      </c>
      <c r="C245" s="135" t="s">
        <v>306</v>
      </c>
      <c r="D245" s="133" t="s">
        <v>88</v>
      </c>
      <c r="E245" s="136">
        <v>10</v>
      </c>
      <c r="F245" s="137">
        <v>1.98</v>
      </c>
      <c r="G245" s="138">
        <f t="shared" si="9"/>
        <v>19.8</v>
      </c>
      <c r="H245" s="138"/>
      <c r="I245" s="137"/>
    </row>
    <row r="246" spans="1:9" ht="15">
      <c r="A246" s="133"/>
      <c r="B246" s="134" t="s">
        <v>356</v>
      </c>
      <c r="C246" s="135" t="s">
        <v>357</v>
      </c>
      <c r="D246" s="133" t="s">
        <v>10</v>
      </c>
      <c r="E246" s="136">
        <v>4</v>
      </c>
      <c r="F246" s="137">
        <v>0.96</v>
      </c>
      <c r="G246" s="138">
        <f t="shared" si="9"/>
        <v>3.84</v>
      </c>
      <c r="H246" s="138"/>
      <c r="I246" s="137"/>
    </row>
    <row r="247" spans="1:9" ht="30">
      <c r="A247" s="133"/>
      <c r="B247" s="134" t="s">
        <v>160</v>
      </c>
      <c r="C247" s="135" t="s">
        <v>161</v>
      </c>
      <c r="D247" s="133" t="s">
        <v>162</v>
      </c>
      <c r="E247" s="136">
        <f>8.858/4</f>
        <v>2.2145000000000001</v>
      </c>
      <c r="F247" s="137">
        <f>TRUNC(13.6,2)</f>
        <v>13.6</v>
      </c>
      <c r="G247" s="138">
        <f t="shared" si="9"/>
        <v>30.11</v>
      </c>
      <c r="H247" s="138"/>
      <c r="I247" s="137"/>
    </row>
    <row r="248" spans="1:9" ht="30">
      <c r="A248" s="133"/>
      <c r="B248" s="134" t="s">
        <v>321</v>
      </c>
      <c r="C248" s="135" t="s">
        <v>322</v>
      </c>
      <c r="D248" s="133" t="s">
        <v>162</v>
      </c>
      <c r="E248" s="136">
        <f>6.798/4</f>
        <v>1.6995</v>
      </c>
      <c r="F248" s="137">
        <f>TRUNC(18.77,2)</f>
        <v>18.77</v>
      </c>
      <c r="G248" s="138">
        <f t="shared" si="9"/>
        <v>31.89</v>
      </c>
      <c r="H248" s="138"/>
      <c r="I248" s="137"/>
    </row>
    <row r="249" spans="1:9" ht="15">
      <c r="A249" s="133"/>
      <c r="B249" s="134"/>
      <c r="C249" s="135"/>
      <c r="D249" s="133"/>
      <c r="E249" s="136" t="s">
        <v>132</v>
      </c>
      <c r="F249" s="137"/>
      <c r="G249" s="138">
        <f>TRUNC(SUM(G238:G248),2)</f>
        <v>126.04</v>
      </c>
      <c r="H249" s="138"/>
      <c r="I249" s="137"/>
    </row>
    <row r="250" spans="1:9" ht="135">
      <c r="A250" s="100" t="s">
        <v>115</v>
      </c>
      <c r="B250" s="142" t="s">
        <v>358</v>
      </c>
      <c r="C250" s="109" t="s">
        <v>359</v>
      </c>
      <c r="D250" s="20" t="s">
        <v>10</v>
      </c>
      <c r="E250" s="69">
        <v>2</v>
      </c>
      <c r="F250" s="69">
        <f>G251+G258</f>
        <v>641.77</v>
      </c>
      <c r="G250" s="19">
        <f>TRUNC(F250*1.2882,2)</f>
        <v>826.72</v>
      </c>
      <c r="H250" s="19">
        <f>TRUNC(E250*F250,2)</f>
        <v>1283.54</v>
      </c>
      <c r="I250" s="19">
        <f>TRUNC(E250*G250,2)</f>
        <v>1653.44</v>
      </c>
    </row>
    <row r="251" spans="1:9" ht="60">
      <c r="A251" s="133"/>
      <c r="B251" s="134" t="s">
        <v>360</v>
      </c>
      <c r="C251" s="135" t="s">
        <v>361</v>
      </c>
      <c r="D251" s="133" t="s">
        <v>22</v>
      </c>
      <c r="E251" s="136">
        <f>1.8*0.55</f>
        <v>0.9900000000000001</v>
      </c>
      <c r="F251" s="137">
        <f>G257</f>
        <v>303.13</v>
      </c>
      <c r="G251" s="143">
        <f t="shared" ref="G251:G256" si="10">TRUNC(E251*F251,2)</f>
        <v>300.08999999999997</v>
      </c>
      <c r="H251" s="138"/>
      <c r="I251" s="137"/>
    </row>
    <row r="252" spans="1:9" ht="30">
      <c r="A252" s="133"/>
      <c r="B252" s="134" t="s">
        <v>362</v>
      </c>
      <c r="C252" s="135" t="s">
        <v>363</v>
      </c>
      <c r="D252" s="133" t="s">
        <v>22</v>
      </c>
      <c r="E252" s="136">
        <v>1</v>
      </c>
      <c r="F252" s="137">
        <f>TRUNC(275.47,2)</f>
        <v>275.47000000000003</v>
      </c>
      <c r="G252" s="138">
        <f t="shared" si="10"/>
        <v>275.47000000000003</v>
      </c>
      <c r="H252" s="138"/>
      <c r="I252" s="137"/>
    </row>
    <row r="253" spans="1:9" ht="30">
      <c r="A253" s="133"/>
      <c r="B253" s="134" t="s">
        <v>160</v>
      </c>
      <c r="C253" s="135" t="s">
        <v>161</v>
      </c>
      <c r="D253" s="133" t="s">
        <v>162</v>
      </c>
      <c r="E253" s="136">
        <v>0.85489999999999999</v>
      </c>
      <c r="F253" s="137">
        <f>TRUNC(13.6,2)</f>
        <v>13.6</v>
      </c>
      <c r="G253" s="138">
        <f t="shared" si="10"/>
        <v>11.62</v>
      </c>
      <c r="H253" s="138"/>
      <c r="I253" s="137"/>
    </row>
    <row r="254" spans="1:9" ht="15">
      <c r="A254" s="133"/>
      <c r="B254" s="134" t="s">
        <v>165</v>
      </c>
      <c r="C254" s="135" t="s">
        <v>166</v>
      </c>
      <c r="D254" s="133" t="s">
        <v>162</v>
      </c>
      <c r="E254" s="136">
        <v>0.85489999999999999</v>
      </c>
      <c r="F254" s="137">
        <f>TRUNC(18.77,2)</f>
        <v>18.77</v>
      </c>
      <c r="G254" s="138">
        <f t="shared" si="10"/>
        <v>16.04</v>
      </c>
      <c r="H254" s="138"/>
      <c r="I254" s="137"/>
    </row>
    <row r="255" spans="1:9" ht="15">
      <c r="A255" s="133"/>
      <c r="B255" s="134" t="s">
        <v>364</v>
      </c>
      <c r="C255" s="135" t="s">
        <v>365</v>
      </c>
      <c r="D255" s="133" t="s">
        <v>22</v>
      </c>
      <c r="E255" s="136"/>
      <c r="F255" s="137">
        <v>54.984000000000002</v>
      </c>
      <c r="G255" s="138">
        <f t="shared" si="10"/>
        <v>0</v>
      </c>
      <c r="H255" s="138"/>
      <c r="I255" s="137"/>
    </row>
    <row r="256" spans="1:9" ht="15">
      <c r="A256" s="133"/>
      <c r="B256" s="134" t="s">
        <v>366</v>
      </c>
      <c r="C256" s="135" t="s">
        <v>367</v>
      </c>
      <c r="D256" s="133" t="s">
        <v>368</v>
      </c>
      <c r="E256" s="136"/>
      <c r="F256" s="137">
        <v>2092.2519000000002</v>
      </c>
      <c r="G256" s="138">
        <f t="shared" si="10"/>
        <v>0</v>
      </c>
      <c r="H256" s="138"/>
      <c r="I256" s="137"/>
    </row>
    <row r="257" spans="1:11" ht="15">
      <c r="A257" s="133"/>
      <c r="B257" s="134"/>
      <c r="C257" s="135"/>
      <c r="D257" s="133"/>
      <c r="E257" s="136" t="s">
        <v>132</v>
      </c>
      <c r="F257" s="137"/>
      <c r="G257" s="138">
        <f>TRUNC(SUM(G252:G256),2)</f>
        <v>303.13</v>
      </c>
      <c r="H257" s="138"/>
      <c r="I257" s="137"/>
    </row>
    <row r="258" spans="1:11" ht="75">
      <c r="A258" s="133"/>
      <c r="B258" s="134" t="s">
        <v>369</v>
      </c>
      <c r="C258" s="135" t="s">
        <v>370</v>
      </c>
      <c r="D258" s="133" t="s">
        <v>10</v>
      </c>
      <c r="E258" s="136">
        <v>2</v>
      </c>
      <c r="F258" s="137">
        <f>G264</f>
        <v>170.84</v>
      </c>
      <c r="G258" s="143">
        <f t="shared" ref="G258:G263" si="11">TRUNC(E258*F258,2)</f>
        <v>341.68</v>
      </c>
      <c r="H258" s="138"/>
      <c r="I258" s="137"/>
    </row>
    <row r="259" spans="1:11" ht="30">
      <c r="A259" s="133"/>
      <c r="B259" s="134" t="s">
        <v>371</v>
      </c>
      <c r="C259" s="135" t="s">
        <v>372</v>
      </c>
      <c r="D259" s="133" t="s">
        <v>10</v>
      </c>
      <c r="E259" s="136">
        <v>1</v>
      </c>
      <c r="F259" s="137">
        <v>98.99</v>
      </c>
      <c r="G259" s="138">
        <f t="shared" si="11"/>
        <v>98.99</v>
      </c>
      <c r="H259" s="138"/>
      <c r="I259" s="137"/>
    </row>
    <row r="260" spans="1:11" ht="15">
      <c r="A260" s="133"/>
      <c r="B260" s="134" t="s">
        <v>373</v>
      </c>
      <c r="C260" s="135" t="s">
        <v>374</v>
      </c>
      <c r="D260" s="133" t="s">
        <v>10</v>
      </c>
      <c r="E260" s="136">
        <v>1</v>
      </c>
      <c r="F260" s="137">
        <v>37.9</v>
      </c>
      <c r="G260" s="138">
        <f t="shared" si="11"/>
        <v>37.9</v>
      </c>
      <c r="H260" s="138"/>
      <c r="I260" s="137"/>
    </row>
    <row r="261" spans="1:11" ht="15">
      <c r="A261" s="133"/>
      <c r="B261" s="134" t="s">
        <v>375</v>
      </c>
      <c r="C261" s="135" t="s">
        <v>376</v>
      </c>
      <c r="D261" s="133" t="s">
        <v>10</v>
      </c>
      <c r="E261" s="136">
        <v>1</v>
      </c>
      <c r="F261" s="137">
        <v>10.79</v>
      </c>
      <c r="G261" s="138">
        <f t="shared" si="11"/>
        <v>10.79</v>
      </c>
      <c r="H261" s="138"/>
      <c r="I261" s="137"/>
    </row>
    <row r="262" spans="1:11" ht="15">
      <c r="A262" s="133"/>
      <c r="B262" s="134" t="s">
        <v>301</v>
      </c>
      <c r="C262" s="135" t="s">
        <v>302</v>
      </c>
      <c r="D262" s="133" t="s">
        <v>10</v>
      </c>
      <c r="E262" s="136">
        <v>1</v>
      </c>
      <c r="F262" s="137">
        <v>3.97</v>
      </c>
      <c r="G262" s="138">
        <f t="shared" si="11"/>
        <v>3.97</v>
      </c>
      <c r="H262" s="138"/>
      <c r="I262" s="137"/>
    </row>
    <row r="263" spans="1:11" ht="15">
      <c r="A263" s="133"/>
      <c r="B263" s="134" t="s">
        <v>377</v>
      </c>
      <c r="C263" s="135" t="s">
        <v>378</v>
      </c>
      <c r="D263" s="133" t="s">
        <v>10</v>
      </c>
      <c r="E263" s="136">
        <v>1</v>
      </c>
      <c r="F263" s="137">
        <v>19.190000000000001</v>
      </c>
      <c r="G263" s="138">
        <f t="shared" si="11"/>
        <v>19.190000000000001</v>
      </c>
      <c r="H263" s="138"/>
      <c r="I263" s="137"/>
    </row>
    <row r="264" spans="1:11" ht="15">
      <c r="A264" s="133"/>
      <c r="B264" s="134"/>
      <c r="C264" s="135"/>
      <c r="D264" s="133"/>
      <c r="E264" s="136" t="s">
        <v>132</v>
      </c>
      <c r="F264" s="137"/>
      <c r="G264" s="138">
        <f>TRUNC(SUM(G259:G263),2)</f>
        <v>170.84</v>
      </c>
      <c r="H264" s="138"/>
      <c r="I264" s="137"/>
    </row>
    <row r="265" spans="1:11" ht="60">
      <c r="A265" s="100" t="s">
        <v>116</v>
      </c>
      <c r="B265" s="108" t="s">
        <v>147</v>
      </c>
      <c r="C265" s="109" t="s">
        <v>379</v>
      </c>
      <c r="D265" s="20" t="s">
        <v>117</v>
      </c>
      <c r="E265" s="69">
        <v>2</v>
      </c>
      <c r="F265" s="69">
        <f>F266</f>
        <v>138.1</v>
      </c>
      <c r="G265" s="19">
        <f>TRUNC(F265*1.2882,2)</f>
        <v>177.9</v>
      </c>
      <c r="H265" s="19">
        <f>TRUNC(E265*F265,2)</f>
        <v>276.2</v>
      </c>
      <c r="I265" s="19">
        <f>TRUNC(E265*G265,2)</f>
        <v>355.8</v>
      </c>
    </row>
    <row r="266" spans="1:11" ht="60">
      <c r="A266" s="133"/>
      <c r="B266" s="134" t="s">
        <v>147</v>
      </c>
      <c r="C266" s="135" t="s">
        <v>379</v>
      </c>
      <c r="D266" s="133" t="s">
        <v>10</v>
      </c>
      <c r="E266" s="136">
        <v>1</v>
      </c>
      <c r="F266" s="137">
        <f>G270</f>
        <v>138.1</v>
      </c>
      <c r="G266" s="138">
        <f>TRUNC(E266*F266,2)</f>
        <v>138.1</v>
      </c>
      <c r="H266" s="138"/>
      <c r="I266" s="137"/>
    </row>
    <row r="267" spans="1:11" ht="15">
      <c r="A267" s="133"/>
      <c r="B267" s="134" t="s">
        <v>380</v>
      </c>
      <c r="C267" s="135" t="s">
        <v>381</v>
      </c>
      <c r="D267" s="133" t="s">
        <v>10</v>
      </c>
      <c r="E267" s="136">
        <v>1</v>
      </c>
      <c r="F267" s="137">
        <v>104.77</v>
      </c>
      <c r="G267" s="138">
        <f>TRUNC(E267*F267,2)</f>
        <v>104.77</v>
      </c>
      <c r="H267" s="138"/>
      <c r="I267" s="137"/>
    </row>
    <row r="268" spans="1:11" ht="30">
      <c r="A268" s="133"/>
      <c r="B268" s="134" t="s">
        <v>160</v>
      </c>
      <c r="C268" s="135" t="s">
        <v>161</v>
      </c>
      <c r="D268" s="133" t="s">
        <v>162</v>
      </c>
      <c r="E268" s="136">
        <v>1.03</v>
      </c>
      <c r="F268" s="137">
        <f>TRUNC(13.6,2)</f>
        <v>13.6</v>
      </c>
      <c r="G268" s="138">
        <f>TRUNC(E268*F268,2)</f>
        <v>14</v>
      </c>
      <c r="H268" s="138"/>
      <c r="I268" s="137"/>
    </row>
    <row r="269" spans="1:11" ht="15">
      <c r="A269" s="133"/>
      <c r="B269" s="134" t="s">
        <v>165</v>
      </c>
      <c r="C269" s="135" t="s">
        <v>166</v>
      </c>
      <c r="D269" s="133" t="s">
        <v>162</v>
      </c>
      <c r="E269" s="136">
        <v>1.03</v>
      </c>
      <c r="F269" s="137">
        <f>TRUNC(18.77,2)</f>
        <v>18.77</v>
      </c>
      <c r="G269" s="138">
        <f>TRUNC(E269*F269,2)</f>
        <v>19.329999999999998</v>
      </c>
      <c r="H269" s="138"/>
      <c r="I269" s="137"/>
    </row>
    <row r="270" spans="1:11" ht="15">
      <c r="A270" s="133"/>
      <c r="B270" s="134"/>
      <c r="C270" s="135"/>
      <c r="D270" s="133"/>
      <c r="E270" s="136" t="s">
        <v>132</v>
      </c>
      <c r="F270" s="137"/>
      <c r="G270" s="138">
        <f>TRUNC(SUM(G267:G269),2)</f>
        <v>138.1</v>
      </c>
      <c r="H270" s="138"/>
      <c r="I270" s="137"/>
    </row>
    <row r="271" spans="1:11" s="295" customFormat="1" ht="15.75">
      <c r="A271" s="287" t="s">
        <v>44</v>
      </c>
      <c r="B271" s="288"/>
      <c r="C271" s="289" t="s">
        <v>118</v>
      </c>
      <c r="D271" s="297"/>
      <c r="E271" s="298"/>
      <c r="F271" s="298"/>
      <c r="G271" s="299"/>
      <c r="H271" s="293">
        <f>H185+H188+H210+H215+H220+H230+H236+H250+H265</f>
        <v>6578.48</v>
      </c>
      <c r="I271" s="294">
        <f>I185+I188+I210+I215+I220+I230+I236+I250+I265</f>
        <v>8474.2799999999988</v>
      </c>
      <c r="K271" s="296"/>
    </row>
    <row r="272" spans="1:11" ht="15.75">
      <c r="A272" s="89" t="s">
        <v>119</v>
      </c>
      <c r="B272" s="115"/>
      <c r="C272" s="116" t="s">
        <v>120</v>
      </c>
      <c r="D272" s="139"/>
      <c r="E272" s="140"/>
      <c r="F272" s="140"/>
      <c r="G272" s="140"/>
      <c r="H272" s="140"/>
      <c r="I272" s="141"/>
    </row>
    <row r="273" spans="1:11" ht="75.75" customHeight="1">
      <c r="A273" s="100" t="s">
        <v>121</v>
      </c>
      <c r="B273" s="142" t="s">
        <v>122</v>
      </c>
      <c r="C273" s="24" t="s">
        <v>123</v>
      </c>
      <c r="D273" s="100" t="s">
        <v>10</v>
      </c>
      <c r="E273" s="25">
        <v>2</v>
      </c>
      <c r="F273" s="69">
        <f>TRUNC(I274,2)</f>
        <v>258.08</v>
      </c>
      <c r="G273" s="19">
        <f>TRUNC(F273*1.2882,2)</f>
        <v>332.45</v>
      </c>
      <c r="H273" s="19">
        <f>TRUNC(F273*E273,2)</f>
        <v>516.16</v>
      </c>
      <c r="I273" s="69">
        <f>TRUNC(E273*G273,2)</f>
        <v>664.9</v>
      </c>
    </row>
    <row r="274" spans="1:11" ht="75">
      <c r="A274" s="110"/>
      <c r="B274" s="118" t="s">
        <v>122</v>
      </c>
      <c r="C274" s="119" t="s">
        <v>123</v>
      </c>
      <c r="D274" s="110" t="s">
        <v>10</v>
      </c>
      <c r="E274" s="114">
        <v>1</v>
      </c>
      <c r="F274" s="79">
        <f>TRUNC(I277,2)</f>
        <v>258.08</v>
      </c>
      <c r="G274" s="79"/>
      <c r="H274" s="79"/>
      <c r="I274" s="144">
        <f>TRUNC(E274*F274,2)</f>
        <v>258.08</v>
      </c>
    </row>
    <row r="275" spans="1:11" ht="30">
      <c r="A275" s="110"/>
      <c r="B275" s="118" t="s">
        <v>160</v>
      </c>
      <c r="C275" s="119" t="s">
        <v>161</v>
      </c>
      <c r="D275" s="110" t="s">
        <v>162</v>
      </c>
      <c r="E275" s="114">
        <v>0.61799999999999999</v>
      </c>
      <c r="F275" s="79">
        <v>13.08</v>
      </c>
      <c r="G275" s="79"/>
      <c r="H275" s="79"/>
      <c r="I275" s="114">
        <f>TRUNC(E275*F275,2)</f>
        <v>8.08</v>
      </c>
    </row>
    <row r="276" spans="1:11" ht="30">
      <c r="A276" s="110"/>
      <c r="B276" s="118" t="s">
        <v>382</v>
      </c>
      <c r="C276" s="119" t="s">
        <v>383</v>
      </c>
      <c r="D276" s="110" t="s">
        <v>10</v>
      </c>
      <c r="E276" s="114">
        <v>1</v>
      </c>
      <c r="F276" s="79">
        <v>250</v>
      </c>
      <c r="G276" s="79"/>
      <c r="H276" s="79"/>
      <c r="I276" s="114">
        <f>TRUNC(E276*F276,2)</f>
        <v>250</v>
      </c>
    </row>
    <row r="277" spans="1:11" ht="15">
      <c r="A277" s="110"/>
      <c r="B277" s="118"/>
      <c r="C277" s="119"/>
      <c r="D277" s="110"/>
      <c r="E277" s="114" t="s">
        <v>132</v>
      </c>
      <c r="F277" s="79"/>
      <c r="G277" s="79"/>
      <c r="H277" s="79"/>
      <c r="I277" s="114">
        <f>TRUNC(SUM(I275:I276),2)</f>
        <v>258.08</v>
      </c>
    </row>
    <row r="278" spans="1:11" ht="15">
      <c r="A278" s="110"/>
      <c r="B278" s="118"/>
      <c r="C278" s="119"/>
      <c r="D278" s="110"/>
      <c r="E278" s="114"/>
      <c r="F278" s="79"/>
      <c r="G278" s="79"/>
      <c r="H278" s="79"/>
      <c r="I278" s="114"/>
    </row>
    <row r="279" spans="1:11" s="295" customFormat="1" ht="15.75">
      <c r="A279" s="287" t="s">
        <v>44</v>
      </c>
      <c r="B279" s="288"/>
      <c r="C279" s="289" t="s">
        <v>124</v>
      </c>
      <c r="D279" s="300"/>
      <c r="E279" s="301"/>
      <c r="F279" s="293"/>
      <c r="G279" s="293"/>
      <c r="H279" s="293">
        <f>H273</f>
        <v>516.16</v>
      </c>
      <c r="I279" s="294">
        <f>I273</f>
        <v>664.9</v>
      </c>
      <c r="K279" s="296"/>
    </row>
    <row r="280" spans="1:11" s="295" customFormat="1" ht="15.75">
      <c r="A280" s="287" t="s">
        <v>44</v>
      </c>
      <c r="B280" s="288"/>
      <c r="C280" s="289" t="s">
        <v>125</v>
      </c>
      <c r="D280" s="300"/>
      <c r="E280" s="301"/>
      <c r="F280" s="293"/>
      <c r="G280" s="293"/>
      <c r="H280" s="293">
        <f>H53+H82+H119+H173+H183+H271+H279</f>
        <v>36861.800000000003</v>
      </c>
      <c r="I280" s="293">
        <f>I53+I82+I119+I173+I183+I271+I279</f>
        <v>47481.79</v>
      </c>
      <c r="K280" s="296"/>
    </row>
    <row r="281" spans="1:11" ht="15">
      <c r="A281" s="145"/>
      <c r="B281" s="146"/>
      <c r="C281" s="147"/>
      <c r="D281" s="148"/>
      <c r="E281" s="147"/>
      <c r="F281" s="147"/>
      <c r="G281" s="147"/>
      <c r="H281" s="147"/>
      <c r="I281" s="149"/>
    </row>
    <row r="282" spans="1:11" ht="15">
      <c r="A282" s="145"/>
      <c r="B282" s="146"/>
      <c r="C282" s="147"/>
      <c r="D282" s="148"/>
      <c r="E282" s="147"/>
      <c r="F282" s="147"/>
      <c r="G282" s="147"/>
      <c r="H282" s="147"/>
      <c r="I282" s="149"/>
    </row>
    <row r="283" spans="1:11" ht="15">
      <c r="A283" s="145"/>
      <c r="B283" s="146"/>
      <c r="C283" s="147"/>
      <c r="D283" s="148"/>
      <c r="E283" s="147"/>
      <c r="F283" s="147"/>
      <c r="G283" s="147"/>
      <c r="H283" s="147"/>
      <c r="I283" s="149"/>
    </row>
    <row r="284" spans="1:11" ht="15">
      <c r="A284" s="145"/>
      <c r="B284" s="146"/>
      <c r="C284" s="147"/>
      <c r="D284" s="148"/>
      <c r="E284" s="147"/>
      <c r="F284" s="147"/>
      <c r="G284" s="147"/>
      <c r="H284" s="147"/>
      <c r="I284" s="149"/>
    </row>
    <row r="285" spans="1:11" ht="15">
      <c r="A285" s="145"/>
      <c r="B285" s="146"/>
      <c r="C285" s="147"/>
      <c r="D285" s="148"/>
      <c r="E285" s="147"/>
      <c r="F285" s="147"/>
      <c r="G285" s="147"/>
      <c r="H285" s="147"/>
      <c r="I285" s="149"/>
    </row>
    <row r="286" spans="1:11" ht="15">
      <c r="A286" s="145"/>
      <c r="B286" s="146"/>
      <c r="C286" s="147"/>
      <c r="D286" s="148"/>
      <c r="E286" s="147"/>
      <c r="F286" s="147"/>
      <c r="G286" s="147"/>
      <c r="H286" s="147"/>
      <c r="I286" s="149"/>
    </row>
    <row r="287" spans="1:11" ht="15">
      <c r="A287" s="145"/>
      <c r="B287" s="146"/>
      <c r="C287" s="147"/>
      <c r="D287" s="148"/>
      <c r="E287" s="147"/>
      <c r="F287" s="147"/>
      <c r="G287" s="147"/>
      <c r="H287" s="147"/>
      <c r="I287" s="149"/>
    </row>
    <row r="288" spans="1:11" ht="15">
      <c r="A288" s="145"/>
      <c r="B288" s="146"/>
      <c r="C288" s="147"/>
      <c r="D288" s="148"/>
      <c r="E288" s="147"/>
      <c r="F288" s="147"/>
      <c r="G288" s="147"/>
      <c r="H288" s="147"/>
      <c r="I288" s="149"/>
    </row>
    <row r="289" spans="1:9" ht="15">
      <c r="A289" s="145"/>
      <c r="B289" s="146"/>
      <c r="C289" s="147"/>
      <c r="D289" s="148"/>
      <c r="E289" s="147"/>
      <c r="F289" s="147"/>
      <c r="G289" s="147"/>
      <c r="H289" s="147"/>
      <c r="I289" s="149"/>
    </row>
    <row r="290" spans="1:9" ht="15">
      <c r="A290" s="145"/>
      <c r="B290" s="146"/>
      <c r="C290" s="147"/>
      <c r="D290" s="148"/>
      <c r="E290" s="147"/>
      <c r="F290" s="147"/>
      <c r="G290" s="147"/>
      <c r="H290" s="147"/>
      <c r="I290" s="149"/>
    </row>
    <row r="291" spans="1:9" ht="15">
      <c r="A291" s="145"/>
      <c r="B291" s="146"/>
      <c r="C291" s="147"/>
      <c r="D291" s="148"/>
      <c r="E291" s="147"/>
      <c r="F291" s="147"/>
      <c r="G291" s="147"/>
      <c r="H291" s="147"/>
      <c r="I291" s="149"/>
    </row>
    <row r="292" spans="1:9" ht="15">
      <c r="A292" s="145"/>
      <c r="B292" s="146"/>
      <c r="C292" s="147"/>
      <c r="D292" s="148"/>
      <c r="E292" s="147"/>
      <c r="F292" s="147"/>
      <c r="G292" s="147"/>
      <c r="H292" s="147"/>
      <c r="I292" s="149"/>
    </row>
    <row r="293" spans="1:9">
      <c r="A293" s="150"/>
      <c r="B293" s="151"/>
      <c r="C293" s="152"/>
      <c r="D293" s="153"/>
      <c r="E293" s="152"/>
      <c r="F293" s="152"/>
      <c r="G293" s="152"/>
      <c r="H293" s="152"/>
      <c r="I293" s="154"/>
    </row>
    <row r="294" spans="1:9">
      <c r="A294" s="150"/>
      <c r="B294" s="151"/>
      <c r="C294" s="152"/>
      <c r="D294" s="153"/>
      <c r="E294" s="152"/>
      <c r="F294" s="152"/>
      <c r="G294" s="152"/>
      <c r="H294" s="152"/>
      <c r="I294" s="154"/>
    </row>
    <row r="295" spans="1:9">
      <c r="A295" s="150"/>
      <c r="B295" s="151"/>
      <c r="C295" s="152"/>
      <c r="D295" s="153"/>
      <c r="E295" s="152"/>
      <c r="F295" s="152"/>
      <c r="G295" s="152"/>
      <c r="H295" s="152"/>
      <c r="I295" s="154"/>
    </row>
    <row r="296" spans="1:9">
      <c r="A296" s="150"/>
      <c r="B296" s="151"/>
      <c r="C296" s="152"/>
      <c r="D296" s="153"/>
      <c r="E296" s="152"/>
      <c r="F296" s="152"/>
      <c r="G296" s="152"/>
      <c r="H296" s="152"/>
      <c r="I296" s="154"/>
    </row>
    <row r="297" spans="1:9">
      <c r="A297" s="150"/>
      <c r="B297" s="151"/>
      <c r="C297" s="152"/>
      <c r="D297" s="153"/>
      <c r="E297" s="152"/>
      <c r="F297" s="152"/>
      <c r="G297" s="152"/>
      <c r="H297" s="152"/>
      <c r="I297" s="154"/>
    </row>
    <row r="298" spans="1:9">
      <c r="A298" s="150"/>
      <c r="B298" s="151"/>
      <c r="C298" s="152"/>
      <c r="D298" s="153"/>
      <c r="E298" s="152"/>
      <c r="F298" s="152"/>
      <c r="G298" s="152"/>
      <c r="H298" s="152"/>
      <c r="I298" s="154"/>
    </row>
    <row r="299" spans="1:9">
      <c r="A299" s="150"/>
      <c r="B299" s="151"/>
      <c r="C299" s="152"/>
      <c r="D299" s="153"/>
      <c r="E299" s="152"/>
      <c r="F299" s="152"/>
      <c r="G299" s="152"/>
      <c r="H299" s="152"/>
      <c r="I299" s="154"/>
    </row>
    <row r="300" spans="1:9">
      <c r="A300" s="150"/>
      <c r="B300" s="151"/>
      <c r="C300" s="152"/>
      <c r="D300" s="153"/>
      <c r="E300" s="152"/>
      <c r="F300" s="152"/>
      <c r="G300" s="152"/>
      <c r="H300" s="152"/>
      <c r="I300" s="154"/>
    </row>
    <row r="301" spans="1:9">
      <c r="A301" s="150"/>
      <c r="B301" s="151"/>
      <c r="C301" s="152"/>
      <c r="D301" s="153"/>
      <c r="E301" s="152"/>
      <c r="F301" s="152"/>
      <c r="G301" s="152"/>
      <c r="H301" s="152"/>
      <c r="I301" s="154"/>
    </row>
    <row r="302" spans="1:9">
      <c r="A302" s="150"/>
      <c r="B302" s="151"/>
      <c r="C302" s="152"/>
      <c r="D302" s="153"/>
      <c r="E302" s="152"/>
      <c r="F302" s="152"/>
      <c r="G302" s="152"/>
      <c r="H302" s="152"/>
      <c r="I302" s="154"/>
    </row>
    <row r="303" spans="1:9">
      <c r="A303" s="150"/>
      <c r="B303" s="151"/>
      <c r="C303" s="152"/>
      <c r="D303" s="153"/>
      <c r="E303" s="152"/>
      <c r="F303" s="152"/>
      <c r="G303" s="152"/>
      <c r="H303" s="152"/>
      <c r="I303" s="154"/>
    </row>
    <row r="304" spans="1:9">
      <c r="A304" s="150"/>
      <c r="B304" s="151"/>
      <c r="C304" s="152"/>
      <c r="D304" s="153"/>
      <c r="E304" s="152"/>
      <c r="F304" s="152"/>
      <c r="G304" s="152"/>
      <c r="H304" s="152"/>
      <c r="I304" s="154"/>
    </row>
    <row r="305" spans="1:9">
      <c r="A305" s="150"/>
      <c r="B305" s="151"/>
      <c r="C305" s="152"/>
      <c r="D305" s="153"/>
      <c r="E305" s="152"/>
      <c r="F305" s="152"/>
      <c r="G305" s="152"/>
      <c r="H305" s="152"/>
      <c r="I305" s="154"/>
    </row>
    <row r="306" spans="1:9">
      <c r="A306" s="150"/>
      <c r="B306" s="151"/>
      <c r="C306" s="152"/>
      <c r="D306" s="153"/>
      <c r="E306" s="152"/>
      <c r="F306" s="152"/>
      <c r="G306" s="152"/>
      <c r="H306" s="152"/>
      <c r="I306" s="154"/>
    </row>
    <row r="307" spans="1:9">
      <c r="A307" s="150"/>
      <c r="B307" s="151"/>
      <c r="C307" s="152"/>
      <c r="D307" s="153"/>
      <c r="E307" s="152"/>
      <c r="F307" s="152"/>
      <c r="G307" s="152"/>
      <c r="H307" s="152"/>
      <c r="I307" s="154"/>
    </row>
    <row r="308" spans="1:9">
      <c r="A308" s="150"/>
      <c r="B308" s="151"/>
      <c r="C308" s="152"/>
      <c r="D308" s="153"/>
      <c r="E308" s="152"/>
      <c r="F308" s="152"/>
      <c r="G308" s="152"/>
      <c r="H308" s="152"/>
      <c r="I308" s="154"/>
    </row>
    <row r="309" spans="1:9">
      <c r="A309" s="150"/>
      <c r="B309" s="151"/>
      <c r="C309" s="152"/>
      <c r="D309" s="153"/>
      <c r="E309" s="152"/>
      <c r="F309" s="152"/>
      <c r="G309" s="152"/>
      <c r="H309" s="152"/>
      <c r="I309" s="154"/>
    </row>
    <row r="310" spans="1:9">
      <c r="A310" s="150"/>
      <c r="B310" s="151"/>
      <c r="C310" s="152"/>
      <c r="D310" s="153"/>
      <c r="E310" s="152"/>
      <c r="F310" s="152"/>
      <c r="G310" s="152"/>
      <c r="H310" s="152"/>
      <c r="I310" s="154"/>
    </row>
    <row r="311" spans="1:9">
      <c r="A311" s="150"/>
      <c r="B311" s="151"/>
      <c r="C311" s="152"/>
      <c r="D311" s="153"/>
      <c r="E311" s="152"/>
      <c r="F311" s="152"/>
      <c r="G311" s="152"/>
      <c r="H311" s="152"/>
      <c r="I311" s="154"/>
    </row>
    <row r="312" spans="1:9">
      <c r="A312" s="150"/>
      <c r="B312" s="151"/>
      <c r="C312" s="152"/>
      <c r="D312" s="153"/>
      <c r="E312" s="152"/>
      <c r="F312" s="152"/>
      <c r="G312" s="152"/>
      <c r="H312" s="152"/>
      <c r="I312" s="154"/>
    </row>
    <row r="313" spans="1:9">
      <c r="A313" s="150"/>
      <c r="B313" s="151"/>
      <c r="C313" s="152"/>
      <c r="D313" s="153"/>
      <c r="E313" s="152"/>
      <c r="F313" s="152"/>
      <c r="G313" s="152"/>
      <c r="H313" s="152"/>
      <c r="I313" s="154"/>
    </row>
    <row r="314" spans="1:9">
      <c r="A314" s="150"/>
      <c r="B314" s="151"/>
      <c r="C314" s="152"/>
      <c r="D314" s="153"/>
      <c r="E314" s="152"/>
      <c r="F314" s="152"/>
      <c r="G314" s="152"/>
      <c r="H314" s="152"/>
      <c r="I314" s="154"/>
    </row>
    <row r="315" spans="1:9">
      <c r="A315" s="150"/>
      <c r="B315" s="151"/>
      <c r="C315" s="152"/>
      <c r="D315" s="153"/>
      <c r="E315" s="152"/>
      <c r="F315" s="152"/>
      <c r="G315" s="152"/>
      <c r="H315" s="152"/>
      <c r="I315" s="154"/>
    </row>
    <row r="316" spans="1:9">
      <c r="A316" s="150"/>
      <c r="B316" s="151"/>
      <c r="C316" s="152"/>
      <c r="D316" s="153"/>
      <c r="E316" s="152"/>
      <c r="F316" s="152"/>
      <c r="G316" s="152"/>
      <c r="H316" s="152"/>
      <c r="I316" s="154"/>
    </row>
    <row r="317" spans="1:9">
      <c r="A317" s="150"/>
      <c r="B317" s="151"/>
      <c r="C317" s="152"/>
      <c r="D317" s="153"/>
      <c r="E317" s="152"/>
      <c r="F317" s="152"/>
      <c r="G317" s="152"/>
      <c r="H317" s="152"/>
      <c r="I317" s="154"/>
    </row>
    <row r="318" spans="1:9">
      <c r="A318" s="150"/>
      <c r="B318" s="151"/>
      <c r="C318" s="152"/>
      <c r="D318" s="153"/>
      <c r="E318" s="152"/>
      <c r="F318" s="152"/>
      <c r="G318" s="152"/>
      <c r="H318" s="152"/>
      <c r="I318" s="154"/>
    </row>
    <row r="319" spans="1:9">
      <c r="A319" s="150"/>
      <c r="B319" s="151"/>
      <c r="C319" s="152"/>
      <c r="D319" s="153"/>
      <c r="E319" s="152"/>
      <c r="F319" s="152"/>
      <c r="G319" s="152"/>
      <c r="H319" s="152"/>
      <c r="I319" s="154"/>
    </row>
    <row r="320" spans="1:9">
      <c r="A320" s="150"/>
      <c r="B320" s="151"/>
      <c r="C320" s="152"/>
      <c r="D320" s="153"/>
      <c r="E320" s="152"/>
      <c r="F320" s="152"/>
      <c r="G320" s="152"/>
      <c r="H320" s="152"/>
      <c r="I320" s="154"/>
    </row>
    <row r="321" spans="1:9">
      <c r="A321" s="150"/>
      <c r="B321" s="151"/>
      <c r="C321" s="152"/>
      <c r="D321" s="153"/>
      <c r="E321" s="152"/>
      <c r="F321" s="152"/>
      <c r="G321" s="152"/>
      <c r="H321" s="152"/>
      <c r="I321" s="154"/>
    </row>
    <row r="322" spans="1:9">
      <c r="A322" s="150"/>
      <c r="B322" s="151"/>
      <c r="C322" s="152"/>
      <c r="D322" s="153"/>
      <c r="E322" s="152"/>
      <c r="F322" s="152"/>
      <c r="G322" s="152"/>
      <c r="H322" s="152"/>
      <c r="I322" s="154"/>
    </row>
    <row r="323" spans="1:9">
      <c r="A323" s="150"/>
      <c r="B323" s="151"/>
      <c r="C323" s="152"/>
      <c r="D323" s="153"/>
      <c r="E323" s="152"/>
      <c r="F323" s="152"/>
      <c r="G323" s="152"/>
      <c r="H323" s="152"/>
      <c r="I323" s="154"/>
    </row>
    <row r="324" spans="1:9">
      <c r="A324" s="150"/>
      <c r="B324" s="151"/>
      <c r="C324" s="152"/>
      <c r="D324" s="153"/>
      <c r="E324" s="152"/>
      <c r="F324" s="152"/>
      <c r="G324" s="152"/>
      <c r="H324" s="152"/>
      <c r="I324" s="154"/>
    </row>
    <row r="325" spans="1:9">
      <c r="A325" s="150"/>
      <c r="B325" s="151"/>
      <c r="C325" s="152"/>
      <c r="D325" s="153"/>
      <c r="E325" s="152"/>
      <c r="F325" s="152"/>
      <c r="G325" s="152"/>
      <c r="H325" s="152"/>
      <c r="I325" s="154"/>
    </row>
    <row r="326" spans="1:9">
      <c r="A326" s="150"/>
      <c r="B326" s="151"/>
      <c r="C326" s="152"/>
      <c r="D326" s="153"/>
      <c r="E326" s="152"/>
      <c r="F326" s="152"/>
      <c r="G326" s="152"/>
      <c r="H326" s="152"/>
      <c r="I326" s="154"/>
    </row>
    <row r="327" spans="1:9">
      <c r="A327" s="150"/>
      <c r="B327" s="151"/>
      <c r="C327" s="152"/>
      <c r="D327" s="153"/>
      <c r="E327" s="152"/>
      <c r="F327" s="152"/>
      <c r="G327" s="152"/>
      <c r="H327" s="152"/>
      <c r="I327" s="154"/>
    </row>
    <row r="328" spans="1:9">
      <c r="A328" s="150"/>
      <c r="B328" s="151"/>
      <c r="C328" s="152"/>
      <c r="D328" s="153"/>
      <c r="E328" s="152"/>
      <c r="F328" s="152"/>
      <c r="G328" s="152"/>
      <c r="H328" s="152"/>
      <c r="I328" s="154"/>
    </row>
    <row r="329" spans="1:9">
      <c r="A329" s="150"/>
      <c r="B329" s="151"/>
      <c r="C329" s="152"/>
      <c r="D329" s="153"/>
      <c r="E329" s="152"/>
      <c r="F329" s="152"/>
      <c r="G329" s="152"/>
      <c r="H329" s="152"/>
      <c r="I329" s="154"/>
    </row>
    <row r="330" spans="1:9">
      <c r="A330" s="150"/>
      <c r="B330" s="151"/>
      <c r="C330" s="152"/>
      <c r="D330" s="153"/>
      <c r="E330" s="152"/>
      <c r="F330" s="152"/>
      <c r="G330" s="152"/>
      <c r="H330" s="152"/>
      <c r="I330" s="154"/>
    </row>
    <row r="331" spans="1:9">
      <c r="A331" s="150"/>
      <c r="B331" s="151"/>
      <c r="C331" s="152"/>
      <c r="D331" s="153"/>
      <c r="E331" s="152"/>
      <c r="F331" s="152"/>
      <c r="G331" s="152"/>
      <c r="H331" s="152"/>
      <c r="I331" s="154"/>
    </row>
    <row r="332" spans="1:9">
      <c r="A332" s="150"/>
      <c r="B332" s="151"/>
      <c r="C332" s="152"/>
      <c r="D332" s="153"/>
      <c r="E332" s="152"/>
      <c r="F332" s="152"/>
      <c r="G332" s="152"/>
      <c r="H332" s="152"/>
      <c r="I332" s="154"/>
    </row>
    <row r="333" spans="1:9">
      <c r="A333" s="150"/>
      <c r="B333" s="151"/>
      <c r="C333" s="152"/>
      <c r="D333" s="153"/>
      <c r="E333" s="152"/>
      <c r="F333" s="152"/>
      <c r="G333" s="152"/>
      <c r="H333" s="152"/>
      <c r="I333" s="154"/>
    </row>
    <row r="334" spans="1:9">
      <c r="A334" s="150"/>
      <c r="B334" s="151"/>
      <c r="C334" s="152"/>
      <c r="D334" s="153"/>
      <c r="E334" s="152"/>
      <c r="F334" s="152"/>
      <c r="G334" s="152"/>
      <c r="H334" s="152"/>
      <c r="I334" s="154"/>
    </row>
    <row r="335" spans="1:9">
      <c r="A335" s="150"/>
      <c r="B335" s="151"/>
      <c r="C335" s="152"/>
      <c r="D335" s="153"/>
      <c r="E335" s="152"/>
      <c r="F335" s="152"/>
      <c r="G335" s="152"/>
      <c r="H335" s="152"/>
      <c r="I335" s="154"/>
    </row>
    <row r="336" spans="1:9">
      <c r="A336" s="150"/>
      <c r="B336" s="151"/>
      <c r="C336" s="152"/>
      <c r="D336" s="153"/>
      <c r="E336" s="152"/>
      <c r="F336" s="152"/>
      <c r="G336" s="152"/>
      <c r="H336" s="152"/>
      <c r="I336" s="154"/>
    </row>
    <row r="337" spans="1:9">
      <c r="A337" s="150"/>
      <c r="B337" s="151"/>
      <c r="C337" s="152"/>
      <c r="D337" s="153"/>
      <c r="E337" s="152"/>
      <c r="F337" s="152"/>
      <c r="G337" s="152"/>
      <c r="H337" s="152"/>
      <c r="I337" s="154"/>
    </row>
    <row r="338" spans="1:9">
      <c r="A338" s="150"/>
      <c r="B338" s="151"/>
      <c r="C338" s="152"/>
      <c r="D338" s="153"/>
      <c r="E338" s="152"/>
      <c r="F338" s="152"/>
      <c r="G338" s="152"/>
      <c r="H338" s="152"/>
      <c r="I338" s="154"/>
    </row>
    <row r="339" spans="1:9">
      <c r="A339" s="150"/>
      <c r="B339" s="151"/>
      <c r="C339" s="152"/>
      <c r="D339" s="153"/>
      <c r="E339" s="152"/>
      <c r="F339" s="152"/>
      <c r="G339" s="152"/>
      <c r="H339" s="152"/>
      <c r="I339" s="154"/>
    </row>
    <row r="340" spans="1:9">
      <c r="A340" s="150"/>
      <c r="B340" s="151"/>
      <c r="C340" s="152"/>
      <c r="D340" s="153"/>
      <c r="E340" s="152"/>
      <c r="F340" s="152"/>
      <c r="G340" s="152"/>
      <c r="H340" s="152"/>
      <c r="I340" s="154"/>
    </row>
    <row r="341" spans="1:9">
      <c r="A341" s="150"/>
      <c r="B341" s="151"/>
      <c r="C341" s="152"/>
      <c r="D341" s="153"/>
      <c r="E341" s="152"/>
      <c r="F341" s="152"/>
      <c r="G341" s="152"/>
      <c r="H341" s="152"/>
      <c r="I341" s="154"/>
    </row>
    <row r="342" spans="1:9">
      <c r="A342" s="150"/>
      <c r="B342" s="151"/>
      <c r="C342" s="152"/>
      <c r="D342" s="153"/>
      <c r="E342" s="152"/>
      <c r="F342" s="152"/>
      <c r="G342" s="152"/>
      <c r="H342" s="152"/>
      <c r="I342" s="154"/>
    </row>
    <row r="343" spans="1:9">
      <c r="A343" s="150"/>
      <c r="B343" s="151"/>
      <c r="C343" s="152"/>
      <c r="D343" s="153"/>
      <c r="E343" s="152"/>
      <c r="F343" s="152"/>
      <c r="G343" s="152"/>
      <c r="H343" s="152"/>
      <c r="I343" s="154"/>
    </row>
    <row r="344" spans="1:9">
      <c r="A344" s="150"/>
      <c r="B344" s="151"/>
      <c r="C344" s="152"/>
      <c r="D344" s="153"/>
      <c r="E344" s="152"/>
      <c r="F344" s="152"/>
      <c r="G344" s="152"/>
      <c r="H344" s="152"/>
      <c r="I344" s="154"/>
    </row>
    <row r="345" spans="1:9">
      <c r="A345" s="150"/>
      <c r="B345" s="151"/>
      <c r="C345" s="152"/>
      <c r="D345" s="153"/>
      <c r="E345" s="152"/>
      <c r="F345" s="152"/>
      <c r="G345" s="152"/>
      <c r="H345" s="152"/>
      <c r="I345" s="154"/>
    </row>
    <row r="346" spans="1:9">
      <c r="A346" s="150"/>
      <c r="B346" s="151"/>
      <c r="C346" s="152"/>
      <c r="D346" s="153"/>
      <c r="E346" s="152"/>
      <c r="F346" s="152"/>
      <c r="G346" s="152"/>
      <c r="H346" s="152"/>
      <c r="I346" s="154"/>
    </row>
    <row r="347" spans="1:9">
      <c r="A347" s="150"/>
      <c r="B347" s="151"/>
      <c r="C347" s="152"/>
      <c r="D347" s="153"/>
      <c r="E347" s="152"/>
      <c r="F347" s="152"/>
      <c r="G347" s="152"/>
      <c r="H347" s="152"/>
      <c r="I347" s="154"/>
    </row>
    <row r="348" spans="1:9">
      <c r="A348" s="150"/>
      <c r="B348" s="151"/>
      <c r="C348" s="152"/>
      <c r="D348" s="153"/>
      <c r="E348" s="152"/>
      <c r="F348" s="152"/>
      <c r="G348" s="152"/>
      <c r="H348" s="152"/>
      <c r="I348" s="154"/>
    </row>
    <row r="349" spans="1:9">
      <c r="A349" s="150"/>
      <c r="B349" s="151"/>
      <c r="C349" s="152"/>
      <c r="D349" s="153"/>
      <c r="E349" s="152"/>
      <c r="F349" s="152"/>
      <c r="G349" s="152"/>
      <c r="H349" s="152"/>
      <c r="I349" s="154"/>
    </row>
    <row r="350" spans="1:9">
      <c r="A350" s="150"/>
      <c r="B350" s="151"/>
      <c r="C350" s="152"/>
      <c r="D350" s="153"/>
      <c r="E350" s="152"/>
      <c r="F350" s="152"/>
      <c r="G350" s="152"/>
      <c r="H350" s="152"/>
      <c r="I350" s="154"/>
    </row>
    <row r="351" spans="1:9">
      <c r="A351" s="150"/>
      <c r="B351" s="151"/>
      <c r="C351" s="152"/>
      <c r="D351" s="153"/>
      <c r="E351" s="152"/>
      <c r="F351" s="152"/>
      <c r="G351" s="152"/>
      <c r="H351" s="152"/>
      <c r="I351" s="154"/>
    </row>
    <row r="352" spans="1:9">
      <c r="A352" s="150"/>
      <c r="B352" s="151"/>
      <c r="C352" s="152"/>
      <c r="D352" s="153"/>
      <c r="E352" s="152"/>
      <c r="F352" s="152"/>
      <c r="G352" s="152"/>
      <c r="H352" s="152"/>
      <c r="I352" s="154"/>
    </row>
    <row r="353" spans="1:9">
      <c r="A353" s="150"/>
      <c r="B353" s="151"/>
      <c r="C353" s="152"/>
      <c r="D353" s="153"/>
      <c r="E353" s="152"/>
      <c r="F353" s="152"/>
      <c r="G353" s="152"/>
      <c r="H353" s="152"/>
      <c r="I353" s="154"/>
    </row>
    <row r="354" spans="1:9">
      <c r="A354" s="150"/>
      <c r="B354" s="151"/>
      <c r="C354" s="152"/>
      <c r="D354" s="153"/>
      <c r="E354" s="152"/>
      <c r="F354" s="152"/>
      <c r="G354" s="152"/>
      <c r="H354" s="152"/>
      <c r="I354" s="154"/>
    </row>
    <row r="355" spans="1:9">
      <c r="A355" s="150"/>
      <c r="B355" s="151"/>
      <c r="C355" s="152"/>
      <c r="D355" s="153"/>
      <c r="E355" s="152"/>
      <c r="F355" s="152"/>
      <c r="G355" s="152"/>
      <c r="H355" s="152"/>
      <c r="I355" s="154"/>
    </row>
    <row r="356" spans="1:9">
      <c r="A356" s="150"/>
      <c r="B356" s="151"/>
      <c r="C356" s="152"/>
      <c r="D356" s="153"/>
      <c r="E356" s="152"/>
      <c r="F356" s="152"/>
      <c r="G356" s="152"/>
      <c r="H356" s="152"/>
      <c r="I356" s="154"/>
    </row>
    <row r="357" spans="1:9">
      <c r="A357" s="150"/>
      <c r="B357" s="151"/>
      <c r="C357" s="152"/>
      <c r="D357" s="153"/>
      <c r="E357" s="152"/>
      <c r="F357" s="152"/>
      <c r="G357" s="152"/>
      <c r="H357" s="152"/>
      <c r="I357" s="154"/>
    </row>
    <row r="358" spans="1:9">
      <c r="A358" s="150"/>
      <c r="B358" s="151"/>
      <c r="C358" s="152"/>
      <c r="D358" s="153"/>
      <c r="E358" s="152"/>
      <c r="F358" s="152"/>
      <c r="G358" s="152"/>
      <c r="H358" s="152"/>
      <c r="I358" s="154"/>
    </row>
    <row r="359" spans="1:9">
      <c r="A359" s="150"/>
      <c r="B359" s="151"/>
      <c r="C359" s="152"/>
      <c r="D359" s="153"/>
      <c r="E359" s="152"/>
      <c r="F359" s="152"/>
      <c r="G359" s="152"/>
      <c r="H359" s="152"/>
      <c r="I359" s="154"/>
    </row>
    <row r="360" spans="1:9">
      <c r="A360" s="150"/>
      <c r="B360" s="151"/>
      <c r="C360" s="152"/>
      <c r="D360" s="153"/>
      <c r="E360" s="152"/>
      <c r="F360" s="152"/>
      <c r="G360" s="152"/>
      <c r="H360" s="152"/>
      <c r="I360" s="154"/>
    </row>
    <row r="361" spans="1:9">
      <c r="A361" s="150"/>
      <c r="B361" s="151"/>
      <c r="C361" s="152"/>
      <c r="D361" s="153"/>
      <c r="E361" s="152"/>
      <c r="F361" s="152"/>
      <c r="G361" s="152"/>
      <c r="H361" s="152"/>
      <c r="I361" s="154"/>
    </row>
    <row r="362" spans="1:9">
      <c r="A362" s="150"/>
      <c r="B362" s="151"/>
      <c r="C362" s="152"/>
      <c r="D362" s="153"/>
      <c r="E362" s="152"/>
      <c r="F362" s="152"/>
      <c r="G362" s="152"/>
      <c r="H362" s="152"/>
      <c r="I362" s="154"/>
    </row>
    <row r="363" spans="1:9">
      <c r="A363" s="150"/>
      <c r="B363" s="151"/>
      <c r="C363" s="152"/>
      <c r="D363" s="153"/>
      <c r="E363" s="152"/>
      <c r="F363" s="152"/>
      <c r="G363" s="152"/>
      <c r="H363" s="152"/>
      <c r="I363" s="154"/>
    </row>
    <row r="364" spans="1:9">
      <c r="A364" s="150"/>
      <c r="B364" s="151"/>
      <c r="C364" s="152"/>
      <c r="D364" s="153"/>
      <c r="E364" s="152"/>
      <c r="F364" s="152"/>
      <c r="G364" s="152"/>
      <c r="H364" s="152"/>
      <c r="I364" s="154"/>
    </row>
    <row r="365" spans="1:9">
      <c r="A365" s="150"/>
      <c r="B365" s="151"/>
      <c r="C365" s="152"/>
      <c r="D365" s="153"/>
      <c r="E365" s="152"/>
      <c r="F365" s="152"/>
      <c r="G365" s="152"/>
      <c r="H365" s="152"/>
      <c r="I365" s="154"/>
    </row>
    <row r="366" spans="1:9">
      <c r="A366" s="150"/>
      <c r="B366" s="151"/>
      <c r="C366" s="152"/>
      <c r="D366" s="153"/>
      <c r="E366" s="152"/>
      <c r="F366" s="152"/>
      <c r="G366" s="152"/>
      <c r="H366" s="152"/>
      <c r="I366" s="154"/>
    </row>
    <row r="367" spans="1:9">
      <c r="A367" s="150"/>
      <c r="B367" s="151"/>
      <c r="C367" s="152"/>
      <c r="D367" s="153"/>
      <c r="E367" s="152"/>
      <c r="F367" s="152"/>
      <c r="G367" s="152"/>
      <c r="H367" s="152"/>
      <c r="I367" s="154"/>
    </row>
    <row r="368" spans="1:9">
      <c r="A368" s="150"/>
      <c r="B368" s="151"/>
      <c r="C368" s="152"/>
      <c r="D368" s="153"/>
      <c r="E368" s="152"/>
      <c r="F368" s="152"/>
      <c r="G368" s="152"/>
      <c r="H368" s="152"/>
      <c r="I368" s="154"/>
    </row>
    <row r="369" spans="1:9">
      <c r="A369" s="150"/>
      <c r="B369" s="151"/>
      <c r="C369" s="152"/>
      <c r="D369" s="153"/>
      <c r="E369" s="152"/>
      <c r="F369" s="152"/>
      <c r="G369" s="152"/>
      <c r="H369" s="152"/>
      <c r="I369" s="154"/>
    </row>
    <row r="370" spans="1:9">
      <c r="A370" s="150"/>
      <c r="B370" s="151"/>
      <c r="C370" s="152"/>
      <c r="D370" s="153"/>
      <c r="E370" s="152"/>
      <c r="F370" s="152"/>
      <c r="G370" s="152"/>
      <c r="H370" s="152"/>
      <c r="I370" s="154"/>
    </row>
    <row r="371" spans="1:9">
      <c r="A371" s="150"/>
      <c r="B371" s="151"/>
      <c r="C371" s="152"/>
      <c r="D371" s="153"/>
      <c r="E371" s="152"/>
      <c r="F371" s="152"/>
      <c r="G371" s="152"/>
      <c r="H371" s="152"/>
      <c r="I371" s="154"/>
    </row>
    <row r="372" spans="1:9">
      <c r="A372" s="150"/>
      <c r="B372" s="151"/>
      <c r="C372" s="152"/>
      <c r="D372" s="153"/>
      <c r="E372" s="152"/>
      <c r="F372" s="152"/>
      <c r="G372" s="152"/>
      <c r="H372" s="152"/>
      <c r="I372" s="154"/>
    </row>
    <row r="373" spans="1:9">
      <c r="A373" s="150"/>
      <c r="B373" s="151"/>
      <c r="C373" s="152"/>
      <c r="D373" s="153"/>
      <c r="E373" s="152"/>
      <c r="F373" s="152"/>
      <c r="G373" s="152"/>
      <c r="H373" s="152"/>
      <c r="I373" s="154"/>
    </row>
    <row r="374" spans="1:9">
      <c r="A374" s="150"/>
      <c r="B374" s="151"/>
      <c r="C374" s="152"/>
      <c r="D374" s="153"/>
      <c r="E374" s="152"/>
      <c r="F374" s="152"/>
      <c r="G374" s="152"/>
      <c r="H374" s="152"/>
      <c r="I374" s="154"/>
    </row>
    <row r="375" spans="1:9">
      <c r="A375" s="150"/>
      <c r="B375" s="151"/>
      <c r="C375" s="152"/>
      <c r="D375" s="153"/>
      <c r="E375" s="152"/>
      <c r="F375" s="152"/>
      <c r="G375" s="152"/>
      <c r="H375" s="152"/>
      <c r="I375" s="154"/>
    </row>
    <row r="376" spans="1:9">
      <c r="A376" s="150"/>
      <c r="B376" s="151"/>
      <c r="C376" s="152"/>
      <c r="D376" s="153"/>
      <c r="E376" s="152"/>
      <c r="F376" s="152"/>
      <c r="G376" s="152"/>
      <c r="H376" s="152"/>
      <c r="I376" s="154"/>
    </row>
    <row r="377" spans="1:9">
      <c r="A377" s="150"/>
      <c r="B377" s="151"/>
      <c r="C377" s="152"/>
      <c r="D377" s="153"/>
      <c r="E377" s="152"/>
      <c r="F377" s="152"/>
      <c r="G377" s="152"/>
      <c r="H377" s="152"/>
      <c r="I377" s="154"/>
    </row>
    <row r="378" spans="1:9">
      <c r="A378" s="150"/>
      <c r="B378" s="151"/>
      <c r="C378" s="152"/>
      <c r="D378" s="153"/>
      <c r="E378" s="152"/>
      <c r="F378" s="152"/>
      <c r="G378" s="152"/>
      <c r="H378" s="152"/>
      <c r="I378" s="154"/>
    </row>
    <row r="379" spans="1:9">
      <c r="A379" s="150"/>
      <c r="B379" s="151"/>
      <c r="C379" s="152"/>
      <c r="D379" s="153"/>
      <c r="E379" s="152"/>
      <c r="F379" s="152"/>
      <c r="G379" s="152"/>
      <c r="H379" s="152"/>
      <c r="I379" s="154"/>
    </row>
    <row r="380" spans="1:9">
      <c r="A380" s="150"/>
      <c r="B380" s="151"/>
      <c r="C380" s="152"/>
      <c r="D380" s="153"/>
      <c r="E380" s="152"/>
      <c r="F380" s="152"/>
      <c r="G380" s="152"/>
      <c r="H380" s="152"/>
      <c r="I380" s="154"/>
    </row>
    <row r="381" spans="1:9">
      <c r="A381" s="150"/>
      <c r="B381" s="151"/>
      <c r="C381" s="152"/>
      <c r="D381" s="153"/>
      <c r="E381" s="152"/>
      <c r="F381" s="152"/>
      <c r="G381" s="152"/>
      <c r="H381" s="152"/>
      <c r="I381" s="154"/>
    </row>
    <row r="382" spans="1:9">
      <c r="A382" s="150"/>
      <c r="B382" s="151"/>
      <c r="C382" s="152"/>
      <c r="D382" s="153"/>
      <c r="E382" s="152"/>
      <c r="F382" s="152"/>
      <c r="G382" s="152"/>
      <c r="H382" s="152"/>
      <c r="I382" s="154"/>
    </row>
    <row r="383" spans="1:9">
      <c r="A383" s="150"/>
      <c r="B383" s="151"/>
      <c r="C383" s="152"/>
      <c r="D383" s="153"/>
      <c r="E383" s="152"/>
      <c r="F383" s="152"/>
      <c r="G383" s="152"/>
      <c r="H383" s="152"/>
      <c r="I383" s="154"/>
    </row>
    <row r="384" spans="1:9">
      <c r="A384" s="150"/>
      <c r="B384" s="151"/>
      <c r="C384" s="152"/>
      <c r="D384" s="153"/>
      <c r="E384" s="152"/>
      <c r="F384" s="152"/>
      <c r="G384" s="152"/>
      <c r="H384" s="152"/>
      <c r="I384" s="154"/>
    </row>
    <row r="385" spans="1:9">
      <c r="A385" s="150"/>
      <c r="B385" s="151"/>
      <c r="C385" s="152"/>
      <c r="D385" s="153"/>
      <c r="E385" s="152"/>
      <c r="F385" s="152"/>
      <c r="G385" s="152"/>
      <c r="H385" s="152"/>
      <c r="I385" s="154"/>
    </row>
    <row r="386" spans="1:9">
      <c r="A386" s="150"/>
      <c r="B386" s="151"/>
      <c r="C386" s="152"/>
      <c r="D386" s="153"/>
      <c r="E386" s="152"/>
      <c r="F386" s="152"/>
      <c r="G386" s="152"/>
      <c r="H386" s="152"/>
      <c r="I386" s="154"/>
    </row>
    <row r="387" spans="1:9">
      <c r="A387" s="150"/>
      <c r="B387" s="151"/>
      <c r="C387" s="152"/>
      <c r="D387" s="153"/>
      <c r="E387" s="152"/>
      <c r="F387" s="152"/>
      <c r="G387" s="152"/>
      <c r="H387" s="152"/>
      <c r="I387" s="154"/>
    </row>
    <row r="388" spans="1:9">
      <c r="A388" s="150"/>
      <c r="B388" s="151"/>
      <c r="C388" s="152"/>
      <c r="D388" s="153"/>
      <c r="E388" s="152"/>
      <c r="F388" s="152"/>
      <c r="G388" s="152"/>
      <c r="H388" s="152"/>
      <c r="I388" s="154"/>
    </row>
    <row r="389" spans="1:9">
      <c r="A389" s="150"/>
      <c r="B389" s="151"/>
      <c r="C389" s="152"/>
      <c r="D389" s="153"/>
      <c r="E389" s="152"/>
      <c r="F389" s="152"/>
      <c r="G389" s="152"/>
      <c r="H389" s="152"/>
      <c r="I389" s="154"/>
    </row>
    <row r="390" spans="1:9">
      <c r="A390" s="150"/>
      <c r="B390" s="151"/>
      <c r="C390" s="152"/>
      <c r="D390" s="153"/>
      <c r="E390" s="152"/>
      <c r="F390" s="152"/>
      <c r="G390" s="152"/>
      <c r="H390" s="152"/>
      <c r="I390" s="154"/>
    </row>
    <row r="391" spans="1:9">
      <c r="A391" s="150"/>
      <c r="B391" s="151"/>
      <c r="C391" s="152"/>
      <c r="D391" s="153"/>
      <c r="E391" s="152"/>
      <c r="F391" s="152"/>
      <c r="G391" s="152"/>
      <c r="H391" s="152"/>
      <c r="I391" s="154"/>
    </row>
    <row r="392" spans="1:9">
      <c r="A392" s="150"/>
      <c r="B392" s="151"/>
      <c r="C392" s="152"/>
      <c r="D392" s="153"/>
      <c r="E392" s="152"/>
      <c r="F392" s="152"/>
      <c r="G392" s="152"/>
      <c r="H392" s="152"/>
      <c r="I392" s="154"/>
    </row>
    <row r="393" spans="1:9">
      <c r="A393" s="150"/>
      <c r="B393" s="151"/>
      <c r="C393" s="152"/>
      <c r="D393" s="153"/>
      <c r="E393" s="152"/>
      <c r="F393" s="152"/>
      <c r="G393" s="152"/>
      <c r="H393" s="152"/>
      <c r="I393" s="154"/>
    </row>
    <row r="394" spans="1:9">
      <c r="A394" s="150"/>
      <c r="B394" s="151"/>
      <c r="C394" s="152"/>
      <c r="D394" s="153"/>
      <c r="E394" s="152"/>
      <c r="F394" s="152"/>
      <c r="G394" s="152"/>
      <c r="H394" s="152"/>
      <c r="I394" s="154"/>
    </row>
    <row r="395" spans="1:9">
      <c r="A395" s="150"/>
      <c r="B395" s="151"/>
      <c r="C395" s="152"/>
      <c r="D395" s="153"/>
      <c r="E395" s="152"/>
      <c r="F395" s="152"/>
      <c r="G395" s="152"/>
      <c r="H395" s="152"/>
      <c r="I395" s="154"/>
    </row>
    <row r="396" spans="1:9">
      <c r="A396" s="150"/>
      <c r="B396" s="151"/>
      <c r="C396" s="152"/>
      <c r="D396" s="153"/>
      <c r="E396" s="152"/>
      <c r="F396" s="152"/>
      <c r="G396" s="152"/>
      <c r="H396" s="152"/>
      <c r="I396" s="154"/>
    </row>
    <row r="397" spans="1:9">
      <c r="A397" s="150"/>
      <c r="B397" s="151"/>
      <c r="C397" s="152"/>
      <c r="D397" s="153"/>
      <c r="E397" s="152"/>
      <c r="F397" s="152"/>
      <c r="G397" s="152"/>
      <c r="H397" s="152"/>
      <c r="I397" s="154"/>
    </row>
    <row r="398" spans="1:9">
      <c r="A398" s="150"/>
      <c r="B398" s="151"/>
      <c r="C398" s="152"/>
      <c r="D398" s="153"/>
      <c r="E398" s="152"/>
      <c r="F398" s="152"/>
      <c r="G398" s="152"/>
      <c r="H398" s="152"/>
      <c r="I398" s="154"/>
    </row>
    <row r="399" spans="1:9">
      <c r="A399" s="150"/>
      <c r="B399" s="151"/>
      <c r="C399" s="152"/>
      <c r="D399" s="153"/>
      <c r="E399" s="152"/>
      <c r="F399" s="152"/>
      <c r="G399" s="152"/>
      <c r="H399" s="152"/>
      <c r="I399" s="154"/>
    </row>
    <row r="400" spans="1:9">
      <c r="A400" s="150"/>
      <c r="B400" s="151"/>
      <c r="C400" s="152"/>
      <c r="D400" s="153"/>
      <c r="E400" s="152"/>
      <c r="F400" s="152"/>
      <c r="G400" s="152"/>
      <c r="H400" s="152"/>
      <c r="I400" s="154"/>
    </row>
    <row r="401" spans="1:9">
      <c r="A401" s="150"/>
      <c r="B401" s="151"/>
      <c r="C401" s="152"/>
      <c r="D401" s="153"/>
      <c r="E401" s="152"/>
      <c r="F401" s="152"/>
      <c r="G401" s="152"/>
      <c r="H401" s="152"/>
      <c r="I401" s="154"/>
    </row>
    <row r="402" spans="1:9">
      <c r="A402" s="150"/>
      <c r="B402" s="151"/>
      <c r="C402" s="152"/>
      <c r="D402" s="153"/>
      <c r="E402" s="152"/>
      <c r="F402" s="152"/>
      <c r="G402" s="152"/>
      <c r="H402" s="152"/>
      <c r="I402" s="154"/>
    </row>
    <row r="403" spans="1:9">
      <c r="A403" s="150"/>
      <c r="B403" s="151"/>
      <c r="C403" s="152"/>
      <c r="D403" s="153"/>
      <c r="E403" s="152"/>
      <c r="F403" s="152"/>
      <c r="G403" s="152"/>
      <c r="H403" s="152"/>
      <c r="I403" s="154"/>
    </row>
    <row r="404" spans="1:9">
      <c r="A404" s="150"/>
      <c r="B404" s="151"/>
      <c r="C404" s="152"/>
      <c r="D404" s="153"/>
      <c r="E404" s="152"/>
      <c r="F404" s="152"/>
      <c r="G404" s="152"/>
      <c r="H404" s="152"/>
      <c r="I404" s="154"/>
    </row>
    <row r="405" spans="1:9">
      <c r="A405" s="150"/>
      <c r="B405" s="151"/>
      <c r="C405" s="152"/>
      <c r="D405" s="153"/>
      <c r="E405" s="152"/>
      <c r="F405" s="152"/>
      <c r="G405" s="152"/>
      <c r="H405" s="152"/>
      <c r="I405" s="154"/>
    </row>
    <row r="406" spans="1:9">
      <c r="A406" s="150"/>
      <c r="B406" s="151"/>
      <c r="C406" s="152"/>
      <c r="D406" s="153"/>
      <c r="E406" s="152"/>
      <c r="F406" s="152"/>
      <c r="G406" s="152"/>
      <c r="H406" s="152"/>
      <c r="I406" s="154"/>
    </row>
    <row r="407" spans="1:9">
      <c r="A407" s="150"/>
      <c r="B407" s="151"/>
      <c r="C407" s="152"/>
      <c r="D407" s="153"/>
      <c r="E407" s="152"/>
      <c r="F407" s="152"/>
      <c r="G407" s="152"/>
      <c r="H407" s="152"/>
      <c r="I407" s="154"/>
    </row>
    <row r="408" spans="1:9">
      <c r="A408" s="150"/>
      <c r="B408" s="151"/>
      <c r="C408" s="152"/>
      <c r="D408" s="153"/>
      <c r="E408" s="152"/>
      <c r="F408" s="152"/>
      <c r="G408" s="152"/>
      <c r="H408" s="152"/>
      <c r="I408" s="154"/>
    </row>
    <row r="409" spans="1:9">
      <c r="A409" s="150"/>
      <c r="B409" s="151"/>
      <c r="C409" s="152"/>
      <c r="D409" s="153"/>
      <c r="E409" s="152"/>
      <c r="F409" s="152"/>
      <c r="G409" s="152"/>
      <c r="H409" s="152"/>
      <c r="I409" s="154"/>
    </row>
    <row r="410" spans="1:9">
      <c r="A410" s="150"/>
      <c r="B410" s="151"/>
      <c r="C410" s="152"/>
      <c r="D410" s="153"/>
      <c r="E410" s="152"/>
      <c r="F410" s="152"/>
      <c r="G410" s="152"/>
      <c r="H410" s="152"/>
      <c r="I410" s="154"/>
    </row>
    <row r="411" spans="1:9">
      <c r="A411" s="150"/>
      <c r="B411" s="151"/>
      <c r="C411" s="152"/>
      <c r="D411" s="153"/>
      <c r="E411" s="152"/>
      <c r="F411" s="152"/>
      <c r="G411" s="152"/>
      <c r="H411" s="152"/>
      <c r="I411" s="154"/>
    </row>
    <row r="412" spans="1:9">
      <c r="A412" s="150"/>
      <c r="B412" s="151"/>
      <c r="C412" s="152"/>
      <c r="D412" s="153"/>
      <c r="E412" s="152"/>
      <c r="F412" s="152"/>
      <c r="G412" s="152"/>
      <c r="H412" s="152"/>
      <c r="I412" s="154"/>
    </row>
    <row r="413" spans="1:9">
      <c r="A413" s="150"/>
      <c r="B413" s="151"/>
      <c r="C413" s="152"/>
      <c r="D413" s="153"/>
      <c r="E413" s="152"/>
      <c r="F413" s="152"/>
      <c r="G413" s="152"/>
      <c r="H413" s="152"/>
      <c r="I413" s="154"/>
    </row>
    <row r="414" spans="1:9">
      <c r="A414" s="150"/>
      <c r="B414" s="151"/>
      <c r="C414" s="152"/>
      <c r="D414" s="153"/>
      <c r="E414" s="152"/>
      <c r="F414" s="152"/>
      <c r="G414" s="152"/>
      <c r="H414" s="152"/>
      <c r="I414" s="154"/>
    </row>
    <row r="415" spans="1:9">
      <c r="A415" s="150"/>
      <c r="B415" s="151"/>
      <c r="C415" s="152"/>
      <c r="D415" s="153"/>
      <c r="E415" s="152"/>
      <c r="F415" s="152"/>
      <c r="G415" s="152"/>
      <c r="H415" s="152"/>
      <c r="I415" s="154"/>
    </row>
    <row r="416" spans="1:9">
      <c r="A416" s="150"/>
      <c r="B416" s="151"/>
      <c r="C416" s="152"/>
      <c r="D416" s="153"/>
      <c r="E416" s="152"/>
      <c r="F416" s="152"/>
      <c r="G416" s="152"/>
      <c r="H416" s="152"/>
      <c r="I416" s="154"/>
    </row>
    <row r="417" spans="1:9">
      <c r="A417" s="150"/>
      <c r="B417" s="151"/>
      <c r="C417" s="152"/>
      <c r="D417" s="153"/>
      <c r="E417" s="152"/>
      <c r="F417" s="152"/>
      <c r="G417" s="152"/>
      <c r="H417" s="152"/>
      <c r="I417" s="154"/>
    </row>
    <row r="418" spans="1:9">
      <c r="A418" s="150"/>
      <c r="B418" s="151"/>
      <c r="C418" s="152"/>
      <c r="D418" s="153"/>
      <c r="E418" s="152"/>
      <c r="F418" s="152"/>
      <c r="G418" s="152"/>
      <c r="H418" s="152"/>
      <c r="I418" s="154"/>
    </row>
    <row r="419" spans="1:9">
      <c r="A419" s="150"/>
      <c r="B419" s="151"/>
      <c r="C419" s="152"/>
      <c r="D419" s="153"/>
      <c r="E419" s="152"/>
      <c r="F419" s="152"/>
      <c r="G419" s="152"/>
      <c r="H419" s="152"/>
      <c r="I419" s="154"/>
    </row>
    <row r="420" spans="1:9">
      <c r="A420" s="150"/>
      <c r="B420" s="151"/>
      <c r="C420" s="152"/>
      <c r="D420" s="153"/>
      <c r="E420" s="152"/>
      <c r="F420" s="152"/>
      <c r="G420" s="152"/>
      <c r="H420" s="152"/>
      <c r="I420" s="154"/>
    </row>
    <row r="421" spans="1:9">
      <c r="A421" s="150"/>
      <c r="B421" s="151"/>
      <c r="C421" s="152"/>
      <c r="D421" s="153"/>
      <c r="E421" s="152"/>
      <c r="F421" s="152"/>
      <c r="G421" s="152"/>
      <c r="H421" s="152"/>
      <c r="I421" s="154"/>
    </row>
    <row r="422" spans="1:9">
      <c r="A422" s="150"/>
      <c r="B422" s="151"/>
      <c r="C422" s="152"/>
      <c r="D422" s="153"/>
      <c r="E422" s="152"/>
      <c r="F422" s="152"/>
      <c r="G422" s="152"/>
      <c r="H422" s="152"/>
      <c r="I422" s="154"/>
    </row>
    <row r="423" spans="1:9">
      <c r="A423" s="150"/>
      <c r="B423" s="151"/>
      <c r="C423" s="152"/>
      <c r="D423" s="153"/>
      <c r="E423" s="152"/>
      <c r="F423" s="152"/>
      <c r="G423" s="152"/>
      <c r="H423" s="152"/>
      <c r="I423" s="154"/>
    </row>
    <row r="424" spans="1:9">
      <c r="A424" s="150"/>
      <c r="B424" s="151"/>
      <c r="C424" s="152"/>
      <c r="D424" s="153"/>
      <c r="E424" s="152"/>
      <c r="F424" s="152"/>
      <c r="G424" s="152"/>
      <c r="H424" s="152"/>
      <c r="I424" s="154"/>
    </row>
    <row r="425" spans="1:9">
      <c r="A425" s="150"/>
      <c r="B425" s="151"/>
      <c r="C425" s="152"/>
      <c r="D425" s="153"/>
      <c r="E425" s="152"/>
      <c r="F425" s="152"/>
      <c r="G425" s="152"/>
      <c r="H425" s="152"/>
      <c r="I425" s="154"/>
    </row>
    <row r="426" spans="1:9">
      <c r="A426" s="150"/>
      <c r="B426" s="151"/>
      <c r="C426" s="152"/>
      <c r="D426" s="153"/>
      <c r="E426" s="152"/>
      <c r="F426" s="152"/>
      <c r="G426" s="152"/>
      <c r="H426" s="152"/>
      <c r="I426" s="154"/>
    </row>
    <row r="427" spans="1:9">
      <c r="A427" s="150"/>
      <c r="B427" s="151"/>
      <c r="C427" s="152"/>
      <c r="D427" s="153"/>
      <c r="E427" s="152"/>
      <c r="F427" s="152"/>
      <c r="G427" s="152"/>
      <c r="H427" s="152"/>
      <c r="I427" s="154"/>
    </row>
    <row r="428" spans="1:9">
      <c r="A428" s="150"/>
      <c r="B428" s="151"/>
      <c r="C428" s="152"/>
      <c r="D428" s="153"/>
      <c r="E428" s="152"/>
      <c r="F428" s="152"/>
      <c r="G428" s="152"/>
      <c r="H428" s="152"/>
      <c r="I428" s="154"/>
    </row>
    <row r="429" spans="1:9">
      <c r="A429" s="150"/>
      <c r="B429" s="151"/>
      <c r="C429" s="152"/>
      <c r="D429" s="153"/>
      <c r="E429" s="152"/>
      <c r="F429" s="152"/>
      <c r="G429" s="152"/>
      <c r="H429" s="152"/>
      <c r="I429" s="154"/>
    </row>
    <row r="430" spans="1:9">
      <c r="A430" s="150"/>
      <c r="B430" s="151"/>
      <c r="C430" s="152"/>
      <c r="D430" s="153"/>
      <c r="E430" s="152"/>
      <c r="F430" s="152"/>
      <c r="G430" s="152"/>
      <c r="H430" s="152"/>
      <c r="I430" s="154"/>
    </row>
    <row r="431" spans="1:9">
      <c r="A431" s="150"/>
      <c r="B431" s="151"/>
      <c r="C431" s="152"/>
      <c r="D431" s="153"/>
      <c r="E431" s="152"/>
      <c r="F431" s="152"/>
      <c r="G431" s="152"/>
      <c r="H431" s="152"/>
      <c r="I431" s="154"/>
    </row>
    <row r="432" spans="1:9">
      <c r="A432" s="150"/>
      <c r="B432" s="151"/>
      <c r="C432" s="152"/>
      <c r="D432" s="153"/>
      <c r="E432" s="152"/>
      <c r="F432" s="152"/>
      <c r="G432" s="152"/>
      <c r="H432" s="152"/>
      <c r="I432" s="154"/>
    </row>
    <row r="433" spans="1:9">
      <c r="A433" s="150"/>
      <c r="B433" s="151"/>
      <c r="C433" s="152"/>
      <c r="D433" s="153"/>
      <c r="E433" s="152"/>
      <c r="F433" s="152"/>
      <c r="G433" s="152"/>
      <c r="H433" s="152"/>
      <c r="I433" s="154"/>
    </row>
    <row r="434" spans="1:9">
      <c r="A434" s="150"/>
      <c r="B434" s="151"/>
      <c r="C434" s="152"/>
      <c r="D434" s="153"/>
      <c r="E434" s="152"/>
      <c r="F434" s="152"/>
      <c r="G434" s="152"/>
      <c r="H434" s="152"/>
      <c r="I434" s="154"/>
    </row>
    <row r="435" spans="1:9">
      <c r="A435" s="150"/>
      <c r="B435" s="151"/>
      <c r="C435" s="152"/>
      <c r="D435" s="153"/>
      <c r="E435" s="152"/>
      <c r="F435" s="152"/>
      <c r="G435" s="152"/>
      <c r="H435" s="152"/>
      <c r="I435" s="154"/>
    </row>
    <row r="436" spans="1:9">
      <c r="A436" s="150"/>
      <c r="B436" s="151"/>
      <c r="C436" s="152"/>
      <c r="D436" s="153"/>
      <c r="E436" s="152"/>
      <c r="F436" s="152"/>
      <c r="G436" s="152"/>
      <c r="H436" s="152"/>
      <c r="I436" s="154"/>
    </row>
    <row r="437" spans="1:9">
      <c r="A437" s="150"/>
      <c r="B437" s="151"/>
      <c r="C437" s="152"/>
      <c r="D437" s="153"/>
      <c r="E437" s="152"/>
      <c r="F437" s="152"/>
      <c r="G437" s="152"/>
      <c r="H437" s="152"/>
      <c r="I437" s="154"/>
    </row>
    <row r="438" spans="1:9">
      <c r="A438" s="150"/>
      <c r="B438" s="151"/>
      <c r="C438" s="152"/>
      <c r="D438" s="153"/>
      <c r="E438" s="152"/>
      <c r="F438" s="152"/>
      <c r="G438" s="152"/>
      <c r="H438" s="152"/>
      <c r="I438" s="154"/>
    </row>
    <row r="439" spans="1:9">
      <c r="A439" s="150"/>
      <c r="B439" s="151"/>
      <c r="C439" s="152"/>
      <c r="D439" s="153"/>
      <c r="E439" s="152"/>
      <c r="F439" s="152"/>
      <c r="G439" s="152"/>
      <c r="H439" s="152"/>
      <c r="I439" s="154"/>
    </row>
    <row r="440" spans="1:9">
      <c r="A440" s="150"/>
      <c r="B440" s="151"/>
      <c r="C440" s="152"/>
      <c r="D440" s="153"/>
      <c r="E440" s="152"/>
      <c r="F440" s="152"/>
      <c r="G440" s="152"/>
      <c r="H440" s="152"/>
      <c r="I440" s="154"/>
    </row>
    <row r="441" spans="1:9">
      <c r="A441" s="150"/>
      <c r="B441" s="151"/>
      <c r="C441" s="152"/>
      <c r="D441" s="153"/>
      <c r="E441" s="152"/>
      <c r="F441" s="152"/>
      <c r="G441" s="152"/>
      <c r="H441" s="152"/>
      <c r="I441" s="154"/>
    </row>
    <row r="442" spans="1:9">
      <c r="A442" s="150"/>
      <c r="B442" s="151"/>
      <c r="C442" s="152"/>
      <c r="D442" s="153"/>
      <c r="E442" s="152"/>
      <c r="F442" s="152"/>
      <c r="G442" s="152"/>
      <c r="H442" s="152"/>
      <c r="I442" s="154"/>
    </row>
    <row r="443" spans="1:9">
      <c r="A443" s="150"/>
      <c r="B443" s="151"/>
      <c r="C443" s="152"/>
      <c r="D443" s="153"/>
      <c r="E443" s="152"/>
      <c r="F443" s="152"/>
      <c r="G443" s="152"/>
      <c r="H443" s="152"/>
      <c r="I443" s="154"/>
    </row>
    <row r="444" spans="1:9">
      <c r="A444" s="150"/>
      <c r="B444" s="151"/>
      <c r="C444" s="152"/>
      <c r="D444" s="153"/>
      <c r="E444" s="152"/>
      <c r="F444" s="152"/>
      <c r="G444" s="152"/>
      <c r="H444" s="152"/>
      <c r="I444" s="154"/>
    </row>
    <row r="445" spans="1:9">
      <c r="A445" s="150"/>
      <c r="B445" s="151"/>
      <c r="C445" s="152"/>
      <c r="D445" s="153"/>
      <c r="E445" s="152"/>
      <c r="F445" s="152"/>
      <c r="G445" s="152"/>
      <c r="H445" s="152"/>
      <c r="I445" s="154"/>
    </row>
    <row r="446" spans="1:9">
      <c r="A446" s="150"/>
      <c r="B446" s="151"/>
      <c r="C446" s="152"/>
      <c r="D446" s="153"/>
      <c r="E446" s="152"/>
      <c r="F446" s="152"/>
      <c r="G446" s="152"/>
      <c r="H446" s="152"/>
      <c r="I446" s="154"/>
    </row>
    <row r="447" spans="1:9">
      <c r="A447" s="150"/>
      <c r="B447" s="151"/>
      <c r="C447" s="152"/>
      <c r="D447" s="153"/>
      <c r="E447" s="152"/>
      <c r="F447" s="152"/>
      <c r="G447" s="152"/>
      <c r="H447" s="152"/>
      <c r="I447" s="154"/>
    </row>
    <row r="448" spans="1:9">
      <c r="A448" s="150"/>
      <c r="B448" s="151"/>
      <c r="C448" s="152"/>
      <c r="D448" s="153"/>
      <c r="E448" s="152"/>
      <c r="F448" s="152"/>
      <c r="G448" s="152"/>
      <c r="H448" s="152"/>
      <c r="I448" s="154"/>
    </row>
    <row r="449" spans="1:9">
      <c r="A449" s="150"/>
      <c r="B449" s="151"/>
      <c r="C449" s="152"/>
      <c r="D449" s="153"/>
      <c r="E449" s="152"/>
      <c r="F449" s="152"/>
      <c r="G449" s="152"/>
      <c r="H449" s="152"/>
      <c r="I449" s="154"/>
    </row>
    <row r="450" spans="1:9">
      <c r="A450" s="150"/>
      <c r="B450" s="151"/>
      <c r="C450" s="152"/>
      <c r="D450" s="153"/>
      <c r="E450" s="152"/>
      <c r="F450" s="152"/>
      <c r="G450" s="152"/>
      <c r="H450" s="152"/>
      <c r="I450" s="154"/>
    </row>
    <row r="451" spans="1:9">
      <c r="A451" s="150"/>
      <c r="B451" s="151"/>
      <c r="C451" s="152"/>
      <c r="D451" s="153"/>
      <c r="E451" s="152"/>
      <c r="F451" s="152"/>
      <c r="G451" s="152"/>
      <c r="H451" s="152"/>
      <c r="I451" s="154"/>
    </row>
    <row r="452" spans="1:9">
      <c r="A452" s="150"/>
      <c r="B452" s="151"/>
      <c r="C452" s="152"/>
      <c r="D452" s="153"/>
      <c r="E452" s="152"/>
      <c r="F452" s="152"/>
      <c r="G452" s="152"/>
      <c r="H452" s="152"/>
      <c r="I452" s="154"/>
    </row>
    <row r="453" spans="1:9">
      <c r="A453" s="150"/>
      <c r="B453" s="151"/>
      <c r="C453" s="152"/>
      <c r="D453" s="153"/>
      <c r="E453" s="152"/>
      <c r="F453" s="152"/>
      <c r="G453" s="152"/>
      <c r="H453" s="152"/>
      <c r="I453" s="154"/>
    </row>
    <row r="454" spans="1:9">
      <c r="A454" s="150"/>
      <c r="B454" s="151"/>
      <c r="C454" s="152"/>
      <c r="D454" s="153"/>
      <c r="E454" s="152"/>
      <c r="F454" s="152"/>
      <c r="G454" s="152"/>
      <c r="H454" s="152"/>
      <c r="I454" s="154"/>
    </row>
    <row r="455" spans="1:9">
      <c r="A455" s="150"/>
      <c r="B455" s="151"/>
      <c r="C455" s="152"/>
      <c r="D455" s="153"/>
      <c r="E455" s="152"/>
      <c r="F455" s="152"/>
      <c r="G455" s="152"/>
      <c r="H455" s="152"/>
      <c r="I455" s="154"/>
    </row>
    <row r="456" spans="1:9">
      <c r="A456" s="150"/>
      <c r="B456" s="151"/>
      <c r="C456" s="152"/>
      <c r="D456" s="153"/>
      <c r="E456" s="152"/>
      <c r="F456" s="152"/>
      <c r="G456" s="152"/>
      <c r="H456" s="152"/>
      <c r="I456" s="154"/>
    </row>
    <row r="457" spans="1:9">
      <c r="A457" s="150"/>
      <c r="B457" s="151"/>
      <c r="C457" s="152"/>
      <c r="D457" s="153"/>
      <c r="E457" s="152"/>
      <c r="F457" s="152"/>
      <c r="G457" s="152"/>
      <c r="H457" s="152"/>
      <c r="I457" s="154"/>
    </row>
    <row r="458" spans="1:9">
      <c r="A458" s="150"/>
      <c r="B458" s="151"/>
      <c r="C458" s="152"/>
      <c r="D458" s="153"/>
      <c r="E458" s="152"/>
      <c r="F458" s="152"/>
      <c r="G458" s="152"/>
      <c r="H458" s="152"/>
      <c r="I458" s="154"/>
    </row>
    <row r="459" spans="1:9">
      <c r="A459" s="150"/>
      <c r="B459" s="151"/>
      <c r="C459" s="152"/>
      <c r="D459" s="153"/>
      <c r="E459" s="152"/>
      <c r="F459" s="152"/>
      <c r="G459" s="152"/>
      <c r="H459" s="152"/>
      <c r="I459" s="154"/>
    </row>
    <row r="460" spans="1:9">
      <c r="A460" s="150"/>
      <c r="B460" s="151"/>
      <c r="C460" s="152"/>
      <c r="D460" s="153"/>
      <c r="E460" s="152"/>
      <c r="F460" s="152"/>
      <c r="G460" s="152"/>
      <c r="H460" s="152"/>
      <c r="I460" s="154"/>
    </row>
    <row r="461" spans="1:9">
      <c r="A461" s="150"/>
      <c r="B461" s="151"/>
      <c r="C461" s="152"/>
      <c r="D461" s="153"/>
      <c r="E461" s="152"/>
      <c r="F461" s="152"/>
      <c r="G461" s="152"/>
      <c r="H461" s="152"/>
      <c r="I461" s="154"/>
    </row>
    <row r="462" spans="1:9">
      <c r="A462" s="150"/>
      <c r="B462" s="151"/>
      <c r="C462" s="152"/>
      <c r="D462" s="153"/>
      <c r="E462" s="152"/>
      <c r="F462" s="152"/>
      <c r="G462" s="152"/>
      <c r="H462" s="152"/>
      <c r="I462" s="154"/>
    </row>
    <row r="463" spans="1:9">
      <c r="A463" s="150"/>
      <c r="B463" s="151"/>
      <c r="C463" s="152"/>
      <c r="D463" s="153"/>
      <c r="E463" s="152"/>
      <c r="F463" s="152"/>
      <c r="G463" s="152"/>
      <c r="H463" s="152"/>
      <c r="I463" s="154"/>
    </row>
    <row r="464" spans="1:9">
      <c r="A464" s="150"/>
      <c r="B464" s="151"/>
      <c r="C464" s="152"/>
      <c r="D464" s="153"/>
      <c r="E464" s="152"/>
      <c r="F464" s="152"/>
      <c r="G464" s="152"/>
      <c r="H464" s="152"/>
      <c r="I464" s="154"/>
    </row>
    <row r="465" spans="1:9">
      <c r="A465" s="150"/>
      <c r="B465" s="151"/>
      <c r="C465" s="152"/>
      <c r="D465" s="153"/>
      <c r="E465" s="152"/>
      <c r="F465" s="152"/>
      <c r="G465" s="152"/>
      <c r="H465" s="152"/>
      <c r="I465" s="154"/>
    </row>
    <row r="466" spans="1:9">
      <c r="A466" s="150"/>
      <c r="B466" s="151"/>
      <c r="C466" s="152"/>
      <c r="D466" s="153"/>
      <c r="E466" s="152"/>
      <c r="F466" s="152"/>
      <c r="G466" s="152"/>
      <c r="H466" s="152"/>
      <c r="I466" s="154"/>
    </row>
    <row r="467" spans="1:9">
      <c r="A467" s="150"/>
      <c r="B467" s="151"/>
      <c r="C467" s="152"/>
      <c r="D467" s="153"/>
      <c r="E467" s="152"/>
      <c r="F467" s="152"/>
      <c r="G467" s="152"/>
      <c r="H467" s="152"/>
      <c r="I467" s="154"/>
    </row>
    <row r="468" spans="1:9">
      <c r="A468" s="150"/>
      <c r="B468" s="151"/>
      <c r="C468" s="152"/>
      <c r="D468" s="153"/>
      <c r="E468" s="152"/>
      <c r="F468" s="152"/>
      <c r="G468" s="152"/>
      <c r="H468" s="152"/>
      <c r="I468" s="154"/>
    </row>
    <row r="469" spans="1:9">
      <c r="A469" s="150"/>
      <c r="B469" s="151"/>
      <c r="C469" s="152"/>
      <c r="D469" s="153"/>
      <c r="E469" s="152"/>
      <c r="F469" s="152"/>
      <c r="G469" s="152"/>
      <c r="H469" s="152"/>
      <c r="I469" s="154"/>
    </row>
    <row r="470" spans="1:9">
      <c r="A470" s="150"/>
      <c r="B470" s="151"/>
      <c r="C470" s="152"/>
      <c r="D470" s="153"/>
      <c r="E470" s="152"/>
      <c r="F470" s="152"/>
      <c r="G470" s="152"/>
      <c r="H470" s="152"/>
      <c r="I470" s="154"/>
    </row>
    <row r="471" spans="1:9">
      <c r="A471" s="150"/>
      <c r="B471" s="151"/>
      <c r="C471" s="152"/>
      <c r="D471" s="153"/>
      <c r="E471" s="152"/>
      <c r="F471" s="152"/>
      <c r="G471" s="152"/>
      <c r="H471" s="152"/>
      <c r="I471" s="154"/>
    </row>
    <row r="472" spans="1:9">
      <c r="A472" s="150"/>
      <c r="B472" s="151"/>
      <c r="C472" s="152"/>
      <c r="D472" s="153"/>
      <c r="E472" s="152"/>
      <c r="F472" s="152"/>
      <c r="G472" s="152"/>
      <c r="H472" s="152"/>
      <c r="I472" s="154"/>
    </row>
    <row r="473" spans="1:9">
      <c r="A473" s="150"/>
      <c r="B473" s="151"/>
      <c r="C473" s="152"/>
      <c r="D473" s="153"/>
      <c r="E473" s="152"/>
      <c r="F473" s="152"/>
      <c r="G473" s="152"/>
      <c r="H473" s="152"/>
      <c r="I473" s="154"/>
    </row>
    <row r="474" spans="1:9">
      <c r="A474" s="150"/>
      <c r="B474" s="151"/>
      <c r="C474" s="152"/>
      <c r="D474" s="153"/>
      <c r="E474" s="152"/>
      <c r="F474" s="152"/>
      <c r="G474" s="152"/>
      <c r="H474" s="152"/>
      <c r="I474" s="154"/>
    </row>
    <row r="475" spans="1:9">
      <c r="A475" s="150"/>
      <c r="B475" s="151"/>
      <c r="C475" s="152"/>
      <c r="D475" s="153"/>
      <c r="E475" s="152"/>
      <c r="F475" s="152"/>
      <c r="G475" s="152"/>
      <c r="H475" s="152"/>
      <c r="I475" s="154"/>
    </row>
    <row r="476" spans="1:9">
      <c r="A476" s="150"/>
      <c r="B476" s="151"/>
      <c r="C476" s="152"/>
      <c r="D476" s="153"/>
      <c r="E476" s="152"/>
      <c r="F476" s="152"/>
      <c r="G476" s="152"/>
      <c r="H476" s="152"/>
      <c r="I476" s="154"/>
    </row>
    <row r="477" spans="1:9">
      <c r="A477" s="150"/>
      <c r="B477" s="151"/>
      <c r="C477" s="152"/>
      <c r="D477" s="153"/>
      <c r="E477" s="152"/>
      <c r="F477" s="152"/>
      <c r="G477" s="152"/>
      <c r="H477" s="152"/>
      <c r="I477" s="154"/>
    </row>
    <row r="478" spans="1:9">
      <c r="A478" s="150"/>
      <c r="B478" s="151"/>
      <c r="C478" s="152"/>
      <c r="D478" s="153"/>
      <c r="E478" s="152"/>
      <c r="F478" s="152"/>
      <c r="G478" s="152"/>
      <c r="H478" s="152"/>
      <c r="I478" s="154"/>
    </row>
    <row r="479" spans="1:9">
      <c r="A479" s="150"/>
      <c r="B479" s="151"/>
      <c r="C479" s="152"/>
      <c r="D479" s="153"/>
      <c r="E479" s="152"/>
      <c r="F479" s="152"/>
      <c r="G479" s="152"/>
      <c r="H479" s="152"/>
      <c r="I479" s="154"/>
    </row>
    <row r="480" spans="1:9">
      <c r="A480" s="150"/>
      <c r="B480" s="151"/>
      <c r="C480" s="152"/>
      <c r="D480" s="153"/>
      <c r="E480" s="152"/>
      <c r="F480" s="152"/>
      <c r="G480" s="152"/>
      <c r="H480" s="152"/>
      <c r="I480" s="154"/>
    </row>
    <row r="481" spans="1:9">
      <c r="A481" s="150"/>
      <c r="B481" s="151"/>
      <c r="C481" s="152"/>
      <c r="D481" s="153"/>
      <c r="E481" s="152"/>
      <c r="F481" s="152"/>
      <c r="G481" s="152"/>
      <c r="H481" s="152"/>
      <c r="I481" s="154"/>
    </row>
    <row r="482" spans="1:9">
      <c r="A482" s="150"/>
      <c r="B482" s="151"/>
      <c r="C482" s="152"/>
      <c r="D482" s="153"/>
      <c r="E482" s="152"/>
      <c r="F482" s="152"/>
      <c r="G482" s="152"/>
      <c r="H482" s="152"/>
      <c r="I482" s="154"/>
    </row>
    <row r="483" spans="1:9">
      <c r="A483" s="150"/>
      <c r="B483" s="151"/>
      <c r="C483" s="152"/>
      <c r="D483" s="153"/>
      <c r="E483" s="152"/>
      <c r="F483" s="152"/>
      <c r="G483" s="152"/>
      <c r="H483" s="152"/>
      <c r="I483" s="154"/>
    </row>
    <row r="484" spans="1:9">
      <c r="A484" s="150"/>
      <c r="B484" s="151"/>
      <c r="C484" s="152"/>
      <c r="D484" s="153"/>
      <c r="E484" s="152"/>
      <c r="F484" s="152"/>
      <c r="G484" s="152"/>
      <c r="H484" s="152"/>
      <c r="I484" s="154"/>
    </row>
    <row r="485" spans="1:9">
      <c r="A485" s="150"/>
      <c r="B485" s="151"/>
      <c r="C485" s="152"/>
      <c r="D485" s="153"/>
      <c r="E485" s="152"/>
      <c r="F485" s="152"/>
      <c r="G485" s="152"/>
      <c r="H485" s="152"/>
      <c r="I485" s="154"/>
    </row>
    <row r="486" spans="1:9">
      <c r="A486" s="150"/>
      <c r="B486" s="151"/>
      <c r="C486" s="152"/>
      <c r="D486" s="153"/>
      <c r="E486" s="152"/>
      <c r="F486" s="152"/>
      <c r="G486" s="152"/>
      <c r="H486" s="152"/>
      <c r="I486" s="154"/>
    </row>
    <row r="487" spans="1:9">
      <c r="A487" s="150"/>
      <c r="B487" s="151"/>
      <c r="C487" s="152"/>
      <c r="D487" s="153"/>
      <c r="E487" s="152"/>
      <c r="F487" s="152"/>
      <c r="G487" s="152"/>
      <c r="H487" s="152"/>
      <c r="I487" s="154"/>
    </row>
    <row r="488" spans="1:9">
      <c r="A488" s="150"/>
      <c r="B488" s="151"/>
      <c r="C488" s="152"/>
      <c r="D488" s="153"/>
      <c r="E488" s="152"/>
      <c r="F488" s="152"/>
      <c r="G488" s="152"/>
      <c r="H488" s="152"/>
      <c r="I488" s="154"/>
    </row>
  </sheetData>
  <mergeCells count="28">
    <mergeCell ref="D173:G173"/>
    <mergeCell ref="D183:G183"/>
    <mergeCell ref="C12:I12"/>
    <mergeCell ref="D53:G53"/>
    <mergeCell ref="D82:G82"/>
    <mergeCell ref="D83:I83"/>
    <mergeCell ref="D119:G119"/>
    <mergeCell ref="A120:B120"/>
    <mergeCell ref="F8:I8"/>
    <mergeCell ref="A9:I9"/>
    <mergeCell ref="A10:A11"/>
    <mergeCell ref="B10:B11"/>
    <mergeCell ref="C10:C11"/>
    <mergeCell ref="D10:D11"/>
    <mergeCell ref="E10:E11"/>
    <mergeCell ref="F10:I10"/>
    <mergeCell ref="C5:E5"/>
    <mergeCell ref="F5:I5"/>
    <mergeCell ref="C6:E6"/>
    <mergeCell ref="F6:I6"/>
    <mergeCell ref="C7:E7"/>
    <mergeCell ref="F7:I7"/>
    <mergeCell ref="C1:E1"/>
    <mergeCell ref="C2:E2"/>
    <mergeCell ref="C3:E3"/>
    <mergeCell ref="F3:I3"/>
    <mergeCell ref="C4:E4"/>
    <mergeCell ref="F4:I4"/>
  </mergeCells>
  <printOptions horizontalCentered="1"/>
  <pageMargins left="0.59055118110236227" right="0.39370078740157483" top="0.39370078740157483" bottom="0.59055118110236227" header="0" footer="0"/>
  <pageSetup paperSize="9" scale="38" orientation="portrait" r:id="rId1"/>
  <headerFooter alignWithMargins="0">
    <oddFooter>&amp;A&amp;RPágina &amp;P</oddFooter>
  </headerFooter>
  <rowBreaks count="3" manualBreakCount="3">
    <brk id="68" max="8" man="1"/>
    <brk id="158" max="8" man="1"/>
    <brk id="21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0"/>
  <sheetViews>
    <sheetView view="pageBreakPreview" zoomScale="75" zoomScaleNormal="75" zoomScaleSheetLayoutView="75" workbookViewId="0">
      <selection activeCell="F4" sqref="F4:I4"/>
    </sheetView>
  </sheetViews>
  <sheetFormatPr defaultRowHeight="14.25"/>
  <cols>
    <col min="1" max="1" width="6.85546875" style="155" customWidth="1"/>
    <col min="2" max="2" width="26.28515625" style="156" customWidth="1"/>
    <col min="3" max="3" width="94.7109375" style="157" customWidth="1"/>
    <col min="4" max="4" width="10.5703125" style="158" customWidth="1"/>
    <col min="5" max="5" width="24" style="157" customWidth="1"/>
    <col min="6" max="6" width="24.5703125" style="157" bestFit="1" customWidth="1"/>
    <col min="7" max="7" width="17.7109375" style="157" bestFit="1" customWidth="1"/>
    <col min="8" max="8" width="17.42578125" style="157" bestFit="1" customWidth="1"/>
    <col min="9" max="9" width="17.5703125" style="159" bestFit="1" customWidth="1"/>
    <col min="10" max="10" width="9.28515625" style="68" bestFit="1" customWidth="1"/>
    <col min="11" max="11" width="10.28515625" style="68" bestFit="1" customWidth="1"/>
    <col min="12" max="12" width="45.7109375" style="68" customWidth="1"/>
    <col min="13" max="256" width="9.140625" style="68"/>
    <col min="257" max="257" width="6.85546875" style="68" customWidth="1"/>
    <col min="258" max="258" width="26.28515625" style="68" customWidth="1"/>
    <col min="259" max="259" width="94.7109375" style="68" customWidth="1"/>
    <col min="260" max="260" width="10.5703125" style="68" customWidth="1"/>
    <col min="261" max="261" width="24" style="68" customWidth="1"/>
    <col min="262" max="262" width="24.5703125" style="68" bestFit="1" customWidth="1"/>
    <col min="263" max="263" width="17.7109375" style="68" bestFit="1" customWidth="1"/>
    <col min="264" max="264" width="17.42578125" style="68" bestFit="1" customWidth="1"/>
    <col min="265" max="265" width="17.5703125" style="68" bestFit="1" customWidth="1"/>
    <col min="266" max="266" width="9.28515625" style="68" bestFit="1" customWidth="1"/>
    <col min="267" max="267" width="10.28515625" style="68" bestFit="1" customWidth="1"/>
    <col min="268" max="268" width="45.7109375" style="68" customWidth="1"/>
    <col min="269" max="512" width="9.140625" style="68"/>
    <col min="513" max="513" width="6.85546875" style="68" customWidth="1"/>
    <col min="514" max="514" width="26.28515625" style="68" customWidth="1"/>
    <col min="515" max="515" width="94.7109375" style="68" customWidth="1"/>
    <col min="516" max="516" width="10.5703125" style="68" customWidth="1"/>
    <col min="517" max="517" width="24" style="68" customWidth="1"/>
    <col min="518" max="518" width="24.5703125" style="68" bestFit="1" customWidth="1"/>
    <col min="519" max="519" width="17.7109375" style="68" bestFit="1" customWidth="1"/>
    <col min="520" max="520" width="17.42578125" style="68" bestFit="1" customWidth="1"/>
    <col min="521" max="521" width="17.5703125" style="68" bestFit="1" customWidth="1"/>
    <col min="522" max="522" width="9.28515625" style="68" bestFit="1" customWidth="1"/>
    <col min="523" max="523" width="10.28515625" style="68" bestFit="1" customWidth="1"/>
    <col min="524" max="524" width="45.7109375" style="68" customWidth="1"/>
    <col min="525" max="768" width="9.140625" style="68"/>
    <col min="769" max="769" width="6.85546875" style="68" customWidth="1"/>
    <col min="770" max="770" width="26.28515625" style="68" customWidth="1"/>
    <col min="771" max="771" width="94.7109375" style="68" customWidth="1"/>
    <col min="772" max="772" width="10.5703125" style="68" customWidth="1"/>
    <col min="773" max="773" width="24" style="68" customWidth="1"/>
    <col min="774" max="774" width="24.5703125" style="68" bestFit="1" customWidth="1"/>
    <col min="775" max="775" width="17.7109375" style="68" bestFit="1" customWidth="1"/>
    <col min="776" max="776" width="17.42578125" style="68" bestFit="1" customWidth="1"/>
    <col min="777" max="777" width="17.5703125" style="68" bestFit="1" customWidth="1"/>
    <col min="778" max="778" width="9.28515625" style="68" bestFit="1" customWidth="1"/>
    <col min="779" max="779" width="10.28515625" style="68" bestFit="1" customWidth="1"/>
    <col min="780" max="780" width="45.7109375" style="68" customWidth="1"/>
    <col min="781" max="1024" width="9.140625" style="68"/>
    <col min="1025" max="1025" width="6.85546875" style="68" customWidth="1"/>
    <col min="1026" max="1026" width="26.28515625" style="68" customWidth="1"/>
    <col min="1027" max="1027" width="94.7109375" style="68" customWidth="1"/>
    <col min="1028" max="1028" width="10.5703125" style="68" customWidth="1"/>
    <col min="1029" max="1029" width="24" style="68" customWidth="1"/>
    <col min="1030" max="1030" width="24.5703125" style="68" bestFit="1" customWidth="1"/>
    <col min="1031" max="1031" width="17.7109375" style="68" bestFit="1" customWidth="1"/>
    <col min="1032" max="1032" width="17.42578125" style="68" bestFit="1" customWidth="1"/>
    <col min="1033" max="1033" width="17.5703125" style="68" bestFit="1" customWidth="1"/>
    <col min="1034" max="1034" width="9.28515625" style="68" bestFit="1" customWidth="1"/>
    <col min="1035" max="1035" width="10.28515625" style="68" bestFit="1" customWidth="1"/>
    <col min="1036" max="1036" width="45.7109375" style="68" customWidth="1"/>
    <col min="1037" max="1280" width="9.140625" style="68"/>
    <col min="1281" max="1281" width="6.85546875" style="68" customWidth="1"/>
    <col min="1282" max="1282" width="26.28515625" style="68" customWidth="1"/>
    <col min="1283" max="1283" width="94.7109375" style="68" customWidth="1"/>
    <col min="1284" max="1284" width="10.5703125" style="68" customWidth="1"/>
    <col min="1285" max="1285" width="24" style="68" customWidth="1"/>
    <col min="1286" max="1286" width="24.5703125" style="68" bestFit="1" customWidth="1"/>
    <col min="1287" max="1287" width="17.7109375" style="68" bestFit="1" customWidth="1"/>
    <col min="1288" max="1288" width="17.42578125" style="68" bestFit="1" customWidth="1"/>
    <col min="1289" max="1289" width="17.5703125" style="68" bestFit="1" customWidth="1"/>
    <col min="1290" max="1290" width="9.28515625" style="68" bestFit="1" customWidth="1"/>
    <col min="1291" max="1291" width="10.28515625" style="68" bestFit="1" customWidth="1"/>
    <col min="1292" max="1292" width="45.7109375" style="68" customWidth="1"/>
    <col min="1293" max="1536" width="9.140625" style="68"/>
    <col min="1537" max="1537" width="6.85546875" style="68" customWidth="1"/>
    <col min="1538" max="1538" width="26.28515625" style="68" customWidth="1"/>
    <col min="1539" max="1539" width="94.7109375" style="68" customWidth="1"/>
    <col min="1540" max="1540" width="10.5703125" style="68" customWidth="1"/>
    <col min="1541" max="1541" width="24" style="68" customWidth="1"/>
    <col min="1542" max="1542" width="24.5703125" style="68" bestFit="1" customWidth="1"/>
    <col min="1543" max="1543" width="17.7109375" style="68" bestFit="1" customWidth="1"/>
    <col min="1544" max="1544" width="17.42578125" style="68" bestFit="1" customWidth="1"/>
    <col min="1545" max="1545" width="17.5703125" style="68" bestFit="1" customWidth="1"/>
    <col min="1546" max="1546" width="9.28515625" style="68" bestFit="1" customWidth="1"/>
    <col min="1547" max="1547" width="10.28515625" style="68" bestFit="1" customWidth="1"/>
    <col min="1548" max="1548" width="45.7109375" style="68" customWidth="1"/>
    <col min="1549" max="1792" width="9.140625" style="68"/>
    <col min="1793" max="1793" width="6.85546875" style="68" customWidth="1"/>
    <col min="1794" max="1794" width="26.28515625" style="68" customWidth="1"/>
    <col min="1795" max="1795" width="94.7109375" style="68" customWidth="1"/>
    <col min="1796" max="1796" width="10.5703125" style="68" customWidth="1"/>
    <col min="1797" max="1797" width="24" style="68" customWidth="1"/>
    <col min="1798" max="1798" width="24.5703125" style="68" bestFit="1" customWidth="1"/>
    <col min="1799" max="1799" width="17.7109375" style="68" bestFit="1" customWidth="1"/>
    <col min="1800" max="1800" width="17.42578125" style="68" bestFit="1" customWidth="1"/>
    <col min="1801" max="1801" width="17.5703125" style="68" bestFit="1" customWidth="1"/>
    <col min="1802" max="1802" width="9.28515625" style="68" bestFit="1" customWidth="1"/>
    <col min="1803" max="1803" width="10.28515625" style="68" bestFit="1" customWidth="1"/>
    <col min="1804" max="1804" width="45.7109375" style="68" customWidth="1"/>
    <col min="1805" max="2048" width="9.140625" style="68"/>
    <col min="2049" max="2049" width="6.85546875" style="68" customWidth="1"/>
    <col min="2050" max="2050" width="26.28515625" style="68" customWidth="1"/>
    <col min="2051" max="2051" width="94.7109375" style="68" customWidth="1"/>
    <col min="2052" max="2052" width="10.5703125" style="68" customWidth="1"/>
    <col min="2053" max="2053" width="24" style="68" customWidth="1"/>
    <col min="2054" max="2054" width="24.5703125" style="68" bestFit="1" customWidth="1"/>
    <col min="2055" max="2055" width="17.7109375" style="68" bestFit="1" customWidth="1"/>
    <col min="2056" max="2056" width="17.42578125" style="68" bestFit="1" customWidth="1"/>
    <col min="2057" max="2057" width="17.5703125" style="68" bestFit="1" customWidth="1"/>
    <col min="2058" max="2058" width="9.28515625" style="68" bestFit="1" customWidth="1"/>
    <col min="2059" max="2059" width="10.28515625" style="68" bestFit="1" customWidth="1"/>
    <col min="2060" max="2060" width="45.7109375" style="68" customWidth="1"/>
    <col min="2061" max="2304" width="9.140625" style="68"/>
    <col min="2305" max="2305" width="6.85546875" style="68" customWidth="1"/>
    <col min="2306" max="2306" width="26.28515625" style="68" customWidth="1"/>
    <col min="2307" max="2307" width="94.7109375" style="68" customWidth="1"/>
    <col min="2308" max="2308" width="10.5703125" style="68" customWidth="1"/>
    <col min="2309" max="2309" width="24" style="68" customWidth="1"/>
    <col min="2310" max="2310" width="24.5703125" style="68" bestFit="1" customWidth="1"/>
    <col min="2311" max="2311" width="17.7109375" style="68" bestFit="1" customWidth="1"/>
    <col min="2312" max="2312" width="17.42578125" style="68" bestFit="1" customWidth="1"/>
    <col min="2313" max="2313" width="17.5703125" style="68" bestFit="1" customWidth="1"/>
    <col min="2314" max="2314" width="9.28515625" style="68" bestFit="1" customWidth="1"/>
    <col min="2315" max="2315" width="10.28515625" style="68" bestFit="1" customWidth="1"/>
    <col min="2316" max="2316" width="45.7109375" style="68" customWidth="1"/>
    <col min="2317" max="2560" width="9.140625" style="68"/>
    <col min="2561" max="2561" width="6.85546875" style="68" customWidth="1"/>
    <col min="2562" max="2562" width="26.28515625" style="68" customWidth="1"/>
    <col min="2563" max="2563" width="94.7109375" style="68" customWidth="1"/>
    <col min="2564" max="2564" width="10.5703125" style="68" customWidth="1"/>
    <col min="2565" max="2565" width="24" style="68" customWidth="1"/>
    <col min="2566" max="2566" width="24.5703125" style="68" bestFit="1" customWidth="1"/>
    <col min="2567" max="2567" width="17.7109375" style="68" bestFit="1" customWidth="1"/>
    <col min="2568" max="2568" width="17.42578125" style="68" bestFit="1" customWidth="1"/>
    <col min="2569" max="2569" width="17.5703125" style="68" bestFit="1" customWidth="1"/>
    <col min="2570" max="2570" width="9.28515625" style="68" bestFit="1" customWidth="1"/>
    <col min="2571" max="2571" width="10.28515625" style="68" bestFit="1" customWidth="1"/>
    <col min="2572" max="2572" width="45.7109375" style="68" customWidth="1"/>
    <col min="2573" max="2816" width="9.140625" style="68"/>
    <col min="2817" max="2817" width="6.85546875" style="68" customWidth="1"/>
    <col min="2818" max="2818" width="26.28515625" style="68" customWidth="1"/>
    <col min="2819" max="2819" width="94.7109375" style="68" customWidth="1"/>
    <col min="2820" max="2820" width="10.5703125" style="68" customWidth="1"/>
    <col min="2821" max="2821" width="24" style="68" customWidth="1"/>
    <col min="2822" max="2822" width="24.5703125" style="68" bestFit="1" customWidth="1"/>
    <col min="2823" max="2823" width="17.7109375" style="68" bestFit="1" customWidth="1"/>
    <col min="2824" max="2824" width="17.42578125" style="68" bestFit="1" customWidth="1"/>
    <col min="2825" max="2825" width="17.5703125" style="68" bestFit="1" customWidth="1"/>
    <col min="2826" max="2826" width="9.28515625" style="68" bestFit="1" customWidth="1"/>
    <col min="2827" max="2827" width="10.28515625" style="68" bestFit="1" customWidth="1"/>
    <col min="2828" max="2828" width="45.7109375" style="68" customWidth="1"/>
    <col min="2829" max="3072" width="9.140625" style="68"/>
    <col min="3073" max="3073" width="6.85546875" style="68" customWidth="1"/>
    <col min="3074" max="3074" width="26.28515625" style="68" customWidth="1"/>
    <col min="3075" max="3075" width="94.7109375" style="68" customWidth="1"/>
    <col min="3076" max="3076" width="10.5703125" style="68" customWidth="1"/>
    <col min="3077" max="3077" width="24" style="68" customWidth="1"/>
    <col min="3078" max="3078" width="24.5703125" style="68" bestFit="1" customWidth="1"/>
    <col min="3079" max="3079" width="17.7109375" style="68" bestFit="1" customWidth="1"/>
    <col min="3080" max="3080" width="17.42578125" style="68" bestFit="1" customWidth="1"/>
    <col min="3081" max="3081" width="17.5703125" style="68" bestFit="1" customWidth="1"/>
    <col min="3082" max="3082" width="9.28515625" style="68" bestFit="1" customWidth="1"/>
    <col min="3083" max="3083" width="10.28515625" style="68" bestFit="1" customWidth="1"/>
    <col min="3084" max="3084" width="45.7109375" style="68" customWidth="1"/>
    <col min="3085" max="3328" width="9.140625" style="68"/>
    <col min="3329" max="3329" width="6.85546875" style="68" customWidth="1"/>
    <col min="3330" max="3330" width="26.28515625" style="68" customWidth="1"/>
    <col min="3331" max="3331" width="94.7109375" style="68" customWidth="1"/>
    <col min="3332" max="3332" width="10.5703125" style="68" customWidth="1"/>
    <col min="3333" max="3333" width="24" style="68" customWidth="1"/>
    <col min="3334" max="3334" width="24.5703125" style="68" bestFit="1" customWidth="1"/>
    <col min="3335" max="3335" width="17.7109375" style="68" bestFit="1" customWidth="1"/>
    <col min="3336" max="3336" width="17.42578125" style="68" bestFit="1" customWidth="1"/>
    <col min="3337" max="3337" width="17.5703125" style="68" bestFit="1" customWidth="1"/>
    <col min="3338" max="3338" width="9.28515625" style="68" bestFit="1" customWidth="1"/>
    <col min="3339" max="3339" width="10.28515625" style="68" bestFit="1" customWidth="1"/>
    <col min="3340" max="3340" width="45.7109375" style="68" customWidth="1"/>
    <col min="3341" max="3584" width="9.140625" style="68"/>
    <col min="3585" max="3585" width="6.85546875" style="68" customWidth="1"/>
    <col min="3586" max="3586" width="26.28515625" style="68" customWidth="1"/>
    <col min="3587" max="3587" width="94.7109375" style="68" customWidth="1"/>
    <col min="3588" max="3588" width="10.5703125" style="68" customWidth="1"/>
    <col min="3589" max="3589" width="24" style="68" customWidth="1"/>
    <col min="3590" max="3590" width="24.5703125" style="68" bestFit="1" customWidth="1"/>
    <col min="3591" max="3591" width="17.7109375" style="68" bestFit="1" customWidth="1"/>
    <col min="3592" max="3592" width="17.42578125" style="68" bestFit="1" customWidth="1"/>
    <col min="3593" max="3593" width="17.5703125" style="68" bestFit="1" customWidth="1"/>
    <col min="3594" max="3594" width="9.28515625" style="68" bestFit="1" customWidth="1"/>
    <col min="3595" max="3595" width="10.28515625" style="68" bestFit="1" customWidth="1"/>
    <col min="3596" max="3596" width="45.7109375" style="68" customWidth="1"/>
    <col min="3597" max="3840" width="9.140625" style="68"/>
    <col min="3841" max="3841" width="6.85546875" style="68" customWidth="1"/>
    <col min="3842" max="3842" width="26.28515625" style="68" customWidth="1"/>
    <col min="3843" max="3843" width="94.7109375" style="68" customWidth="1"/>
    <col min="3844" max="3844" width="10.5703125" style="68" customWidth="1"/>
    <col min="3845" max="3845" width="24" style="68" customWidth="1"/>
    <col min="3846" max="3846" width="24.5703125" style="68" bestFit="1" customWidth="1"/>
    <col min="3847" max="3847" width="17.7109375" style="68" bestFit="1" customWidth="1"/>
    <col min="3848" max="3848" width="17.42578125" style="68" bestFit="1" customWidth="1"/>
    <col min="3849" max="3849" width="17.5703125" style="68" bestFit="1" customWidth="1"/>
    <col min="3850" max="3850" width="9.28515625" style="68" bestFit="1" customWidth="1"/>
    <col min="3851" max="3851" width="10.28515625" style="68" bestFit="1" customWidth="1"/>
    <col min="3852" max="3852" width="45.7109375" style="68" customWidth="1"/>
    <col min="3853" max="4096" width="9.140625" style="68"/>
    <col min="4097" max="4097" width="6.85546875" style="68" customWidth="1"/>
    <col min="4098" max="4098" width="26.28515625" style="68" customWidth="1"/>
    <col min="4099" max="4099" width="94.7109375" style="68" customWidth="1"/>
    <col min="4100" max="4100" width="10.5703125" style="68" customWidth="1"/>
    <col min="4101" max="4101" width="24" style="68" customWidth="1"/>
    <col min="4102" max="4102" width="24.5703125" style="68" bestFit="1" customWidth="1"/>
    <col min="4103" max="4103" width="17.7109375" style="68" bestFit="1" customWidth="1"/>
    <col min="4104" max="4104" width="17.42578125" style="68" bestFit="1" customWidth="1"/>
    <col min="4105" max="4105" width="17.5703125" style="68" bestFit="1" customWidth="1"/>
    <col min="4106" max="4106" width="9.28515625" style="68" bestFit="1" customWidth="1"/>
    <col min="4107" max="4107" width="10.28515625" style="68" bestFit="1" customWidth="1"/>
    <col min="4108" max="4108" width="45.7109375" style="68" customWidth="1"/>
    <col min="4109" max="4352" width="9.140625" style="68"/>
    <col min="4353" max="4353" width="6.85546875" style="68" customWidth="1"/>
    <col min="4354" max="4354" width="26.28515625" style="68" customWidth="1"/>
    <col min="4355" max="4355" width="94.7109375" style="68" customWidth="1"/>
    <col min="4356" max="4356" width="10.5703125" style="68" customWidth="1"/>
    <col min="4357" max="4357" width="24" style="68" customWidth="1"/>
    <col min="4358" max="4358" width="24.5703125" style="68" bestFit="1" customWidth="1"/>
    <col min="4359" max="4359" width="17.7109375" style="68" bestFit="1" customWidth="1"/>
    <col min="4360" max="4360" width="17.42578125" style="68" bestFit="1" customWidth="1"/>
    <col min="4361" max="4361" width="17.5703125" style="68" bestFit="1" customWidth="1"/>
    <col min="4362" max="4362" width="9.28515625" style="68" bestFit="1" customWidth="1"/>
    <col min="4363" max="4363" width="10.28515625" style="68" bestFit="1" customWidth="1"/>
    <col min="4364" max="4364" width="45.7109375" style="68" customWidth="1"/>
    <col min="4365" max="4608" width="9.140625" style="68"/>
    <col min="4609" max="4609" width="6.85546875" style="68" customWidth="1"/>
    <col min="4610" max="4610" width="26.28515625" style="68" customWidth="1"/>
    <col min="4611" max="4611" width="94.7109375" style="68" customWidth="1"/>
    <col min="4612" max="4612" width="10.5703125" style="68" customWidth="1"/>
    <col min="4613" max="4613" width="24" style="68" customWidth="1"/>
    <col min="4614" max="4614" width="24.5703125" style="68" bestFit="1" customWidth="1"/>
    <col min="4615" max="4615" width="17.7109375" style="68" bestFit="1" customWidth="1"/>
    <col min="4616" max="4616" width="17.42578125" style="68" bestFit="1" customWidth="1"/>
    <col min="4617" max="4617" width="17.5703125" style="68" bestFit="1" customWidth="1"/>
    <col min="4618" max="4618" width="9.28515625" style="68" bestFit="1" customWidth="1"/>
    <col min="4619" max="4619" width="10.28515625" style="68" bestFit="1" customWidth="1"/>
    <col min="4620" max="4620" width="45.7109375" style="68" customWidth="1"/>
    <col min="4621" max="4864" width="9.140625" style="68"/>
    <col min="4865" max="4865" width="6.85546875" style="68" customWidth="1"/>
    <col min="4866" max="4866" width="26.28515625" style="68" customWidth="1"/>
    <col min="4867" max="4867" width="94.7109375" style="68" customWidth="1"/>
    <col min="4868" max="4868" width="10.5703125" style="68" customWidth="1"/>
    <col min="4869" max="4869" width="24" style="68" customWidth="1"/>
    <col min="4870" max="4870" width="24.5703125" style="68" bestFit="1" customWidth="1"/>
    <col min="4871" max="4871" width="17.7109375" style="68" bestFit="1" customWidth="1"/>
    <col min="4872" max="4872" width="17.42578125" style="68" bestFit="1" customWidth="1"/>
    <col min="4873" max="4873" width="17.5703125" style="68" bestFit="1" customWidth="1"/>
    <col min="4874" max="4874" width="9.28515625" style="68" bestFit="1" customWidth="1"/>
    <col min="4875" max="4875" width="10.28515625" style="68" bestFit="1" customWidth="1"/>
    <col min="4876" max="4876" width="45.7109375" style="68" customWidth="1"/>
    <col min="4877" max="5120" width="9.140625" style="68"/>
    <col min="5121" max="5121" width="6.85546875" style="68" customWidth="1"/>
    <col min="5122" max="5122" width="26.28515625" style="68" customWidth="1"/>
    <col min="5123" max="5123" width="94.7109375" style="68" customWidth="1"/>
    <col min="5124" max="5124" width="10.5703125" style="68" customWidth="1"/>
    <col min="5125" max="5125" width="24" style="68" customWidth="1"/>
    <col min="5126" max="5126" width="24.5703125" style="68" bestFit="1" customWidth="1"/>
    <col min="5127" max="5127" width="17.7109375" style="68" bestFit="1" customWidth="1"/>
    <col min="5128" max="5128" width="17.42578125" style="68" bestFit="1" customWidth="1"/>
    <col min="5129" max="5129" width="17.5703125" style="68" bestFit="1" customWidth="1"/>
    <col min="5130" max="5130" width="9.28515625" style="68" bestFit="1" customWidth="1"/>
    <col min="5131" max="5131" width="10.28515625" style="68" bestFit="1" customWidth="1"/>
    <col min="5132" max="5132" width="45.7109375" style="68" customWidth="1"/>
    <col min="5133" max="5376" width="9.140625" style="68"/>
    <col min="5377" max="5377" width="6.85546875" style="68" customWidth="1"/>
    <col min="5378" max="5378" width="26.28515625" style="68" customWidth="1"/>
    <col min="5379" max="5379" width="94.7109375" style="68" customWidth="1"/>
    <col min="5380" max="5380" width="10.5703125" style="68" customWidth="1"/>
    <col min="5381" max="5381" width="24" style="68" customWidth="1"/>
    <col min="5382" max="5382" width="24.5703125" style="68" bestFit="1" customWidth="1"/>
    <col min="5383" max="5383" width="17.7109375" style="68" bestFit="1" customWidth="1"/>
    <col min="5384" max="5384" width="17.42578125" style="68" bestFit="1" customWidth="1"/>
    <col min="5385" max="5385" width="17.5703125" style="68" bestFit="1" customWidth="1"/>
    <col min="5386" max="5386" width="9.28515625" style="68" bestFit="1" customWidth="1"/>
    <col min="5387" max="5387" width="10.28515625" style="68" bestFit="1" customWidth="1"/>
    <col min="5388" max="5388" width="45.7109375" style="68" customWidth="1"/>
    <col min="5389" max="5632" width="9.140625" style="68"/>
    <col min="5633" max="5633" width="6.85546875" style="68" customWidth="1"/>
    <col min="5634" max="5634" width="26.28515625" style="68" customWidth="1"/>
    <col min="5635" max="5635" width="94.7109375" style="68" customWidth="1"/>
    <col min="5636" max="5636" width="10.5703125" style="68" customWidth="1"/>
    <col min="5637" max="5637" width="24" style="68" customWidth="1"/>
    <col min="5638" max="5638" width="24.5703125" style="68" bestFit="1" customWidth="1"/>
    <col min="5639" max="5639" width="17.7109375" style="68" bestFit="1" customWidth="1"/>
    <col min="5640" max="5640" width="17.42578125" style="68" bestFit="1" customWidth="1"/>
    <col min="5641" max="5641" width="17.5703125" style="68" bestFit="1" customWidth="1"/>
    <col min="5642" max="5642" width="9.28515625" style="68" bestFit="1" customWidth="1"/>
    <col min="5643" max="5643" width="10.28515625" style="68" bestFit="1" customWidth="1"/>
    <col min="5644" max="5644" width="45.7109375" style="68" customWidth="1"/>
    <col min="5645" max="5888" width="9.140625" style="68"/>
    <col min="5889" max="5889" width="6.85546875" style="68" customWidth="1"/>
    <col min="5890" max="5890" width="26.28515625" style="68" customWidth="1"/>
    <col min="5891" max="5891" width="94.7109375" style="68" customWidth="1"/>
    <col min="5892" max="5892" width="10.5703125" style="68" customWidth="1"/>
    <col min="5893" max="5893" width="24" style="68" customWidth="1"/>
    <col min="5894" max="5894" width="24.5703125" style="68" bestFit="1" customWidth="1"/>
    <col min="5895" max="5895" width="17.7109375" style="68" bestFit="1" customWidth="1"/>
    <col min="5896" max="5896" width="17.42578125" style="68" bestFit="1" customWidth="1"/>
    <col min="5897" max="5897" width="17.5703125" style="68" bestFit="1" customWidth="1"/>
    <col min="5898" max="5898" width="9.28515625" style="68" bestFit="1" customWidth="1"/>
    <col min="5899" max="5899" width="10.28515625" style="68" bestFit="1" customWidth="1"/>
    <col min="5900" max="5900" width="45.7109375" style="68" customWidth="1"/>
    <col min="5901" max="6144" width="9.140625" style="68"/>
    <col min="6145" max="6145" width="6.85546875" style="68" customWidth="1"/>
    <col min="6146" max="6146" width="26.28515625" style="68" customWidth="1"/>
    <col min="6147" max="6147" width="94.7109375" style="68" customWidth="1"/>
    <col min="6148" max="6148" width="10.5703125" style="68" customWidth="1"/>
    <col min="6149" max="6149" width="24" style="68" customWidth="1"/>
    <col min="6150" max="6150" width="24.5703125" style="68" bestFit="1" customWidth="1"/>
    <col min="6151" max="6151" width="17.7109375" style="68" bestFit="1" customWidth="1"/>
    <col min="6152" max="6152" width="17.42578125" style="68" bestFit="1" customWidth="1"/>
    <col min="6153" max="6153" width="17.5703125" style="68" bestFit="1" customWidth="1"/>
    <col min="6154" max="6154" width="9.28515625" style="68" bestFit="1" customWidth="1"/>
    <col min="6155" max="6155" width="10.28515625" style="68" bestFit="1" customWidth="1"/>
    <col min="6156" max="6156" width="45.7109375" style="68" customWidth="1"/>
    <col min="6157" max="6400" width="9.140625" style="68"/>
    <col min="6401" max="6401" width="6.85546875" style="68" customWidth="1"/>
    <col min="6402" max="6402" width="26.28515625" style="68" customWidth="1"/>
    <col min="6403" max="6403" width="94.7109375" style="68" customWidth="1"/>
    <col min="6404" max="6404" width="10.5703125" style="68" customWidth="1"/>
    <col min="6405" max="6405" width="24" style="68" customWidth="1"/>
    <col min="6406" max="6406" width="24.5703125" style="68" bestFit="1" customWidth="1"/>
    <col min="6407" max="6407" width="17.7109375" style="68" bestFit="1" customWidth="1"/>
    <col min="6408" max="6408" width="17.42578125" style="68" bestFit="1" customWidth="1"/>
    <col min="6409" max="6409" width="17.5703125" style="68" bestFit="1" customWidth="1"/>
    <col min="6410" max="6410" width="9.28515625" style="68" bestFit="1" customWidth="1"/>
    <col min="6411" max="6411" width="10.28515625" style="68" bestFit="1" customWidth="1"/>
    <col min="6412" max="6412" width="45.7109375" style="68" customWidth="1"/>
    <col min="6413" max="6656" width="9.140625" style="68"/>
    <col min="6657" max="6657" width="6.85546875" style="68" customWidth="1"/>
    <col min="6658" max="6658" width="26.28515625" style="68" customWidth="1"/>
    <col min="6659" max="6659" width="94.7109375" style="68" customWidth="1"/>
    <col min="6660" max="6660" width="10.5703125" style="68" customWidth="1"/>
    <col min="6661" max="6661" width="24" style="68" customWidth="1"/>
    <col min="6662" max="6662" width="24.5703125" style="68" bestFit="1" customWidth="1"/>
    <col min="6663" max="6663" width="17.7109375" style="68" bestFit="1" customWidth="1"/>
    <col min="6664" max="6664" width="17.42578125" style="68" bestFit="1" customWidth="1"/>
    <col min="6665" max="6665" width="17.5703125" style="68" bestFit="1" customWidth="1"/>
    <col min="6666" max="6666" width="9.28515625" style="68" bestFit="1" customWidth="1"/>
    <col min="6667" max="6667" width="10.28515625" style="68" bestFit="1" customWidth="1"/>
    <col min="6668" max="6668" width="45.7109375" style="68" customWidth="1"/>
    <col min="6669" max="6912" width="9.140625" style="68"/>
    <col min="6913" max="6913" width="6.85546875" style="68" customWidth="1"/>
    <col min="6914" max="6914" width="26.28515625" style="68" customWidth="1"/>
    <col min="6915" max="6915" width="94.7109375" style="68" customWidth="1"/>
    <col min="6916" max="6916" width="10.5703125" style="68" customWidth="1"/>
    <col min="6917" max="6917" width="24" style="68" customWidth="1"/>
    <col min="6918" max="6918" width="24.5703125" style="68" bestFit="1" customWidth="1"/>
    <col min="6919" max="6919" width="17.7109375" style="68" bestFit="1" customWidth="1"/>
    <col min="6920" max="6920" width="17.42578125" style="68" bestFit="1" customWidth="1"/>
    <col min="6921" max="6921" width="17.5703125" style="68" bestFit="1" customWidth="1"/>
    <col min="6922" max="6922" width="9.28515625" style="68" bestFit="1" customWidth="1"/>
    <col min="6923" max="6923" width="10.28515625" style="68" bestFit="1" customWidth="1"/>
    <col min="6924" max="6924" width="45.7109375" style="68" customWidth="1"/>
    <col min="6925" max="7168" width="9.140625" style="68"/>
    <col min="7169" max="7169" width="6.85546875" style="68" customWidth="1"/>
    <col min="7170" max="7170" width="26.28515625" style="68" customWidth="1"/>
    <col min="7171" max="7171" width="94.7109375" style="68" customWidth="1"/>
    <col min="7172" max="7172" width="10.5703125" style="68" customWidth="1"/>
    <col min="7173" max="7173" width="24" style="68" customWidth="1"/>
    <col min="7174" max="7174" width="24.5703125" style="68" bestFit="1" customWidth="1"/>
    <col min="7175" max="7175" width="17.7109375" style="68" bestFit="1" customWidth="1"/>
    <col min="7176" max="7176" width="17.42578125" style="68" bestFit="1" customWidth="1"/>
    <col min="7177" max="7177" width="17.5703125" style="68" bestFit="1" customWidth="1"/>
    <col min="7178" max="7178" width="9.28515625" style="68" bestFit="1" customWidth="1"/>
    <col min="7179" max="7179" width="10.28515625" style="68" bestFit="1" customWidth="1"/>
    <col min="7180" max="7180" width="45.7109375" style="68" customWidth="1"/>
    <col min="7181" max="7424" width="9.140625" style="68"/>
    <col min="7425" max="7425" width="6.85546875" style="68" customWidth="1"/>
    <col min="7426" max="7426" width="26.28515625" style="68" customWidth="1"/>
    <col min="7427" max="7427" width="94.7109375" style="68" customWidth="1"/>
    <col min="7428" max="7428" width="10.5703125" style="68" customWidth="1"/>
    <col min="7429" max="7429" width="24" style="68" customWidth="1"/>
    <col min="7430" max="7430" width="24.5703125" style="68" bestFit="1" customWidth="1"/>
    <col min="7431" max="7431" width="17.7109375" style="68" bestFit="1" customWidth="1"/>
    <col min="7432" max="7432" width="17.42578125" style="68" bestFit="1" customWidth="1"/>
    <col min="7433" max="7433" width="17.5703125" style="68" bestFit="1" customWidth="1"/>
    <col min="7434" max="7434" width="9.28515625" style="68" bestFit="1" customWidth="1"/>
    <col min="7435" max="7435" width="10.28515625" style="68" bestFit="1" customWidth="1"/>
    <col min="7436" max="7436" width="45.7109375" style="68" customWidth="1"/>
    <col min="7437" max="7680" width="9.140625" style="68"/>
    <col min="7681" max="7681" width="6.85546875" style="68" customWidth="1"/>
    <col min="7682" max="7682" width="26.28515625" style="68" customWidth="1"/>
    <col min="7683" max="7683" width="94.7109375" style="68" customWidth="1"/>
    <col min="7684" max="7684" width="10.5703125" style="68" customWidth="1"/>
    <col min="7685" max="7685" width="24" style="68" customWidth="1"/>
    <col min="7686" max="7686" width="24.5703125" style="68" bestFit="1" customWidth="1"/>
    <col min="7687" max="7687" width="17.7109375" style="68" bestFit="1" customWidth="1"/>
    <col min="7688" max="7688" width="17.42578125" style="68" bestFit="1" customWidth="1"/>
    <col min="7689" max="7689" width="17.5703125" style="68" bestFit="1" customWidth="1"/>
    <col min="7690" max="7690" width="9.28515625" style="68" bestFit="1" customWidth="1"/>
    <col min="7691" max="7691" width="10.28515625" style="68" bestFit="1" customWidth="1"/>
    <col min="7692" max="7692" width="45.7109375" style="68" customWidth="1"/>
    <col min="7693" max="7936" width="9.140625" style="68"/>
    <col min="7937" max="7937" width="6.85546875" style="68" customWidth="1"/>
    <col min="7938" max="7938" width="26.28515625" style="68" customWidth="1"/>
    <col min="7939" max="7939" width="94.7109375" style="68" customWidth="1"/>
    <col min="7940" max="7940" width="10.5703125" style="68" customWidth="1"/>
    <col min="7941" max="7941" width="24" style="68" customWidth="1"/>
    <col min="7942" max="7942" width="24.5703125" style="68" bestFit="1" customWidth="1"/>
    <col min="7943" max="7943" width="17.7109375" style="68" bestFit="1" customWidth="1"/>
    <col min="7944" max="7944" width="17.42578125" style="68" bestFit="1" customWidth="1"/>
    <col min="7945" max="7945" width="17.5703125" style="68" bestFit="1" customWidth="1"/>
    <col min="7946" max="7946" width="9.28515625" style="68" bestFit="1" customWidth="1"/>
    <col min="7947" max="7947" width="10.28515625" style="68" bestFit="1" customWidth="1"/>
    <col min="7948" max="7948" width="45.7109375" style="68" customWidth="1"/>
    <col min="7949" max="8192" width="9.140625" style="68"/>
    <col min="8193" max="8193" width="6.85546875" style="68" customWidth="1"/>
    <col min="8194" max="8194" width="26.28515625" style="68" customWidth="1"/>
    <col min="8195" max="8195" width="94.7109375" style="68" customWidth="1"/>
    <col min="8196" max="8196" width="10.5703125" style="68" customWidth="1"/>
    <col min="8197" max="8197" width="24" style="68" customWidth="1"/>
    <col min="8198" max="8198" width="24.5703125" style="68" bestFit="1" customWidth="1"/>
    <col min="8199" max="8199" width="17.7109375" style="68" bestFit="1" customWidth="1"/>
    <col min="8200" max="8200" width="17.42578125" style="68" bestFit="1" customWidth="1"/>
    <col min="8201" max="8201" width="17.5703125" style="68" bestFit="1" customWidth="1"/>
    <col min="8202" max="8202" width="9.28515625" style="68" bestFit="1" customWidth="1"/>
    <col min="8203" max="8203" width="10.28515625" style="68" bestFit="1" customWidth="1"/>
    <col min="8204" max="8204" width="45.7109375" style="68" customWidth="1"/>
    <col min="8205" max="8448" width="9.140625" style="68"/>
    <col min="8449" max="8449" width="6.85546875" style="68" customWidth="1"/>
    <col min="8450" max="8450" width="26.28515625" style="68" customWidth="1"/>
    <col min="8451" max="8451" width="94.7109375" style="68" customWidth="1"/>
    <col min="8452" max="8452" width="10.5703125" style="68" customWidth="1"/>
    <col min="8453" max="8453" width="24" style="68" customWidth="1"/>
    <col min="8454" max="8454" width="24.5703125" style="68" bestFit="1" customWidth="1"/>
    <col min="8455" max="8455" width="17.7109375" style="68" bestFit="1" customWidth="1"/>
    <col min="8456" max="8456" width="17.42578125" style="68" bestFit="1" customWidth="1"/>
    <col min="8457" max="8457" width="17.5703125" style="68" bestFit="1" customWidth="1"/>
    <col min="8458" max="8458" width="9.28515625" style="68" bestFit="1" customWidth="1"/>
    <col min="8459" max="8459" width="10.28515625" style="68" bestFit="1" customWidth="1"/>
    <col min="8460" max="8460" width="45.7109375" style="68" customWidth="1"/>
    <col min="8461" max="8704" width="9.140625" style="68"/>
    <col min="8705" max="8705" width="6.85546875" style="68" customWidth="1"/>
    <col min="8706" max="8706" width="26.28515625" style="68" customWidth="1"/>
    <col min="8707" max="8707" width="94.7109375" style="68" customWidth="1"/>
    <col min="8708" max="8708" width="10.5703125" style="68" customWidth="1"/>
    <col min="8709" max="8709" width="24" style="68" customWidth="1"/>
    <col min="8710" max="8710" width="24.5703125" style="68" bestFit="1" customWidth="1"/>
    <col min="8711" max="8711" width="17.7109375" style="68" bestFit="1" customWidth="1"/>
    <col min="8712" max="8712" width="17.42578125" style="68" bestFit="1" customWidth="1"/>
    <col min="8713" max="8713" width="17.5703125" style="68" bestFit="1" customWidth="1"/>
    <col min="8714" max="8714" width="9.28515625" style="68" bestFit="1" customWidth="1"/>
    <col min="8715" max="8715" width="10.28515625" style="68" bestFit="1" customWidth="1"/>
    <col min="8716" max="8716" width="45.7109375" style="68" customWidth="1"/>
    <col min="8717" max="8960" width="9.140625" style="68"/>
    <col min="8961" max="8961" width="6.85546875" style="68" customWidth="1"/>
    <col min="8962" max="8962" width="26.28515625" style="68" customWidth="1"/>
    <col min="8963" max="8963" width="94.7109375" style="68" customWidth="1"/>
    <col min="8964" max="8964" width="10.5703125" style="68" customWidth="1"/>
    <col min="8965" max="8965" width="24" style="68" customWidth="1"/>
    <col min="8966" max="8966" width="24.5703125" style="68" bestFit="1" customWidth="1"/>
    <col min="8967" max="8967" width="17.7109375" style="68" bestFit="1" customWidth="1"/>
    <col min="8968" max="8968" width="17.42578125" style="68" bestFit="1" customWidth="1"/>
    <col min="8969" max="8969" width="17.5703125" style="68" bestFit="1" customWidth="1"/>
    <col min="8970" max="8970" width="9.28515625" style="68" bestFit="1" customWidth="1"/>
    <col min="8971" max="8971" width="10.28515625" style="68" bestFit="1" customWidth="1"/>
    <col min="8972" max="8972" width="45.7109375" style="68" customWidth="1"/>
    <col min="8973" max="9216" width="9.140625" style="68"/>
    <col min="9217" max="9217" width="6.85546875" style="68" customWidth="1"/>
    <col min="9218" max="9218" width="26.28515625" style="68" customWidth="1"/>
    <col min="9219" max="9219" width="94.7109375" style="68" customWidth="1"/>
    <col min="9220" max="9220" width="10.5703125" style="68" customWidth="1"/>
    <col min="9221" max="9221" width="24" style="68" customWidth="1"/>
    <col min="9222" max="9222" width="24.5703125" style="68" bestFit="1" customWidth="1"/>
    <col min="9223" max="9223" width="17.7109375" style="68" bestFit="1" customWidth="1"/>
    <col min="9224" max="9224" width="17.42578125" style="68" bestFit="1" customWidth="1"/>
    <col min="9225" max="9225" width="17.5703125" style="68" bestFit="1" customWidth="1"/>
    <col min="9226" max="9226" width="9.28515625" style="68" bestFit="1" customWidth="1"/>
    <col min="9227" max="9227" width="10.28515625" style="68" bestFit="1" customWidth="1"/>
    <col min="9228" max="9228" width="45.7109375" style="68" customWidth="1"/>
    <col min="9229" max="9472" width="9.140625" style="68"/>
    <col min="9473" max="9473" width="6.85546875" style="68" customWidth="1"/>
    <col min="9474" max="9474" width="26.28515625" style="68" customWidth="1"/>
    <col min="9475" max="9475" width="94.7109375" style="68" customWidth="1"/>
    <col min="9476" max="9476" width="10.5703125" style="68" customWidth="1"/>
    <col min="9477" max="9477" width="24" style="68" customWidth="1"/>
    <col min="9478" max="9478" width="24.5703125" style="68" bestFit="1" customWidth="1"/>
    <col min="9479" max="9479" width="17.7109375" style="68" bestFit="1" customWidth="1"/>
    <col min="9480" max="9480" width="17.42578125" style="68" bestFit="1" customWidth="1"/>
    <col min="9481" max="9481" width="17.5703125" style="68" bestFit="1" customWidth="1"/>
    <col min="9482" max="9482" width="9.28515625" style="68" bestFit="1" customWidth="1"/>
    <col min="9483" max="9483" width="10.28515625" style="68" bestFit="1" customWidth="1"/>
    <col min="9484" max="9484" width="45.7109375" style="68" customWidth="1"/>
    <col min="9485" max="9728" width="9.140625" style="68"/>
    <col min="9729" max="9729" width="6.85546875" style="68" customWidth="1"/>
    <col min="9730" max="9730" width="26.28515625" style="68" customWidth="1"/>
    <col min="9731" max="9731" width="94.7109375" style="68" customWidth="1"/>
    <col min="9732" max="9732" width="10.5703125" style="68" customWidth="1"/>
    <col min="9733" max="9733" width="24" style="68" customWidth="1"/>
    <col min="9734" max="9734" width="24.5703125" style="68" bestFit="1" customWidth="1"/>
    <col min="9735" max="9735" width="17.7109375" style="68" bestFit="1" customWidth="1"/>
    <col min="9736" max="9736" width="17.42578125" style="68" bestFit="1" customWidth="1"/>
    <col min="9737" max="9737" width="17.5703125" style="68" bestFit="1" customWidth="1"/>
    <col min="9738" max="9738" width="9.28515625" style="68" bestFit="1" customWidth="1"/>
    <col min="9739" max="9739" width="10.28515625" style="68" bestFit="1" customWidth="1"/>
    <col min="9740" max="9740" width="45.7109375" style="68" customWidth="1"/>
    <col min="9741" max="9984" width="9.140625" style="68"/>
    <col min="9985" max="9985" width="6.85546875" style="68" customWidth="1"/>
    <col min="9986" max="9986" width="26.28515625" style="68" customWidth="1"/>
    <col min="9987" max="9987" width="94.7109375" style="68" customWidth="1"/>
    <col min="9988" max="9988" width="10.5703125" style="68" customWidth="1"/>
    <col min="9989" max="9989" width="24" style="68" customWidth="1"/>
    <col min="9990" max="9990" width="24.5703125" style="68" bestFit="1" customWidth="1"/>
    <col min="9991" max="9991" width="17.7109375" style="68" bestFit="1" customWidth="1"/>
    <col min="9992" max="9992" width="17.42578125" style="68" bestFit="1" customWidth="1"/>
    <col min="9993" max="9993" width="17.5703125" style="68" bestFit="1" customWidth="1"/>
    <col min="9994" max="9994" width="9.28515625" style="68" bestFit="1" customWidth="1"/>
    <col min="9995" max="9995" width="10.28515625" style="68" bestFit="1" customWidth="1"/>
    <col min="9996" max="9996" width="45.7109375" style="68" customWidth="1"/>
    <col min="9997" max="10240" width="9.140625" style="68"/>
    <col min="10241" max="10241" width="6.85546875" style="68" customWidth="1"/>
    <col min="10242" max="10242" width="26.28515625" style="68" customWidth="1"/>
    <col min="10243" max="10243" width="94.7109375" style="68" customWidth="1"/>
    <col min="10244" max="10244" width="10.5703125" style="68" customWidth="1"/>
    <col min="10245" max="10245" width="24" style="68" customWidth="1"/>
    <col min="10246" max="10246" width="24.5703125" style="68" bestFit="1" customWidth="1"/>
    <col min="10247" max="10247" width="17.7109375" style="68" bestFit="1" customWidth="1"/>
    <col min="10248" max="10248" width="17.42578125" style="68" bestFit="1" customWidth="1"/>
    <col min="10249" max="10249" width="17.5703125" style="68" bestFit="1" customWidth="1"/>
    <col min="10250" max="10250" width="9.28515625" style="68" bestFit="1" customWidth="1"/>
    <col min="10251" max="10251" width="10.28515625" style="68" bestFit="1" customWidth="1"/>
    <col min="10252" max="10252" width="45.7109375" style="68" customWidth="1"/>
    <col min="10253" max="10496" width="9.140625" style="68"/>
    <col min="10497" max="10497" width="6.85546875" style="68" customWidth="1"/>
    <col min="10498" max="10498" width="26.28515625" style="68" customWidth="1"/>
    <col min="10499" max="10499" width="94.7109375" style="68" customWidth="1"/>
    <col min="10500" max="10500" width="10.5703125" style="68" customWidth="1"/>
    <col min="10501" max="10501" width="24" style="68" customWidth="1"/>
    <col min="10502" max="10502" width="24.5703125" style="68" bestFit="1" customWidth="1"/>
    <col min="10503" max="10503" width="17.7109375" style="68" bestFit="1" customWidth="1"/>
    <col min="10504" max="10504" width="17.42578125" style="68" bestFit="1" customWidth="1"/>
    <col min="10505" max="10505" width="17.5703125" style="68" bestFit="1" customWidth="1"/>
    <col min="10506" max="10506" width="9.28515625" style="68" bestFit="1" customWidth="1"/>
    <col min="10507" max="10507" width="10.28515625" style="68" bestFit="1" customWidth="1"/>
    <col min="10508" max="10508" width="45.7109375" style="68" customWidth="1"/>
    <col min="10509" max="10752" width="9.140625" style="68"/>
    <col min="10753" max="10753" width="6.85546875" style="68" customWidth="1"/>
    <col min="10754" max="10754" width="26.28515625" style="68" customWidth="1"/>
    <col min="10755" max="10755" width="94.7109375" style="68" customWidth="1"/>
    <col min="10756" max="10756" width="10.5703125" style="68" customWidth="1"/>
    <col min="10757" max="10757" width="24" style="68" customWidth="1"/>
    <col min="10758" max="10758" width="24.5703125" style="68" bestFit="1" customWidth="1"/>
    <col min="10759" max="10759" width="17.7109375" style="68" bestFit="1" customWidth="1"/>
    <col min="10760" max="10760" width="17.42578125" style="68" bestFit="1" customWidth="1"/>
    <col min="10761" max="10761" width="17.5703125" style="68" bestFit="1" customWidth="1"/>
    <col min="10762" max="10762" width="9.28515625" style="68" bestFit="1" customWidth="1"/>
    <col min="10763" max="10763" width="10.28515625" style="68" bestFit="1" customWidth="1"/>
    <col min="10764" max="10764" width="45.7109375" style="68" customWidth="1"/>
    <col min="10765" max="11008" width="9.140625" style="68"/>
    <col min="11009" max="11009" width="6.85546875" style="68" customWidth="1"/>
    <col min="11010" max="11010" width="26.28515625" style="68" customWidth="1"/>
    <col min="11011" max="11011" width="94.7109375" style="68" customWidth="1"/>
    <col min="11012" max="11012" width="10.5703125" style="68" customWidth="1"/>
    <col min="11013" max="11013" width="24" style="68" customWidth="1"/>
    <col min="11014" max="11014" width="24.5703125" style="68" bestFit="1" customWidth="1"/>
    <col min="11015" max="11015" width="17.7109375" style="68" bestFit="1" customWidth="1"/>
    <col min="11016" max="11016" width="17.42578125" style="68" bestFit="1" customWidth="1"/>
    <col min="11017" max="11017" width="17.5703125" style="68" bestFit="1" customWidth="1"/>
    <col min="11018" max="11018" width="9.28515625" style="68" bestFit="1" customWidth="1"/>
    <col min="11019" max="11019" width="10.28515625" style="68" bestFit="1" customWidth="1"/>
    <col min="11020" max="11020" width="45.7109375" style="68" customWidth="1"/>
    <col min="11021" max="11264" width="9.140625" style="68"/>
    <col min="11265" max="11265" width="6.85546875" style="68" customWidth="1"/>
    <col min="11266" max="11266" width="26.28515625" style="68" customWidth="1"/>
    <col min="11267" max="11267" width="94.7109375" style="68" customWidth="1"/>
    <col min="11268" max="11268" width="10.5703125" style="68" customWidth="1"/>
    <col min="11269" max="11269" width="24" style="68" customWidth="1"/>
    <col min="11270" max="11270" width="24.5703125" style="68" bestFit="1" customWidth="1"/>
    <col min="11271" max="11271" width="17.7109375" style="68" bestFit="1" customWidth="1"/>
    <col min="11272" max="11272" width="17.42578125" style="68" bestFit="1" customWidth="1"/>
    <col min="11273" max="11273" width="17.5703125" style="68" bestFit="1" customWidth="1"/>
    <col min="11274" max="11274" width="9.28515625" style="68" bestFit="1" customWidth="1"/>
    <col min="11275" max="11275" width="10.28515625" style="68" bestFit="1" customWidth="1"/>
    <col min="11276" max="11276" width="45.7109375" style="68" customWidth="1"/>
    <col min="11277" max="11520" width="9.140625" style="68"/>
    <col min="11521" max="11521" width="6.85546875" style="68" customWidth="1"/>
    <col min="11522" max="11522" width="26.28515625" style="68" customWidth="1"/>
    <col min="11523" max="11523" width="94.7109375" style="68" customWidth="1"/>
    <col min="11524" max="11524" width="10.5703125" style="68" customWidth="1"/>
    <col min="11525" max="11525" width="24" style="68" customWidth="1"/>
    <col min="11526" max="11526" width="24.5703125" style="68" bestFit="1" customWidth="1"/>
    <col min="11527" max="11527" width="17.7109375" style="68" bestFit="1" customWidth="1"/>
    <col min="11528" max="11528" width="17.42578125" style="68" bestFit="1" customWidth="1"/>
    <col min="11529" max="11529" width="17.5703125" style="68" bestFit="1" customWidth="1"/>
    <col min="11530" max="11530" width="9.28515625" style="68" bestFit="1" customWidth="1"/>
    <col min="11531" max="11531" width="10.28515625" style="68" bestFit="1" customWidth="1"/>
    <col min="11532" max="11532" width="45.7109375" style="68" customWidth="1"/>
    <col min="11533" max="11776" width="9.140625" style="68"/>
    <col min="11777" max="11777" width="6.85546875" style="68" customWidth="1"/>
    <col min="11778" max="11778" width="26.28515625" style="68" customWidth="1"/>
    <col min="11779" max="11779" width="94.7109375" style="68" customWidth="1"/>
    <col min="11780" max="11780" width="10.5703125" style="68" customWidth="1"/>
    <col min="11781" max="11781" width="24" style="68" customWidth="1"/>
    <col min="11782" max="11782" width="24.5703125" style="68" bestFit="1" customWidth="1"/>
    <col min="11783" max="11783" width="17.7109375" style="68" bestFit="1" customWidth="1"/>
    <col min="11784" max="11784" width="17.42578125" style="68" bestFit="1" customWidth="1"/>
    <col min="11785" max="11785" width="17.5703125" style="68" bestFit="1" customWidth="1"/>
    <col min="11786" max="11786" width="9.28515625" style="68" bestFit="1" customWidth="1"/>
    <col min="11787" max="11787" width="10.28515625" style="68" bestFit="1" customWidth="1"/>
    <col min="11788" max="11788" width="45.7109375" style="68" customWidth="1"/>
    <col min="11789" max="12032" width="9.140625" style="68"/>
    <col min="12033" max="12033" width="6.85546875" style="68" customWidth="1"/>
    <col min="12034" max="12034" width="26.28515625" style="68" customWidth="1"/>
    <col min="12035" max="12035" width="94.7109375" style="68" customWidth="1"/>
    <col min="12036" max="12036" width="10.5703125" style="68" customWidth="1"/>
    <col min="12037" max="12037" width="24" style="68" customWidth="1"/>
    <col min="12038" max="12038" width="24.5703125" style="68" bestFit="1" customWidth="1"/>
    <col min="12039" max="12039" width="17.7109375" style="68" bestFit="1" customWidth="1"/>
    <col min="12040" max="12040" width="17.42578125" style="68" bestFit="1" customWidth="1"/>
    <col min="12041" max="12041" width="17.5703125" style="68" bestFit="1" customWidth="1"/>
    <col min="12042" max="12042" width="9.28515625" style="68" bestFit="1" customWidth="1"/>
    <col min="12043" max="12043" width="10.28515625" style="68" bestFit="1" customWidth="1"/>
    <col min="12044" max="12044" width="45.7109375" style="68" customWidth="1"/>
    <col min="12045" max="12288" width="9.140625" style="68"/>
    <col min="12289" max="12289" width="6.85546875" style="68" customWidth="1"/>
    <col min="12290" max="12290" width="26.28515625" style="68" customWidth="1"/>
    <col min="12291" max="12291" width="94.7109375" style="68" customWidth="1"/>
    <col min="12292" max="12292" width="10.5703125" style="68" customWidth="1"/>
    <col min="12293" max="12293" width="24" style="68" customWidth="1"/>
    <col min="12294" max="12294" width="24.5703125" style="68" bestFit="1" customWidth="1"/>
    <col min="12295" max="12295" width="17.7109375" style="68" bestFit="1" customWidth="1"/>
    <col min="12296" max="12296" width="17.42578125" style="68" bestFit="1" customWidth="1"/>
    <col min="12297" max="12297" width="17.5703125" style="68" bestFit="1" customWidth="1"/>
    <col min="12298" max="12298" width="9.28515625" style="68" bestFit="1" customWidth="1"/>
    <col min="12299" max="12299" width="10.28515625" style="68" bestFit="1" customWidth="1"/>
    <col min="12300" max="12300" width="45.7109375" style="68" customWidth="1"/>
    <col min="12301" max="12544" width="9.140625" style="68"/>
    <col min="12545" max="12545" width="6.85546875" style="68" customWidth="1"/>
    <col min="12546" max="12546" width="26.28515625" style="68" customWidth="1"/>
    <col min="12547" max="12547" width="94.7109375" style="68" customWidth="1"/>
    <col min="12548" max="12548" width="10.5703125" style="68" customWidth="1"/>
    <col min="12549" max="12549" width="24" style="68" customWidth="1"/>
    <col min="12550" max="12550" width="24.5703125" style="68" bestFit="1" customWidth="1"/>
    <col min="12551" max="12551" width="17.7109375" style="68" bestFit="1" customWidth="1"/>
    <col min="12552" max="12552" width="17.42578125" style="68" bestFit="1" customWidth="1"/>
    <col min="12553" max="12553" width="17.5703125" style="68" bestFit="1" customWidth="1"/>
    <col min="12554" max="12554" width="9.28515625" style="68" bestFit="1" customWidth="1"/>
    <col min="12555" max="12555" width="10.28515625" style="68" bestFit="1" customWidth="1"/>
    <col min="12556" max="12556" width="45.7109375" style="68" customWidth="1"/>
    <col min="12557" max="12800" width="9.140625" style="68"/>
    <col min="12801" max="12801" width="6.85546875" style="68" customWidth="1"/>
    <col min="12802" max="12802" width="26.28515625" style="68" customWidth="1"/>
    <col min="12803" max="12803" width="94.7109375" style="68" customWidth="1"/>
    <col min="12804" max="12804" width="10.5703125" style="68" customWidth="1"/>
    <col min="12805" max="12805" width="24" style="68" customWidth="1"/>
    <col min="12806" max="12806" width="24.5703125" style="68" bestFit="1" customWidth="1"/>
    <col min="12807" max="12807" width="17.7109375" style="68" bestFit="1" customWidth="1"/>
    <col min="12808" max="12808" width="17.42578125" style="68" bestFit="1" customWidth="1"/>
    <col min="12809" max="12809" width="17.5703125" style="68" bestFit="1" customWidth="1"/>
    <col min="12810" max="12810" width="9.28515625" style="68" bestFit="1" customWidth="1"/>
    <col min="12811" max="12811" width="10.28515625" style="68" bestFit="1" customWidth="1"/>
    <col min="12812" max="12812" width="45.7109375" style="68" customWidth="1"/>
    <col min="12813" max="13056" width="9.140625" style="68"/>
    <col min="13057" max="13057" width="6.85546875" style="68" customWidth="1"/>
    <col min="13058" max="13058" width="26.28515625" style="68" customWidth="1"/>
    <col min="13059" max="13059" width="94.7109375" style="68" customWidth="1"/>
    <col min="13060" max="13060" width="10.5703125" style="68" customWidth="1"/>
    <col min="13061" max="13061" width="24" style="68" customWidth="1"/>
    <col min="13062" max="13062" width="24.5703125" style="68" bestFit="1" customWidth="1"/>
    <col min="13063" max="13063" width="17.7109375" style="68" bestFit="1" customWidth="1"/>
    <col min="13064" max="13064" width="17.42578125" style="68" bestFit="1" customWidth="1"/>
    <col min="13065" max="13065" width="17.5703125" style="68" bestFit="1" customWidth="1"/>
    <col min="13066" max="13066" width="9.28515625" style="68" bestFit="1" customWidth="1"/>
    <col min="13067" max="13067" width="10.28515625" style="68" bestFit="1" customWidth="1"/>
    <col min="13068" max="13068" width="45.7109375" style="68" customWidth="1"/>
    <col min="13069" max="13312" width="9.140625" style="68"/>
    <col min="13313" max="13313" width="6.85546875" style="68" customWidth="1"/>
    <col min="13314" max="13314" width="26.28515625" style="68" customWidth="1"/>
    <col min="13315" max="13315" width="94.7109375" style="68" customWidth="1"/>
    <col min="13316" max="13316" width="10.5703125" style="68" customWidth="1"/>
    <col min="13317" max="13317" width="24" style="68" customWidth="1"/>
    <col min="13318" max="13318" width="24.5703125" style="68" bestFit="1" customWidth="1"/>
    <col min="13319" max="13319" width="17.7109375" style="68" bestFit="1" customWidth="1"/>
    <col min="13320" max="13320" width="17.42578125" style="68" bestFit="1" customWidth="1"/>
    <col min="13321" max="13321" width="17.5703125" style="68" bestFit="1" customWidth="1"/>
    <col min="13322" max="13322" width="9.28515625" style="68" bestFit="1" customWidth="1"/>
    <col min="13323" max="13323" width="10.28515625" style="68" bestFit="1" customWidth="1"/>
    <col min="13324" max="13324" width="45.7109375" style="68" customWidth="1"/>
    <col min="13325" max="13568" width="9.140625" style="68"/>
    <col min="13569" max="13569" width="6.85546875" style="68" customWidth="1"/>
    <col min="13570" max="13570" width="26.28515625" style="68" customWidth="1"/>
    <col min="13571" max="13571" width="94.7109375" style="68" customWidth="1"/>
    <col min="13572" max="13572" width="10.5703125" style="68" customWidth="1"/>
    <col min="13573" max="13573" width="24" style="68" customWidth="1"/>
    <col min="13574" max="13574" width="24.5703125" style="68" bestFit="1" customWidth="1"/>
    <col min="13575" max="13575" width="17.7109375" style="68" bestFit="1" customWidth="1"/>
    <col min="13576" max="13576" width="17.42578125" style="68" bestFit="1" customWidth="1"/>
    <col min="13577" max="13577" width="17.5703125" style="68" bestFit="1" customWidth="1"/>
    <col min="13578" max="13578" width="9.28515625" style="68" bestFit="1" customWidth="1"/>
    <col min="13579" max="13579" width="10.28515625" style="68" bestFit="1" customWidth="1"/>
    <col min="13580" max="13580" width="45.7109375" style="68" customWidth="1"/>
    <col min="13581" max="13824" width="9.140625" style="68"/>
    <col min="13825" max="13825" width="6.85546875" style="68" customWidth="1"/>
    <col min="13826" max="13826" width="26.28515625" style="68" customWidth="1"/>
    <col min="13827" max="13827" width="94.7109375" style="68" customWidth="1"/>
    <col min="13828" max="13828" width="10.5703125" style="68" customWidth="1"/>
    <col min="13829" max="13829" width="24" style="68" customWidth="1"/>
    <col min="13830" max="13830" width="24.5703125" style="68" bestFit="1" customWidth="1"/>
    <col min="13831" max="13831" width="17.7109375" style="68" bestFit="1" customWidth="1"/>
    <col min="13832" max="13832" width="17.42578125" style="68" bestFit="1" customWidth="1"/>
    <col min="13833" max="13833" width="17.5703125" style="68" bestFit="1" customWidth="1"/>
    <col min="13834" max="13834" width="9.28515625" style="68" bestFit="1" customWidth="1"/>
    <col min="13835" max="13835" width="10.28515625" style="68" bestFit="1" customWidth="1"/>
    <col min="13836" max="13836" width="45.7109375" style="68" customWidth="1"/>
    <col min="13837" max="14080" width="9.140625" style="68"/>
    <col min="14081" max="14081" width="6.85546875" style="68" customWidth="1"/>
    <col min="14082" max="14082" width="26.28515625" style="68" customWidth="1"/>
    <col min="14083" max="14083" width="94.7109375" style="68" customWidth="1"/>
    <col min="14084" max="14084" width="10.5703125" style="68" customWidth="1"/>
    <col min="14085" max="14085" width="24" style="68" customWidth="1"/>
    <col min="14086" max="14086" width="24.5703125" style="68" bestFit="1" customWidth="1"/>
    <col min="14087" max="14087" width="17.7109375" style="68" bestFit="1" customWidth="1"/>
    <col min="14088" max="14088" width="17.42578125" style="68" bestFit="1" customWidth="1"/>
    <col min="14089" max="14089" width="17.5703125" style="68" bestFit="1" customWidth="1"/>
    <col min="14090" max="14090" width="9.28515625" style="68" bestFit="1" customWidth="1"/>
    <col min="14091" max="14091" width="10.28515625" style="68" bestFit="1" customWidth="1"/>
    <col min="14092" max="14092" width="45.7109375" style="68" customWidth="1"/>
    <col min="14093" max="14336" width="9.140625" style="68"/>
    <col min="14337" max="14337" width="6.85546875" style="68" customWidth="1"/>
    <col min="14338" max="14338" width="26.28515625" style="68" customWidth="1"/>
    <col min="14339" max="14339" width="94.7109375" style="68" customWidth="1"/>
    <col min="14340" max="14340" width="10.5703125" style="68" customWidth="1"/>
    <col min="14341" max="14341" width="24" style="68" customWidth="1"/>
    <col min="14342" max="14342" width="24.5703125" style="68" bestFit="1" customWidth="1"/>
    <col min="14343" max="14343" width="17.7109375" style="68" bestFit="1" customWidth="1"/>
    <col min="14344" max="14344" width="17.42578125" style="68" bestFit="1" customWidth="1"/>
    <col min="14345" max="14345" width="17.5703125" style="68" bestFit="1" customWidth="1"/>
    <col min="14346" max="14346" width="9.28515625" style="68" bestFit="1" customWidth="1"/>
    <col min="14347" max="14347" width="10.28515625" style="68" bestFit="1" customWidth="1"/>
    <col min="14348" max="14348" width="45.7109375" style="68" customWidth="1"/>
    <col min="14349" max="14592" width="9.140625" style="68"/>
    <col min="14593" max="14593" width="6.85546875" style="68" customWidth="1"/>
    <col min="14594" max="14594" width="26.28515625" style="68" customWidth="1"/>
    <col min="14595" max="14595" width="94.7109375" style="68" customWidth="1"/>
    <col min="14596" max="14596" width="10.5703125" style="68" customWidth="1"/>
    <col min="14597" max="14597" width="24" style="68" customWidth="1"/>
    <col min="14598" max="14598" width="24.5703125" style="68" bestFit="1" customWidth="1"/>
    <col min="14599" max="14599" width="17.7109375" style="68" bestFit="1" customWidth="1"/>
    <col min="14600" max="14600" width="17.42578125" style="68" bestFit="1" customWidth="1"/>
    <col min="14601" max="14601" width="17.5703125" style="68" bestFit="1" customWidth="1"/>
    <col min="14602" max="14602" width="9.28515625" style="68" bestFit="1" customWidth="1"/>
    <col min="14603" max="14603" width="10.28515625" style="68" bestFit="1" customWidth="1"/>
    <col min="14604" max="14604" width="45.7109375" style="68" customWidth="1"/>
    <col min="14605" max="14848" width="9.140625" style="68"/>
    <col min="14849" max="14849" width="6.85546875" style="68" customWidth="1"/>
    <col min="14850" max="14850" width="26.28515625" style="68" customWidth="1"/>
    <col min="14851" max="14851" width="94.7109375" style="68" customWidth="1"/>
    <col min="14852" max="14852" width="10.5703125" style="68" customWidth="1"/>
    <col min="14853" max="14853" width="24" style="68" customWidth="1"/>
    <col min="14854" max="14854" width="24.5703125" style="68" bestFit="1" customWidth="1"/>
    <col min="14855" max="14855" width="17.7109375" style="68" bestFit="1" customWidth="1"/>
    <col min="14856" max="14856" width="17.42578125" style="68" bestFit="1" customWidth="1"/>
    <col min="14857" max="14857" width="17.5703125" style="68" bestFit="1" customWidth="1"/>
    <col min="14858" max="14858" width="9.28515625" style="68" bestFit="1" customWidth="1"/>
    <col min="14859" max="14859" width="10.28515625" style="68" bestFit="1" customWidth="1"/>
    <col min="14860" max="14860" width="45.7109375" style="68" customWidth="1"/>
    <col min="14861" max="15104" width="9.140625" style="68"/>
    <col min="15105" max="15105" width="6.85546875" style="68" customWidth="1"/>
    <col min="15106" max="15106" width="26.28515625" style="68" customWidth="1"/>
    <col min="15107" max="15107" width="94.7109375" style="68" customWidth="1"/>
    <col min="15108" max="15108" width="10.5703125" style="68" customWidth="1"/>
    <col min="15109" max="15109" width="24" style="68" customWidth="1"/>
    <col min="15110" max="15110" width="24.5703125" style="68" bestFit="1" customWidth="1"/>
    <col min="15111" max="15111" width="17.7109375" style="68" bestFit="1" customWidth="1"/>
    <col min="15112" max="15112" width="17.42578125" style="68" bestFit="1" customWidth="1"/>
    <col min="15113" max="15113" width="17.5703125" style="68" bestFit="1" customWidth="1"/>
    <col min="15114" max="15114" width="9.28515625" style="68" bestFit="1" customWidth="1"/>
    <col min="15115" max="15115" width="10.28515625" style="68" bestFit="1" customWidth="1"/>
    <col min="15116" max="15116" width="45.7109375" style="68" customWidth="1"/>
    <col min="15117" max="15360" width="9.140625" style="68"/>
    <col min="15361" max="15361" width="6.85546875" style="68" customWidth="1"/>
    <col min="15362" max="15362" width="26.28515625" style="68" customWidth="1"/>
    <col min="15363" max="15363" width="94.7109375" style="68" customWidth="1"/>
    <col min="15364" max="15364" width="10.5703125" style="68" customWidth="1"/>
    <col min="15365" max="15365" width="24" style="68" customWidth="1"/>
    <col min="15366" max="15366" width="24.5703125" style="68" bestFit="1" customWidth="1"/>
    <col min="15367" max="15367" width="17.7109375" style="68" bestFit="1" customWidth="1"/>
    <col min="15368" max="15368" width="17.42578125" style="68" bestFit="1" customWidth="1"/>
    <col min="15369" max="15369" width="17.5703125" style="68" bestFit="1" customWidth="1"/>
    <col min="15370" max="15370" width="9.28515625" style="68" bestFit="1" customWidth="1"/>
    <col min="15371" max="15371" width="10.28515625" style="68" bestFit="1" customWidth="1"/>
    <col min="15372" max="15372" width="45.7109375" style="68" customWidth="1"/>
    <col min="15373" max="15616" width="9.140625" style="68"/>
    <col min="15617" max="15617" width="6.85546875" style="68" customWidth="1"/>
    <col min="15618" max="15618" width="26.28515625" style="68" customWidth="1"/>
    <col min="15619" max="15619" width="94.7109375" style="68" customWidth="1"/>
    <col min="15620" max="15620" width="10.5703125" style="68" customWidth="1"/>
    <col min="15621" max="15621" width="24" style="68" customWidth="1"/>
    <col min="15622" max="15622" width="24.5703125" style="68" bestFit="1" customWidth="1"/>
    <col min="15623" max="15623" width="17.7109375" style="68" bestFit="1" customWidth="1"/>
    <col min="15624" max="15624" width="17.42578125" style="68" bestFit="1" customWidth="1"/>
    <col min="15625" max="15625" width="17.5703125" style="68" bestFit="1" customWidth="1"/>
    <col min="15626" max="15626" width="9.28515625" style="68" bestFit="1" customWidth="1"/>
    <col min="15627" max="15627" width="10.28515625" style="68" bestFit="1" customWidth="1"/>
    <col min="15628" max="15628" width="45.7109375" style="68" customWidth="1"/>
    <col min="15629" max="15872" width="9.140625" style="68"/>
    <col min="15873" max="15873" width="6.85546875" style="68" customWidth="1"/>
    <col min="15874" max="15874" width="26.28515625" style="68" customWidth="1"/>
    <col min="15875" max="15875" width="94.7109375" style="68" customWidth="1"/>
    <col min="15876" max="15876" width="10.5703125" style="68" customWidth="1"/>
    <col min="15877" max="15877" width="24" style="68" customWidth="1"/>
    <col min="15878" max="15878" width="24.5703125" style="68" bestFit="1" customWidth="1"/>
    <col min="15879" max="15879" width="17.7109375" style="68" bestFit="1" customWidth="1"/>
    <col min="15880" max="15880" width="17.42578125" style="68" bestFit="1" customWidth="1"/>
    <col min="15881" max="15881" width="17.5703125" style="68" bestFit="1" customWidth="1"/>
    <col min="15882" max="15882" width="9.28515625" style="68" bestFit="1" customWidth="1"/>
    <col min="15883" max="15883" width="10.28515625" style="68" bestFit="1" customWidth="1"/>
    <col min="15884" max="15884" width="45.7109375" style="68" customWidth="1"/>
    <col min="15885" max="16128" width="9.140625" style="68"/>
    <col min="16129" max="16129" width="6.85546875" style="68" customWidth="1"/>
    <col min="16130" max="16130" width="26.28515625" style="68" customWidth="1"/>
    <col min="16131" max="16131" width="94.7109375" style="68" customWidth="1"/>
    <col min="16132" max="16132" width="10.5703125" style="68" customWidth="1"/>
    <col min="16133" max="16133" width="24" style="68" customWidth="1"/>
    <col min="16134" max="16134" width="24.5703125" style="68" bestFit="1" customWidth="1"/>
    <col min="16135" max="16135" width="17.7109375" style="68" bestFit="1" customWidth="1"/>
    <col min="16136" max="16136" width="17.42578125" style="68" bestFit="1" customWidth="1"/>
    <col min="16137" max="16137" width="17.5703125" style="68" bestFit="1" customWidth="1"/>
    <col min="16138" max="16138" width="9.28515625" style="68" bestFit="1" customWidth="1"/>
    <col min="16139" max="16139" width="10.28515625" style="68" bestFit="1" customWidth="1"/>
    <col min="16140" max="16140" width="45.7109375" style="68" customWidth="1"/>
    <col min="16141" max="16384" width="9.140625" style="68"/>
  </cols>
  <sheetData>
    <row r="1" spans="1:11" s="60" customFormat="1" ht="26.25">
      <c r="A1" s="1"/>
      <c r="B1" s="2"/>
      <c r="C1" s="210" t="s">
        <v>0</v>
      </c>
      <c r="D1" s="210"/>
      <c r="E1" s="211"/>
      <c r="F1" s="3"/>
      <c r="G1" s="4"/>
      <c r="H1" s="58"/>
      <c r="I1" s="59"/>
    </row>
    <row r="2" spans="1:11" s="60" customFormat="1" ht="26.25">
      <c r="A2" s="5"/>
      <c r="B2" s="6"/>
      <c r="C2" s="212" t="s">
        <v>1</v>
      </c>
      <c r="D2" s="212"/>
      <c r="E2" s="213"/>
      <c r="F2" s="7"/>
      <c r="G2" s="8"/>
      <c r="H2" s="61"/>
      <c r="I2" s="62"/>
    </row>
    <row r="3" spans="1:11" s="60" customFormat="1" ht="26.25">
      <c r="A3" s="5"/>
      <c r="B3" s="6"/>
      <c r="C3" s="212" t="s">
        <v>2</v>
      </c>
      <c r="D3" s="212"/>
      <c r="E3" s="213"/>
      <c r="F3" s="214"/>
      <c r="G3" s="215"/>
      <c r="H3" s="215"/>
      <c r="I3" s="216"/>
    </row>
    <row r="4" spans="1:11" s="60" customFormat="1" ht="39.75" customHeight="1">
      <c r="A4" s="5"/>
      <c r="B4" s="6"/>
      <c r="C4" s="217" t="s">
        <v>3</v>
      </c>
      <c r="D4" s="217"/>
      <c r="E4" s="218"/>
      <c r="F4" s="219" t="s">
        <v>385</v>
      </c>
      <c r="G4" s="220"/>
      <c r="H4" s="220"/>
      <c r="I4" s="221"/>
    </row>
    <row r="5" spans="1:11" s="60" customFormat="1" ht="23.25" customHeight="1">
      <c r="A5" s="5"/>
      <c r="B5" s="6"/>
      <c r="C5" s="217" t="s">
        <v>4</v>
      </c>
      <c r="D5" s="217"/>
      <c r="E5" s="218"/>
      <c r="F5" s="222" t="s">
        <v>150</v>
      </c>
      <c r="G5" s="223"/>
      <c r="H5" s="223"/>
      <c r="I5" s="224"/>
    </row>
    <row r="6" spans="1:11" s="60" customFormat="1" ht="23.25">
      <c r="A6" s="5"/>
      <c r="B6" s="6"/>
      <c r="C6" s="225" t="s">
        <v>384</v>
      </c>
      <c r="D6" s="225"/>
      <c r="E6" s="226"/>
      <c r="F6" s="227" t="s">
        <v>5</v>
      </c>
      <c r="G6" s="228"/>
      <c r="H6" s="228"/>
      <c r="I6" s="229"/>
    </row>
    <row r="7" spans="1:11" s="60" customFormat="1" ht="23.25">
      <c r="A7" s="5"/>
      <c r="B7" s="6"/>
      <c r="C7" s="230"/>
      <c r="D7" s="230"/>
      <c r="E7" s="231"/>
      <c r="F7" s="227" t="s">
        <v>151</v>
      </c>
      <c r="G7" s="228"/>
      <c r="H7" s="228"/>
      <c r="I7" s="229"/>
    </row>
    <row r="8" spans="1:11" s="60" customFormat="1" ht="20.25">
      <c r="A8" s="9"/>
      <c r="B8" s="10"/>
      <c r="C8" s="11"/>
      <c r="D8" s="63"/>
      <c r="E8" s="12"/>
      <c r="F8" s="234" t="s">
        <v>6</v>
      </c>
      <c r="G8" s="235"/>
      <c r="H8" s="235"/>
      <c r="I8" s="236"/>
    </row>
    <row r="9" spans="1:11" s="60" customFormat="1" ht="18" customHeight="1">
      <c r="A9" s="237" t="s">
        <v>386</v>
      </c>
      <c r="B9" s="238"/>
      <c r="C9" s="238"/>
      <c r="D9" s="238"/>
      <c r="E9" s="238"/>
      <c r="F9" s="238"/>
      <c r="G9" s="238"/>
      <c r="H9" s="238"/>
      <c r="I9" s="238"/>
    </row>
    <row r="10" spans="1:11" s="60" customFormat="1" ht="18.75">
      <c r="A10" s="239" t="s">
        <v>7</v>
      </c>
      <c r="B10" s="240" t="s">
        <v>8</v>
      </c>
      <c r="C10" s="241" t="s">
        <v>9</v>
      </c>
      <c r="D10" s="239" t="s">
        <v>10</v>
      </c>
      <c r="E10" s="242" t="s">
        <v>11</v>
      </c>
      <c r="F10" s="243" t="s">
        <v>12</v>
      </c>
      <c r="G10" s="243"/>
      <c r="H10" s="243"/>
      <c r="I10" s="243"/>
    </row>
    <row r="11" spans="1:11" s="60" customFormat="1" ht="18.75">
      <c r="A11" s="239"/>
      <c r="B11" s="240"/>
      <c r="C11" s="241"/>
      <c r="D11" s="239"/>
      <c r="E11" s="242"/>
      <c r="F11" s="64" t="s">
        <v>13</v>
      </c>
      <c r="G11" s="64" t="s">
        <v>14</v>
      </c>
      <c r="H11" s="64" t="s">
        <v>15</v>
      </c>
      <c r="I11" s="65" t="s">
        <v>16</v>
      </c>
    </row>
    <row r="12" spans="1:11" s="162" customFormat="1" ht="14.25" customHeight="1">
      <c r="A12" s="160" t="s">
        <v>17</v>
      </c>
      <c r="B12" s="161"/>
      <c r="C12" s="253" t="s">
        <v>18</v>
      </c>
      <c r="D12" s="253"/>
      <c r="E12" s="253"/>
      <c r="F12" s="253"/>
      <c r="G12" s="253"/>
      <c r="H12" s="253"/>
      <c r="I12" s="253"/>
    </row>
    <row r="13" spans="1:11" s="162" customFormat="1" ht="60">
      <c r="A13" s="163" t="s">
        <v>19</v>
      </c>
      <c r="B13" s="164" t="s">
        <v>20</v>
      </c>
      <c r="C13" s="165" t="s">
        <v>21</v>
      </c>
      <c r="D13" s="166" t="s">
        <v>22</v>
      </c>
      <c r="E13" s="167">
        <f>MEMÓRIA!E13</f>
        <v>6</v>
      </c>
      <c r="F13" s="168">
        <f>TRUNC(MEMÓRIA!F13,2)</f>
        <v>187.77</v>
      </c>
      <c r="G13" s="168">
        <f>TRUNC(F13*1.2882,2)</f>
        <v>241.88</v>
      </c>
      <c r="H13" s="168">
        <f>TRUNC(F13*E13,2)</f>
        <v>1126.6199999999999</v>
      </c>
      <c r="I13" s="169">
        <f>TRUNC(E13*G13,2)</f>
        <v>1451.28</v>
      </c>
      <c r="K13" s="170"/>
    </row>
    <row r="14" spans="1:11" s="162" customFormat="1" ht="45">
      <c r="A14" s="163" t="s">
        <v>23</v>
      </c>
      <c r="B14" s="164" t="s">
        <v>24</v>
      </c>
      <c r="C14" s="165" t="s">
        <v>25</v>
      </c>
      <c r="D14" s="166" t="s">
        <v>22</v>
      </c>
      <c r="E14" s="167">
        <f>MEMÓRIA!E20</f>
        <v>101.04</v>
      </c>
      <c r="F14" s="168">
        <f>TRUNC(MEMÓRIA!F20,2)</f>
        <v>16.8</v>
      </c>
      <c r="G14" s="168">
        <f t="shared" ref="G14:G21" si="0">TRUNC(F14*1.2882,2)</f>
        <v>21.64</v>
      </c>
      <c r="H14" s="168">
        <f t="shared" ref="H14:H21" si="1">TRUNC(F14*E14,2)</f>
        <v>1697.47</v>
      </c>
      <c r="I14" s="169">
        <f t="shared" ref="I14:I21" si="2">TRUNC(E14*G14,2)</f>
        <v>2186.5</v>
      </c>
      <c r="K14" s="170"/>
    </row>
    <row r="15" spans="1:11" s="162" customFormat="1" ht="45">
      <c r="A15" s="163" t="s">
        <v>26</v>
      </c>
      <c r="B15" s="164" t="s">
        <v>27</v>
      </c>
      <c r="C15" s="165" t="s">
        <v>28</v>
      </c>
      <c r="D15" s="166" t="s">
        <v>22</v>
      </c>
      <c r="E15" s="167">
        <f>MEMÓRIA!E23</f>
        <v>32.78</v>
      </c>
      <c r="F15" s="168">
        <f>TRUNC(MEMÓRIA!F23,2)</f>
        <v>13.66</v>
      </c>
      <c r="G15" s="168">
        <f t="shared" si="0"/>
        <v>17.59</v>
      </c>
      <c r="H15" s="168">
        <f t="shared" si="1"/>
        <v>447.77</v>
      </c>
      <c r="I15" s="169">
        <f t="shared" si="2"/>
        <v>576.6</v>
      </c>
      <c r="K15" s="170"/>
    </row>
    <row r="16" spans="1:11" s="162" customFormat="1" ht="30">
      <c r="A16" s="163" t="s">
        <v>29</v>
      </c>
      <c r="B16" s="164" t="s">
        <v>30</v>
      </c>
      <c r="C16" s="165" t="s">
        <v>31</v>
      </c>
      <c r="D16" s="166" t="s">
        <v>22</v>
      </c>
      <c r="E16" s="167">
        <f>MEMÓRIA!E27</f>
        <v>40.58</v>
      </c>
      <c r="F16" s="168">
        <f>TRUNC(MEMÓRIA!F27,2)</f>
        <v>1.74</v>
      </c>
      <c r="G16" s="168">
        <f t="shared" si="0"/>
        <v>2.2400000000000002</v>
      </c>
      <c r="H16" s="168">
        <f t="shared" si="1"/>
        <v>70.599999999999994</v>
      </c>
      <c r="I16" s="169">
        <f t="shared" si="2"/>
        <v>90.89</v>
      </c>
      <c r="K16" s="170"/>
    </row>
    <row r="17" spans="1:16" s="162" customFormat="1" ht="30">
      <c r="A17" s="163" t="s">
        <v>32</v>
      </c>
      <c r="B17" s="164" t="s">
        <v>33</v>
      </c>
      <c r="C17" s="165" t="s">
        <v>34</v>
      </c>
      <c r="D17" s="166" t="s">
        <v>22</v>
      </c>
      <c r="E17" s="167">
        <f>MEMÓRIA!E31</f>
        <v>46.36</v>
      </c>
      <c r="F17" s="168">
        <f>TRUNC(MEMÓRIA!F31,2)</f>
        <v>3.47</v>
      </c>
      <c r="G17" s="168">
        <f t="shared" si="0"/>
        <v>4.47</v>
      </c>
      <c r="H17" s="168">
        <f t="shared" si="1"/>
        <v>160.86000000000001</v>
      </c>
      <c r="I17" s="169">
        <f t="shared" si="2"/>
        <v>207.22</v>
      </c>
      <c r="K17" s="170"/>
    </row>
    <row r="18" spans="1:16" s="162" customFormat="1" ht="30">
      <c r="A18" s="163" t="s">
        <v>35</v>
      </c>
      <c r="B18" s="164" t="s">
        <v>36</v>
      </c>
      <c r="C18" s="165" t="s">
        <v>37</v>
      </c>
      <c r="D18" s="166" t="s">
        <v>22</v>
      </c>
      <c r="E18" s="167">
        <f>MEMÓRIA!E35</f>
        <v>5.04</v>
      </c>
      <c r="F18" s="168">
        <f>TRUNC(MEMÓRIA!F35,2)</f>
        <v>8.6300000000000008</v>
      </c>
      <c r="G18" s="168">
        <f t="shared" si="0"/>
        <v>11.11</v>
      </c>
      <c r="H18" s="168">
        <f t="shared" si="1"/>
        <v>43.49</v>
      </c>
      <c r="I18" s="169">
        <f t="shared" si="2"/>
        <v>55.99</v>
      </c>
      <c r="K18" s="170"/>
    </row>
    <row r="19" spans="1:16" s="162" customFormat="1" ht="30">
      <c r="A19" s="163" t="s">
        <v>38</v>
      </c>
      <c r="B19" s="164" t="s">
        <v>39</v>
      </c>
      <c r="C19" s="165" t="s">
        <v>40</v>
      </c>
      <c r="D19" s="166" t="s">
        <v>10</v>
      </c>
      <c r="E19" s="167">
        <f>MEMÓRIA!E39</f>
        <v>6</v>
      </c>
      <c r="F19" s="168">
        <f>TRUNC(MEMÓRIA!F39,2)</f>
        <v>8.33</v>
      </c>
      <c r="G19" s="168">
        <f t="shared" si="0"/>
        <v>10.73</v>
      </c>
      <c r="H19" s="168">
        <f t="shared" si="1"/>
        <v>49.98</v>
      </c>
      <c r="I19" s="169">
        <f t="shared" si="2"/>
        <v>64.38</v>
      </c>
      <c r="K19" s="170"/>
    </row>
    <row r="20" spans="1:16" s="162" customFormat="1" ht="30" customHeight="1">
      <c r="A20" s="163" t="s">
        <v>178</v>
      </c>
      <c r="B20" s="164" t="s">
        <v>141</v>
      </c>
      <c r="C20" s="165" t="s">
        <v>41</v>
      </c>
      <c r="D20" s="166" t="s">
        <v>10</v>
      </c>
      <c r="E20" s="167">
        <f>MEMÓRIA!E43</f>
        <v>10</v>
      </c>
      <c r="F20" s="168">
        <f>MEMÓRIA!F43</f>
        <v>11.43</v>
      </c>
      <c r="G20" s="168">
        <f t="shared" si="0"/>
        <v>14.72</v>
      </c>
      <c r="H20" s="168">
        <f t="shared" si="1"/>
        <v>114.3</v>
      </c>
      <c r="I20" s="169">
        <f t="shared" si="2"/>
        <v>147.19999999999999</v>
      </c>
      <c r="K20" s="170"/>
    </row>
    <row r="21" spans="1:16" s="162" customFormat="1" ht="30" customHeight="1">
      <c r="A21" s="163" t="s">
        <v>42</v>
      </c>
      <c r="B21" s="164" t="s">
        <v>142</v>
      </c>
      <c r="C21" s="165" t="s">
        <v>180</v>
      </c>
      <c r="D21" s="166" t="s">
        <v>43</v>
      </c>
      <c r="E21" s="167">
        <f>MEMÓRIA!E48</f>
        <v>33</v>
      </c>
      <c r="F21" s="168">
        <f>MEMÓRIA!F48</f>
        <v>32.369999999999997</v>
      </c>
      <c r="G21" s="168">
        <f t="shared" si="0"/>
        <v>41.69</v>
      </c>
      <c r="H21" s="168">
        <f t="shared" si="1"/>
        <v>1068.21</v>
      </c>
      <c r="I21" s="169">
        <f t="shared" si="2"/>
        <v>1375.77</v>
      </c>
      <c r="K21" s="170"/>
    </row>
    <row r="22" spans="1:16" s="203" customFormat="1" ht="15.75">
      <c r="A22" s="198" t="s">
        <v>44</v>
      </c>
      <c r="B22" s="199"/>
      <c r="C22" s="200" t="s">
        <v>45</v>
      </c>
      <c r="D22" s="250"/>
      <c r="E22" s="251"/>
      <c r="F22" s="251"/>
      <c r="G22" s="252"/>
      <c r="H22" s="201">
        <f>SUM(H13:H21)</f>
        <v>4779.3</v>
      </c>
      <c r="I22" s="201">
        <f>SUM(I13:I21)</f>
        <v>6155.83</v>
      </c>
      <c r="K22" s="204"/>
    </row>
    <row r="23" spans="1:16" s="162" customFormat="1" ht="15.75">
      <c r="A23" s="171" t="s">
        <v>46</v>
      </c>
      <c r="B23" s="172"/>
      <c r="C23" s="173" t="s">
        <v>47</v>
      </c>
      <c r="D23" s="174"/>
      <c r="E23" s="175"/>
      <c r="F23" s="175"/>
      <c r="G23" s="175"/>
      <c r="H23" s="175"/>
      <c r="I23" s="176"/>
      <c r="K23" s="177"/>
      <c r="L23" s="178"/>
      <c r="M23" s="179"/>
      <c r="N23" s="180"/>
      <c r="O23" s="181"/>
      <c r="P23" s="181"/>
    </row>
    <row r="24" spans="1:16" s="162" customFormat="1" ht="45">
      <c r="A24" s="182" t="s">
        <v>48</v>
      </c>
      <c r="B24" s="163" t="s">
        <v>49</v>
      </c>
      <c r="C24" s="183" t="s">
        <v>50</v>
      </c>
      <c r="D24" s="182" t="s">
        <v>22</v>
      </c>
      <c r="E24" s="184">
        <f>MEMÓRIA!E55</f>
        <v>32.78</v>
      </c>
      <c r="F24" s="168">
        <f>TRUNC(MEMÓRIA!F55,2)</f>
        <v>50.11</v>
      </c>
      <c r="G24" s="168">
        <f t="shared" ref="G24:G26" si="3">TRUNC(F24*1.2882,2)</f>
        <v>64.55</v>
      </c>
      <c r="H24" s="168">
        <f t="shared" ref="H24:H26" si="4">TRUNC(F24*E24,2)</f>
        <v>1642.6</v>
      </c>
      <c r="I24" s="169">
        <f t="shared" ref="I24:I26" si="5">TRUNC(E24*G24,2)</f>
        <v>2115.94</v>
      </c>
      <c r="K24" s="177"/>
      <c r="L24" s="178"/>
      <c r="M24" s="179"/>
      <c r="N24" s="180"/>
      <c r="O24" s="181"/>
      <c r="P24" s="181"/>
    </row>
    <row r="25" spans="1:16" s="162" customFormat="1" ht="45">
      <c r="A25" s="182" t="s">
        <v>51</v>
      </c>
      <c r="B25" s="163" t="s">
        <v>52</v>
      </c>
      <c r="C25" s="183" t="s">
        <v>53</v>
      </c>
      <c r="D25" s="182" t="s">
        <v>22</v>
      </c>
      <c r="E25" s="184">
        <f>MEMÓRIA!E62</f>
        <v>90.24</v>
      </c>
      <c r="F25" s="168">
        <f>TRUNC(MEMÓRIA!F62,2)</f>
        <v>74.33</v>
      </c>
      <c r="G25" s="168">
        <f t="shared" si="3"/>
        <v>95.75</v>
      </c>
      <c r="H25" s="168">
        <f t="shared" si="4"/>
        <v>6707.53</v>
      </c>
      <c r="I25" s="169">
        <f t="shared" si="5"/>
        <v>8640.48</v>
      </c>
      <c r="K25" s="177"/>
      <c r="L25" s="178"/>
      <c r="M25" s="179"/>
      <c r="N25" s="180"/>
      <c r="O25" s="181"/>
      <c r="P25" s="181"/>
    </row>
    <row r="26" spans="1:16" s="162" customFormat="1" ht="30">
      <c r="A26" s="182" t="s">
        <v>54</v>
      </c>
      <c r="B26" s="185" t="s">
        <v>55</v>
      </c>
      <c r="C26" s="186" t="s">
        <v>56</v>
      </c>
      <c r="D26" s="187" t="s">
        <v>22</v>
      </c>
      <c r="E26" s="169">
        <f>MEMÓRIA!E69</f>
        <v>40.58</v>
      </c>
      <c r="F26" s="169">
        <f>TRUNC(MEMÓRIA!F69,2)</f>
        <v>72.989999999999995</v>
      </c>
      <c r="G26" s="168">
        <f t="shared" si="3"/>
        <v>94.02</v>
      </c>
      <c r="H26" s="168">
        <f t="shared" si="4"/>
        <v>2961.93</v>
      </c>
      <c r="I26" s="169">
        <f t="shared" si="5"/>
        <v>3815.33</v>
      </c>
    </row>
    <row r="27" spans="1:16" s="203" customFormat="1" ht="15.75">
      <c r="A27" s="198" t="s">
        <v>44</v>
      </c>
      <c r="B27" s="199"/>
      <c r="C27" s="200" t="s">
        <v>57</v>
      </c>
      <c r="D27" s="250"/>
      <c r="E27" s="251"/>
      <c r="F27" s="251"/>
      <c r="G27" s="252"/>
      <c r="H27" s="201">
        <f>SUM(H24:H26)</f>
        <v>11312.06</v>
      </c>
      <c r="I27" s="201">
        <f>SUM(I24:I26)</f>
        <v>14571.75</v>
      </c>
      <c r="K27" s="204"/>
    </row>
    <row r="28" spans="1:16" s="162" customFormat="1" ht="15.75">
      <c r="A28" s="171" t="s">
        <v>58</v>
      </c>
      <c r="B28" s="185"/>
      <c r="C28" s="188" t="s">
        <v>59</v>
      </c>
      <c r="D28" s="254"/>
      <c r="E28" s="255"/>
      <c r="F28" s="255"/>
      <c r="G28" s="255"/>
      <c r="H28" s="255"/>
      <c r="I28" s="256"/>
    </row>
    <row r="29" spans="1:16" s="162" customFormat="1" ht="30">
      <c r="A29" s="182" t="s">
        <v>60</v>
      </c>
      <c r="B29" s="185" t="s">
        <v>61</v>
      </c>
      <c r="C29" s="186" t="s">
        <v>214</v>
      </c>
      <c r="D29" s="187" t="s">
        <v>22</v>
      </c>
      <c r="E29" s="169">
        <f>MEMÓRIA!E84</f>
        <v>33.5</v>
      </c>
      <c r="F29" s="169">
        <f>TRUNC(MEMÓRIA!F84,2)</f>
        <v>9.7100000000000009</v>
      </c>
      <c r="G29" s="168">
        <f t="shared" ref="G29:G35" si="6">TRUNC(F29*1.2882,2)</f>
        <v>12.5</v>
      </c>
      <c r="H29" s="168">
        <f t="shared" ref="H29:H35" si="7">TRUNC(F29*E29,2)</f>
        <v>325.27999999999997</v>
      </c>
      <c r="I29" s="169">
        <f t="shared" ref="I29:I35" si="8">TRUNC(E29*G29,2)</f>
        <v>418.75</v>
      </c>
    </row>
    <row r="30" spans="1:16" s="162" customFormat="1" ht="30">
      <c r="A30" s="182" t="s">
        <v>62</v>
      </c>
      <c r="B30" s="185" t="s">
        <v>63</v>
      </c>
      <c r="C30" s="186" t="s">
        <v>64</v>
      </c>
      <c r="D30" s="187" t="s">
        <v>22</v>
      </c>
      <c r="E30" s="169">
        <f>MEMÓRIA!E89</f>
        <v>40.58</v>
      </c>
      <c r="F30" s="169">
        <f>TRUNC(MEMÓRIA!F89,2)</f>
        <v>11.05</v>
      </c>
      <c r="G30" s="168">
        <f t="shared" si="6"/>
        <v>14.23</v>
      </c>
      <c r="H30" s="168">
        <f t="shared" si="7"/>
        <v>448.4</v>
      </c>
      <c r="I30" s="169">
        <f t="shared" si="8"/>
        <v>577.45000000000005</v>
      </c>
    </row>
    <row r="31" spans="1:16" s="162" customFormat="1" ht="30">
      <c r="A31" s="182" t="s">
        <v>65</v>
      </c>
      <c r="B31" s="185" t="s">
        <v>66</v>
      </c>
      <c r="C31" s="186" t="s">
        <v>220</v>
      </c>
      <c r="D31" s="187" t="s">
        <v>22</v>
      </c>
      <c r="E31" s="169">
        <f>MEMÓRIA!E94</f>
        <v>74.08</v>
      </c>
      <c r="F31" s="169">
        <f>TRUNC(MEMÓRIA!F94,2)</f>
        <v>10.5</v>
      </c>
      <c r="G31" s="168">
        <f t="shared" si="6"/>
        <v>13.52</v>
      </c>
      <c r="H31" s="168">
        <f t="shared" si="7"/>
        <v>777.84</v>
      </c>
      <c r="I31" s="169">
        <f t="shared" si="8"/>
        <v>1001.56</v>
      </c>
    </row>
    <row r="32" spans="1:16" s="162" customFormat="1" ht="75">
      <c r="A32" s="182" t="s">
        <v>67</v>
      </c>
      <c r="B32" s="185" t="s">
        <v>68</v>
      </c>
      <c r="C32" s="186" t="s">
        <v>69</v>
      </c>
      <c r="D32" s="187" t="s">
        <v>22</v>
      </c>
      <c r="E32" s="169">
        <f>MEMÓRIA!E100</f>
        <v>13.4</v>
      </c>
      <c r="F32" s="169">
        <f>TRUNC(MEMÓRIA!F100,2)</f>
        <v>17.87</v>
      </c>
      <c r="G32" s="168">
        <f t="shared" si="6"/>
        <v>23.02</v>
      </c>
      <c r="H32" s="168">
        <f t="shared" si="7"/>
        <v>239.45</v>
      </c>
      <c r="I32" s="169">
        <f t="shared" si="8"/>
        <v>308.45999999999998</v>
      </c>
    </row>
    <row r="33" spans="1:11" s="162" customFormat="1" ht="15">
      <c r="A33" s="182" t="s">
        <v>70</v>
      </c>
      <c r="B33" s="185" t="s">
        <v>71</v>
      </c>
      <c r="C33" s="186" t="s">
        <v>72</v>
      </c>
      <c r="D33" s="187" t="s">
        <v>22</v>
      </c>
      <c r="E33" s="169">
        <f>MEMÓRIA!E105</f>
        <v>33</v>
      </c>
      <c r="F33" s="169">
        <f>TRUNC(MEMÓRIA!F105,2)</f>
        <v>9.1199999999999992</v>
      </c>
      <c r="G33" s="168">
        <f t="shared" si="6"/>
        <v>11.74</v>
      </c>
      <c r="H33" s="168">
        <f t="shared" si="7"/>
        <v>300.95999999999998</v>
      </c>
      <c r="I33" s="169">
        <f t="shared" si="8"/>
        <v>387.42</v>
      </c>
    </row>
    <row r="34" spans="1:11" s="162" customFormat="1" ht="30" customHeight="1">
      <c r="A34" s="182" t="s">
        <v>73</v>
      </c>
      <c r="B34" s="185" t="s">
        <v>74</v>
      </c>
      <c r="C34" s="186" t="s">
        <v>75</v>
      </c>
      <c r="D34" s="187" t="s">
        <v>22</v>
      </c>
      <c r="E34" s="169">
        <f>MEMÓRIA!E109</f>
        <v>33</v>
      </c>
      <c r="F34" s="169">
        <f>TRUNC(MEMÓRIA!F109,2)</f>
        <v>8.98</v>
      </c>
      <c r="G34" s="168">
        <f t="shared" si="6"/>
        <v>11.56</v>
      </c>
      <c r="H34" s="168">
        <f t="shared" si="7"/>
        <v>296.33999999999997</v>
      </c>
      <c r="I34" s="169">
        <f t="shared" si="8"/>
        <v>381.48</v>
      </c>
    </row>
    <row r="35" spans="1:11" s="162" customFormat="1" ht="30" customHeight="1">
      <c r="A35" s="182" t="s">
        <v>76</v>
      </c>
      <c r="B35" s="185" t="s">
        <v>77</v>
      </c>
      <c r="C35" s="186" t="s">
        <v>78</v>
      </c>
      <c r="D35" s="187" t="s">
        <v>22</v>
      </c>
      <c r="E35" s="169">
        <f>MEMÓRIA!E114</f>
        <v>33</v>
      </c>
      <c r="F35" s="169">
        <f>TRUNC(MEMÓRIA!F114,2)</f>
        <v>22.09</v>
      </c>
      <c r="G35" s="168">
        <f t="shared" si="6"/>
        <v>28.45</v>
      </c>
      <c r="H35" s="168">
        <f t="shared" si="7"/>
        <v>728.97</v>
      </c>
      <c r="I35" s="169">
        <f t="shared" si="8"/>
        <v>938.85</v>
      </c>
    </row>
    <row r="36" spans="1:11" s="203" customFormat="1" ht="15.75">
      <c r="A36" s="198" t="s">
        <v>44</v>
      </c>
      <c r="B36" s="199"/>
      <c r="C36" s="200" t="s">
        <v>79</v>
      </c>
      <c r="D36" s="250"/>
      <c r="E36" s="251"/>
      <c r="F36" s="251"/>
      <c r="G36" s="252"/>
      <c r="H36" s="201">
        <f>SUM(H29:H35)</f>
        <v>3117.24</v>
      </c>
      <c r="I36" s="201">
        <f>SUM(I29:I35)</f>
        <v>4013.97</v>
      </c>
      <c r="K36" s="204"/>
    </row>
    <row r="37" spans="1:11" s="162" customFormat="1" ht="15.75">
      <c r="A37" s="248" t="s">
        <v>80</v>
      </c>
      <c r="B37" s="249"/>
      <c r="C37" s="189" t="s">
        <v>81</v>
      </c>
      <c r="D37" s="190"/>
      <c r="E37" s="190"/>
      <c r="F37" s="190"/>
      <c r="G37" s="190"/>
      <c r="H37" s="190"/>
      <c r="I37" s="191"/>
    </row>
    <row r="38" spans="1:11" s="162" customFormat="1" ht="30">
      <c r="A38" s="182" t="s">
        <v>82</v>
      </c>
      <c r="B38" s="185" t="s">
        <v>83</v>
      </c>
      <c r="C38" s="186" t="s">
        <v>84</v>
      </c>
      <c r="D38" s="187" t="s">
        <v>22</v>
      </c>
      <c r="E38" s="169">
        <v>46.36</v>
      </c>
      <c r="F38" s="169">
        <f>TRUNC(MEMÓRIA!F140,2)</f>
        <v>71.989999999999995</v>
      </c>
      <c r="G38" s="168">
        <f>TRUNC(F38*1.2882,2)</f>
        <v>92.73</v>
      </c>
      <c r="H38" s="168">
        <f>TRUNC(E38*F38,2)</f>
        <v>3337.45</v>
      </c>
      <c r="I38" s="168">
        <f>TRUNC(E38*G38,2)</f>
        <v>4298.96</v>
      </c>
    </row>
    <row r="39" spans="1:11" s="162" customFormat="1" ht="30">
      <c r="A39" s="182" t="s">
        <v>85</v>
      </c>
      <c r="B39" s="185" t="s">
        <v>86</v>
      </c>
      <c r="C39" s="186" t="s">
        <v>87</v>
      </c>
      <c r="D39" s="187" t="s">
        <v>88</v>
      </c>
      <c r="E39" s="169">
        <f>MEMÓRIA!E148</f>
        <v>14.65</v>
      </c>
      <c r="F39" s="169">
        <f>TRUNC(MEMÓRIA!F148,2)</f>
        <v>77.45</v>
      </c>
      <c r="G39" s="168">
        <f t="shared" ref="G39:G41" si="9">TRUNC(F39*1.2882,2)</f>
        <v>99.77</v>
      </c>
      <c r="H39" s="168">
        <f t="shared" ref="H39:H41" si="10">TRUNC(F39*E39,2)</f>
        <v>1134.6400000000001</v>
      </c>
      <c r="I39" s="169">
        <f t="shared" ref="I39:I41" si="11">TRUNC(E39*G39,2)</f>
        <v>1461.63</v>
      </c>
    </row>
    <row r="40" spans="1:11" s="162" customFormat="1" ht="30">
      <c r="A40" s="182" t="s">
        <v>89</v>
      </c>
      <c r="B40" s="185" t="s">
        <v>90</v>
      </c>
      <c r="C40" s="186" t="s">
        <v>91</v>
      </c>
      <c r="D40" s="187" t="s">
        <v>88</v>
      </c>
      <c r="E40" s="169">
        <f>MEMÓRIA!E159</f>
        <v>6</v>
      </c>
      <c r="F40" s="169">
        <f>TRUNC(MEMÓRIA!F159,2)</f>
        <v>105.11</v>
      </c>
      <c r="G40" s="168">
        <f t="shared" si="9"/>
        <v>135.4</v>
      </c>
      <c r="H40" s="168">
        <f t="shared" si="10"/>
        <v>630.66</v>
      </c>
      <c r="I40" s="169">
        <f t="shared" si="11"/>
        <v>812.4</v>
      </c>
    </row>
    <row r="41" spans="1:11" s="162" customFormat="1" ht="30" customHeight="1">
      <c r="A41" s="182" t="s">
        <v>92</v>
      </c>
      <c r="B41" s="185" t="s">
        <v>143</v>
      </c>
      <c r="C41" s="186" t="s">
        <v>275</v>
      </c>
      <c r="D41" s="187" t="s">
        <v>43</v>
      </c>
      <c r="E41" s="169">
        <f>MEMÓRIA!E167</f>
        <v>33</v>
      </c>
      <c r="F41" s="169">
        <f>MEMÓRIA!F167</f>
        <v>53.34</v>
      </c>
      <c r="G41" s="168">
        <f t="shared" si="9"/>
        <v>68.709999999999994</v>
      </c>
      <c r="H41" s="168">
        <f t="shared" si="10"/>
        <v>1760.22</v>
      </c>
      <c r="I41" s="169">
        <f t="shared" si="11"/>
        <v>2267.4299999999998</v>
      </c>
    </row>
    <row r="42" spans="1:11" s="203" customFormat="1" ht="15.75">
      <c r="A42" s="198" t="s">
        <v>44</v>
      </c>
      <c r="B42" s="199"/>
      <c r="C42" s="200" t="s">
        <v>93</v>
      </c>
      <c r="D42" s="250"/>
      <c r="E42" s="251"/>
      <c r="F42" s="251"/>
      <c r="G42" s="252"/>
      <c r="H42" s="201">
        <f>SUM(H38:H41)</f>
        <v>6862.97</v>
      </c>
      <c r="I42" s="201">
        <f>SUM(I38:I41)</f>
        <v>8840.42</v>
      </c>
      <c r="K42" s="204"/>
    </row>
    <row r="43" spans="1:11" s="162" customFormat="1" ht="15.75">
      <c r="A43" s="171" t="s">
        <v>94</v>
      </c>
      <c r="B43" s="185"/>
      <c r="C43" s="188" t="s">
        <v>95</v>
      </c>
      <c r="D43" s="192"/>
      <c r="E43" s="193"/>
      <c r="F43" s="193"/>
      <c r="G43" s="193"/>
      <c r="H43" s="193"/>
      <c r="I43" s="194"/>
    </row>
    <row r="44" spans="1:11" s="162" customFormat="1" ht="30">
      <c r="A44" s="182" t="s">
        <v>96</v>
      </c>
      <c r="B44" s="185" t="s">
        <v>97</v>
      </c>
      <c r="C44" s="186" t="s">
        <v>98</v>
      </c>
      <c r="D44" s="187" t="s">
        <v>22</v>
      </c>
      <c r="E44" s="169">
        <f>MEMÓRIA!E175</f>
        <v>5.67</v>
      </c>
      <c r="F44" s="169">
        <f>TRUNC(MEMÓRIA!F175,2)</f>
        <v>651.78</v>
      </c>
      <c r="G44" s="168">
        <f t="shared" ref="G44" si="12">TRUNC(F44*1.2882,2)</f>
        <v>839.62</v>
      </c>
      <c r="H44" s="168">
        <f t="shared" ref="H44" si="13">TRUNC(F44*E44,2)</f>
        <v>3695.59</v>
      </c>
      <c r="I44" s="169">
        <f t="shared" ref="I44" si="14">TRUNC(E44*G44,2)</f>
        <v>4760.6400000000003</v>
      </c>
    </row>
    <row r="45" spans="1:11" s="203" customFormat="1" ht="15.75">
      <c r="A45" s="198" t="s">
        <v>44</v>
      </c>
      <c r="B45" s="199"/>
      <c r="C45" s="200" t="s">
        <v>99</v>
      </c>
      <c r="D45" s="250"/>
      <c r="E45" s="251"/>
      <c r="F45" s="251"/>
      <c r="G45" s="252"/>
      <c r="H45" s="201">
        <f>H44</f>
        <v>3695.59</v>
      </c>
      <c r="I45" s="202">
        <f>I44</f>
        <v>4760.6400000000003</v>
      </c>
      <c r="K45" s="204"/>
    </row>
    <row r="46" spans="1:11" s="162" customFormat="1" ht="15.75">
      <c r="A46" s="171" t="s">
        <v>100</v>
      </c>
      <c r="B46" s="185"/>
      <c r="C46" s="188" t="s">
        <v>101</v>
      </c>
      <c r="D46" s="192"/>
      <c r="E46" s="193"/>
      <c r="F46" s="193"/>
      <c r="G46" s="193"/>
      <c r="H46" s="193"/>
      <c r="I46" s="194"/>
    </row>
    <row r="47" spans="1:11" s="162" customFormat="1" ht="30">
      <c r="A47" s="182" t="s">
        <v>102</v>
      </c>
      <c r="B47" s="185" t="s">
        <v>103</v>
      </c>
      <c r="C47" s="186" t="s">
        <v>104</v>
      </c>
      <c r="D47" s="187" t="s">
        <v>10</v>
      </c>
      <c r="E47" s="169">
        <f>MEMÓRIA!E185</f>
        <v>4</v>
      </c>
      <c r="F47" s="169">
        <f>TRUNC(MEMÓRIA!F185,2)</f>
        <v>61.69</v>
      </c>
      <c r="G47" s="168">
        <f t="shared" ref="G47:G55" si="15">TRUNC(F47*1.2882,2)</f>
        <v>79.459999999999994</v>
      </c>
      <c r="H47" s="168">
        <f t="shared" ref="H47:H55" si="16">TRUNC(F47*E47,2)</f>
        <v>246.76</v>
      </c>
      <c r="I47" s="169">
        <f t="shared" ref="I47:I55" si="17">TRUNC(E47*G47,2)</f>
        <v>317.83999999999997</v>
      </c>
    </row>
    <row r="48" spans="1:11" s="162" customFormat="1" ht="90">
      <c r="A48" s="182" t="s">
        <v>105</v>
      </c>
      <c r="B48" s="185" t="s">
        <v>106</v>
      </c>
      <c r="C48" s="186" t="s">
        <v>107</v>
      </c>
      <c r="D48" s="187" t="s">
        <v>10</v>
      </c>
      <c r="E48" s="169">
        <f>MEMÓRIA!E188</f>
        <v>1</v>
      </c>
      <c r="F48" s="169">
        <f>TRUNC(MEMÓRIA!F188,2)</f>
        <v>336.8</v>
      </c>
      <c r="G48" s="168">
        <f t="shared" si="15"/>
        <v>433.86</v>
      </c>
      <c r="H48" s="168">
        <f t="shared" si="16"/>
        <v>336.8</v>
      </c>
      <c r="I48" s="169">
        <f t="shared" si="17"/>
        <v>433.86</v>
      </c>
    </row>
    <row r="49" spans="1:11" s="162" customFormat="1" ht="45">
      <c r="A49" s="182" t="s">
        <v>108</v>
      </c>
      <c r="B49" s="185" t="s">
        <v>109</v>
      </c>
      <c r="C49" s="186" t="s">
        <v>110</v>
      </c>
      <c r="D49" s="187" t="s">
        <v>10</v>
      </c>
      <c r="E49" s="169">
        <f>MEMÓRIA!E210</f>
        <v>2</v>
      </c>
      <c r="F49" s="169">
        <f>TRUNC(MEMÓRIA!F210,2)</f>
        <v>806.93</v>
      </c>
      <c r="G49" s="168">
        <f t="shared" si="15"/>
        <v>1039.48</v>
      </c>
      <c r="H49" s="168">
        <f t="shared" si="16"/>
        <v>1613.86</v>
      </c>
      <c r="I49" s="169">
        <f t="shared" si="17"/>
        <v>2078.96</v>
      </c>
    </row>
    <row r="50" spans="1:11" s="162" customFormat="1" ht="30" customHeight="1">
      <c r="A50" s="182" t="s">
        <v>111</v>
      </c>
      <c r="B50" s="185" t="s">
        <v>144</v>
      </c>
      <c r="C50" s="186" t="s">
        <v>325</v>
      </c>
      <c r="D50" s="187" t="s">
        <v>10</v>
      </c>
      <c r="E50" s="169">
        <f>MEMÓRIA!E215</f>
        <v>2</v>
      </c>
      <c r="F50" s="169">
        <f>MEMÓRIA!F215</f>
        <v>547.82000000000005</v>
      </c>
      <c r="G50" s="168">
        <f t="shared" si="15"/>
        <v>705.7</v>
      </c>
      <c r="H50" s="168">
        <f t="shared" si="16"/>
        <v>1095.6400000000001</v>
      </c>
      <c r="I50" s="169">
        <f t="shared" si="17"/>
        <v>1411.4</v>
      </c>
    </row>
    <row r="51" spans="1:11" s="162" customFormat="1" ht="69.95" customHeight="1">
      <c r="A51" s="182" t="s">
        <v>112</v>
      </c>
      <c r="B51" s="185" t="s">
        <v>149</v>
      </c>
      <c r="C51" s="195" t="s">
        <v>331</v>
      </c>
      <c r="D51" s="187" t="s">
        <v>10</v>
      </c>
      <c r="E51" s="169">
        <f>MEMÓRIA!E220</f>
        <v>4</v>
      </c>
      <c r="F51" s="169">
        <f>MEMÓRIA!F220</f>
        <v>380.04</v>
      </c>
      <c r="G51" s="168">
        <f t="shared" si="15"/>
        <v>489.56</v>
      </c>
      <c r="H51" s="168">
        <f t="shared" si="16"/>
        <v>1520.16</v>
      </c>
      <c r="I51" s="169">
        <f t="shared" si="17"/>
        <v>1958.24</v>
      </c>
    </row>
    <row r="52" spans="1:11" s="162" customFormat="1" ht="15">
      <c r="A52" s="182" t="s">
        <v>113</v>
      </c>
      <c r="B52" s="185" t="s">
        <v>145</v>
      </c>
      <c r="C52" s="186" t="s">
        <v>341</v>
      </c>
      <c r="D52" s="187" t="s">
        <v>10</v>
      </c>
      <c r="E52" s="169">
        <f>MEMÓRIA!E230</f>
        <v>2</v>
      </c>
      <c r="F52" s="169">
        <f>MEMÓRIA!F230</f>
        <v>39.74</v>
      </c>
      <c r="G52" s="168">
        <f t="shared" si="15"/>
        <v>51.19</v>
      </c>
      <c r="H52" s="168">
        <f t="shared" si="16"/>
        <v>79.48</v>
      </c>
      <c r="I52" s="169">
        <f t="shared" si="17"/>
        <v>102.38</v>
      </c>
    </row>
    <row r="53" spans="1:11" s="162" customFormat="1" ht="30">
      <c r="A53" s="182" t="s">
        <v>114</v>
      </c>
      <c r="B53" s="185" t="s">
        <v>146</v>
      </c>
      <c r="C53" s="186" t="s">
        <v>345</v>
      </c>
      <c r="D53" s="187" t="s">
        <v>140</v>
      </c>
      <c r="E53" s="169">
        <f>MEMÓRIA!E236</f>
        <v>1</v>
      </c>
      <c r="F53" s="169">
        <f>MEMÓRIA!F236</f>
        <v>126.04</v>
      </c>
      <c r="G53" s="168">
        <f t="shared" si="15"/>
        <v>162.36000000000001</v>
      </c>
      <c r="H53" s="168">
        <f t="shared" si="16"/>
        <v>126.04</v>
      </c>
      <c r="I53" s="169">
        <f t="shared" si="17"/>
        <v>162.36000000000001</v>
      </c>
    </row>
    <row r="54" spans="1:11" s="162" customFormat="1" ht="135">
      <c r="A54" s="182" t="s">
        <v>115</v>
      </c>
      <c r="B54" s="196" t="s">
        <v>358</v>
      </c>
      <c r="C54" s="186" t="s">
        <v>359</v>
      </c>
      <c r="D54" s="187" t="s">
        <v>10</v>
      </c>
      <c r="E54" s="169">
        <f>MEMÓRIA!E250</f>
        <v>2</v>
      </c>
      <c r="F54" s="169">
        <f>MEMÓRIA!F250</f>
        <v>641.77</v>
      </c>
      <c r="G54" s="168">
        <f t="shared" si="15"/>
        <v>826.72</v>
      </c>
      <c r="H54" s="168">
        <f t="shared" si="16"/>
        <v>1283.54</v>
      </c>
      <c r="I54" s="169">
        <f t="shared" si="17"/>
        <v>1653.44</v>
      </c>
    </row>
    <row r="55" spans="1:11" s="162" customFormat="1" ht="60">
      <c r="A55" s="182" t="s">
        <v>116</v>
      </c>
      <c r="B55" s="185" t="s">
        <v>147</v>
      </c>
      <c r="C55" s="186" t="s">
        <v>379</v>
      </c>
      <c r="D55" s="187" t="s">
        <v>117</v>
      </c>
      <c r="E55" s="169">
        <f>MEMÓRIA!E265</f>
        <v>2</v>
      </c>
      <c r="F55" s="169">
        <f>MEMÓRIA!F265</f>
        <v>138.1</v>
      </c>
      <c r="G55" s="168">
        <f t="shared" si="15"/>
        <v>177.9</v>
      </c>
      <c r="H55" s="168">
        <f t="shared" si="16"/>
        <v>276.2</v>
      </c>
      <c r="I55" s="169">
        <f t="shared" si="17"/>
        <v>355.8</v>
      </c>
    </row>
    <row r="56" spans="1:11" s="203" customFormat="1" ht="15.75">
      <c r="A56" s="198" t="s">
        <v>44</v>
      </c>
      <c r="B56" s="199"/>
      <c r="C56" s="200" t="s">
        <v>118</v>
      </c>
      <c r="D56" s="205"/>
      <c r="E56" s="206"/>
      <c r="F56" s="206"/>
      <c r="G56" s="207"/>
      <c r="H56" s="201">
        <f>SUM(H47:H55)</f>
        <v>6578.48</v>
      </c>
      <c r="I56" s="201">
        <f>SUM(I47:I55)</f>
        <v>8474.2799999999988</v>
      </c>
      <c r="K56" s="204"/>
    </row>
    <row r="57" spans="1:11" s="162" customFormat="1" ht="15.75">
      <c r="A57" s="171" t="s">
        <v>119</v>
      </c>
      <c r="B57" s="185"/>
      <c r="C57" s="188" t="s">
        <v>120</v>
      </c>
      <c r="D57" s="192"/>
      <c r="E57" s="193"/>
      <c r="F57" s="193"/>
      <c r="G57" s="193"/>
      <c r="H57" s="193"/>
      <c r="I57" s="194"/>
    </row>
    <row r="58" spans="1:11" s="162" customFormat="1" ht="75.75" customHeight="1">
      <c r="A58" s="182" t="s">
        <v>121</v>
      </c>
      <c r="B58" s="196" t="s">
        <v>122</v>
      </c>
      <c r="C58" s="195" t="s">
        <v>123</v>
      </c>
      <c r="D58" s="182" t="s">
        <v>10</v>
      </c>
      <c r="E58" s="197">
        <f>MEMÓRIA!E273</f>
        <v>2</v>
      </c>
      <c r="F58" s="169">
        <f>TRUNC(MEMÓRIA!F273,2)</f>
        <v>258.08</v>
      </c>
      <c r="G58" s="168">
        <f t="shared" ref="G58" si="18">TRUNC(F58*1.2882,2)</f>
        <v>332.45</v>
      </c>
      <c r="H58" s="168">
        <f t="shared" ref="H58" si="19">TRUNC(F58*E58,2)</f>
        <v>516.16</v>
      </c>
      <c r="I58" s="169">
        <f t="shared" ref="I58" si="20">TRUNC(E58*G58,2)</f>
        <v>664.9</v>
      </c>
    </row>
    <row r="59" spans="1:11" s="203" customFormat="1" ht="15.75">
      <c r="A59" s="198" t="s">
        <v>44</v>
      </c>
      <c r="B59" s="199"/>
      <c r="C59" s="200" t="s">
        <v>124</v>
      </c>
      <c r="D59" s="208"/>
      <c r="E59" s="209"/>
      <c r="F59" s="201"/>
      <c r="G59" s="201"/>
      <c r="H59" s="201">
        <f>H58</f>
        <v>516.16</v>
      </c>
      <c r="I59" s="202">
        <f>I58</f>
        <v>664.9</v>
      </c>
      <c r="K59" s="204"/>
    </row>
    <row r="60" spans="1:11" s="203" customFormat="1" ht="15.75">
      <c r="A60" s="198" t="s">
        <v>44</v>
      </c>
      <c r="B60" s="199"/>
      <c r="C60" s="200" t="s">
        <v>125</v>
      </c>
      <c r="D60" s="208"/>
      <c r="E60" s="209"/>
      <c r="F60" s="201"/>
      <c r="G60" s="201"/>
      <c r="H60" s="201">
        <f>H22+H27+H36+H42+H45+H56+H59</f>
        <v>36861.800000000003</v>
      </c>
      <c r="I60" s="201">
        <f>I22+I27+I36+I42+I45+I56+I59</f>
        <v>47481.79</v>
      </c>
      <c r="K60" s="204"/>
    </row>
  </sheetData>
  <mergeCells count="28">
    <mergeCell ref="D42:G42"/>
    <mergeCell ref="D45:G45"/>
    <mergeCell ref="C12:I12"/>
    <mergeCell ref="D22:G22"/>
    <mergeCell ref="D27:G27"/>
    <mergeCell ref="D28:I28"/>
    <mergeCell ref="D36:G36"/>
    <mergeCell ref="A37:B37"/>
    <mergeCell ref="F8:I8"/>
    <mergeCell ref="A9:I9"/>
    <mergeCell ref="A10:A11"/>
    <mergeCell ref="B10:B11"/>
    <mergeCell ref="C10:C11"/>
    <mergeCell ref="D10:D11"/>
    <mergeCell ref="E10:E11"/>
    <mergeCell ref="F10:I10"/>
    <mergeCell ref="C5:E5"/>
    <mergeCell ref="F5:I5"/>
    <mergeCell ref="C6:E6"/>
    <mergeCell ref="F6:I6"/>
    <mergeCell ref="C7:E7"/>
    <mergeCell ref="F7:I7"/>
    <mergeCell ref="C1:E1"/>
    <mergeCell ref="C2:E2"/>
    <mergeCell ref="C3:E3"/>
    <mergeCell ref="F3:I3"/>
    <mergeCell ref="C4:E4"/>
    <mergeCell ref="F4:I4"/>
  </mergeCells>
  <printOptions horizontalCentered="1"/>
  <pageMargins left="0.59055118110236227" right="0.39370078740157483" top="0.39370078740157483" bottom="0.59055118110236227" header="0" footer="0"/>
  <pageSetup paperSize="9" scale="38" orientation="portrait" r:id="rId1"/>
  <headerFooter alignWithMargins="0">
    <oddFooter>&amp;A&amp;RPágina &amp;P</oddFooter>
  </headerFooter>
  <rowBreaks count="1" manualBreakCount="1">
    <brk id="36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3"/>
  <sheetViews>
    <sheetView tabSelected="1" view="pageBreakPreview" zoomScale="60" zoomScaleNormal="50" workbookViewId="0">
      <selection activeCell="G26" sqref="G26"/>
    </sheetView>
  </sheetViews>
  <sheetFormatPr defaultRowHeight="15"/>
  <cols>
    <col min="2" max="2" width="62.140625" bestFit="1" customWidth="1"/>
    <col min="3" max="3" width="11.5703125" bestFit="1" customWidth="1"/>
    <col min="4" max="4" width="11.28515625" customWidth="1"/>
    <col min="5" max="5" width="11.5703125" bestFit="1" customWidth="1"/>
    <col min="6" max="6" width="12.85546875" customWidth="1"/>
    <col min="7" max="7" width="13.5703125" customWidth="1"/>
    <col min="8" max="8" width="11.28515625" customWidth="1"/>
    <col min="9" max="9" width="19.7109375" customWidth="1"/>
    <col min="10" max="10" width="14.5703125" bestFit="1" customWidth="1"/>
    <col min="11" max="11" width="11.5703125" bestFit="1" customWidth="1"/>
    <col min="260" max="260" width="62.140625" bestFit="1" customWidth="1"/>
    <col min="261" max="261" width="11.5703125" bestFit="1" customWidth="1"/>
    <col min="262" max="262" width="10.28515625" bestFit="1" customWidth="1"/>
    <col min="263" max="263" width="11.5703125" bestFit="1" customWidth="1"/>
    <col min="264" max="264" width="10.28515625" bestFit="1" customWidth="1"/>
    <col min="265" max="265" width="19.7109375" customWidth="1"/>
    <col min="266" max="266" width="14.5703125" bestFit="1" customWidth="1"/>
    <col min="267" max="267" width="11.5703125" bestFit="1" customWidth="1"/>
    <col min="516" max="516" width="62.140625" bestFit="1" customWidth="1"/>
    <col min="517" max="517" width="11.5703125" bestFit="1" customWidth="1"/>
    <col min="518" max="518" width="10.28515625" bestFit="1" customWidth="1"/>
    <col min="519" max="519" width="11.5703125" bestFit="1" customWidth="1"/>
    <col min="520" max="520" width="10.28515625" bestFit="1" customWidth="1"/>
    <col min="521" max="521" width="19.7109375" customWidth="1"/>
    <col min="522" max="522" width="14.5703125" bestFit="1" customWidth="1"/>
    <col min="523" max="523" width="11.5703125" bestFit="1" customWidth="1"/>
    <col min="772" max="772" width="62.140625" bestFit="1" customWidth="1"/>
    <col min="773" max="773" width="11.5703125" bestFit="1" customWidth="1"/>
    <col min="774" max="774" width="10.28515625" bestFit="1" customWidth="1"/>
    <col min="775" max="775" width="11.5703125" bestFit="1" customWidth="1"/>
    <col min="776" max="776" width="10.28515625" bestFit="1" customWidth="1"/>
    <col min="777" max="777" width="19.7109375" customWidth="1"/>
    <col min="778" max="778" width="14.5703125" bestFit="1" customWidth="1"/>
    <col min="779" max="779" width="11.5703125" bestFit="1" customWidth="1"/>
    <col min="1028" max="1028" width="62.140625" bestFit="1" customWidth="1"/>
    <col min="1029" max="1029" width="11.5703125" bestFit="1" customWidth="1"/>
    <col min="1030" max="1030" width="10.28515625" bestFit="1" customWidth="1"/>
    <col min="1031" max="1031" width="11.5703125" bestFit="1" customWidth="1"/>
    <col min="1032" max="1032" width="10.28515625" bestFit="1" customWidth="1"/>
    <col min="1033" max="1033" width="19.7109375" customWidth="1"/>
    <col min="1034" max="1034" width="14.5703125" bestFit="1" customWidth="1"/>
    <col min="1035" max="1035" width="11.5703125" bestFit="1" customWidth="1"/>
    <col min="1284" max="1284" width="62.140625" bestFit="1" customWidth="1"/>
    <col min="1285" max="1285" width="11.5703125" bestFit="1" customWidth="1"/>
    <col min="1286" max="1286" width="10.28515625" bestFit="1" customWidth="1"/>
    <col min="1287" max="1287" width="11.5703125" bestFit="1" customWidth="1"/>
    <col min="1288" max="1288" width="10.28515625" bestFit="1" customWidth="1"/>
    <col min="1289" max="1289" width="19.7109375" customWidth="1"/>
    <col min="1290" max="1290" width="14.5703125" bestFit="1" customWidth="1"/>
    <col min="1291" max="1291" width="11.5703125" bestFit="1" customWidth="1"/>
    <col min="1540" max="1540" width="62.140625" bestFit="1" customWidth="1"/>
    <col min="1541" max="1541" width="11.5703125" bestFit="1" customWidth="1"/>
    <col min="1542" max="1542" width="10.28515625" bestFit="1" customWidth="1"/>
    <col min="1543" max="1543" width="11.5703125" bestFit="1" customWidth="1"/>
    <col min="1544" max="1544" width="10.28515625" bestFit="1" customWidth="1"/>
    <col min="1545" max="1545" width="19.7109375" customWidth="1"/>
    <col min="1546" max="1546" width="14.5703125" bestFit="1" customWidth="1"/>
    <col min="1547" max="1547" width="11.5703125" bestFit="1" customWidth="1"/>
    <col min="1796" max="1796" width="62.140625" bestFit="1" customWidth="1"/>
    <col min="1797" max="1797" width="11.5703125" bestFit="1" customWidth="1"/>
    <col min="1798" max="1798" width="10.28515625" bestFit="1" customWidth="1"/>
    <col min="1799" max="1799" width="11.5703125" bestFit="1" customWidth="1"/>
    <col min="1800" max="1800" width="10.28515625" bestFit="1" customWidth="1"/>
    <col min="1801" max="1801" width="19.7109375" customWidth="1"/>
    <col min="1802" max="1802" width="14.5703125" bestFit="1" customWidth="1"/>
    <col min="1803" max="1803" width="11.5703125" bestFit="1" customWidth="1"/>
    <col min="2052" max="2052" width="62.140625" bestFit="1" customWidth="1"/>
    <col min="2053" max="2053" width="11.5703125" bestFit="1" customWidth="1"/>
    <col min="2054" max="2054" width="10.28515625" bestFit="1" customWidth="1"/>
    <col min="2055" max="2055" width="11.5703125" bestFit="1" customWidth="1"/>
    <col min="2056" max="2056" width="10.28515625" bestFit="1" customWidth="1"/>
    <col min="2057" max="2057" width="19.7109375" customWidth="1"/>
    <col min="2058" max="2058" width="14.5703125" bestFit="1" customWidth="1"/>
    <col min="2059" max="2059" width="11.5703125" bestFit="1" customWidth="1"/>
    <col min="2308" max="2308" width="62.140625" bestFit="1" customWidth="1"/>
    <col min="2309" max="2309" width="11.5703125" bestFit="1" customWidth="1"/>
    <col min="2310" max="2310" width="10.28515625" bestFit="1" customWidth="1"/>
    <col min="2311" max="2311" width="11.5703125" bestFit="1" customWidth="1"/>
    <col min="2312" max="2312" width="10.28515625" bestFit="1" customWidth="1"/>
    <col min="2313" max="2313" width="19.7109375" customWidth="1"/>
    <col min="2314" max="2314" width="14.5703125" bestFit="1" customWidth="1"/>
    <col min="2315" max="2315" width="11.5703125" bestFit="1" customWidth="1"/>
    <col min="2564" max="2564" width="62.140625" bestFit="1" customWidth="1"/>
    <col min="2565" max="2565" width="11.5703125" bestFit="1" customWidth="1"/>
    <col min="2566" max="2566" width="10.28515625" bestFit="1" customWidth="1"/>
    <col min="2567" max="2567" width="11.5703125" bestFit="1" customWidth="1"/>
    <col min="2568" max="2568" width="10.28515625" bestFit="1" customWidth="1"/>
    <col min="2569" max="2569" width="19.7109375" customWidth="1"/>
    <col min="2570" max="2570" width="14.5703125" bestFit="1" customWidth="1"/>
    <col min="2571" max="2571" width="11.5703125" bestFit="1" customWidth="1"/>
    <col min="2820" max="2820" width="62.140625" bestFit="1" customWidth="1"/>
    <col min="2821" max="2821" width="11.5703125" bestFit="1" customWidth="1"/>
    <col min="2822" max="2822" width="10.28515625" bestFit="1" customWidth="1"/>
    <col min="2823" max="2823" width="11.5703125" bestFit="1" customWidth="1"/>
    <col min="2824" max="2824" width="10.28515625" bestFit="1" customWidth="1"/>
    <col min="2825" max="2825" width="19.7109375" customWidth="1"/>
    <col min="2826" max="2826" width="14.5703125" bestFit="1" customWidth="1"/>
    <col min="2827" max="2827" width="11.5703125" bestFit="1" customWidth="1"/>
    <col min="3076" max="3076" width="62.140625" bestFit="1" customWidth="1"/>
    <col min="3077" max="3077" width="11.5703125" bestFit="1" customWidth="1"/>
    <col min="3078" max="3078" width="10.28515625" bestFit="1" customWidth="1"/>
    <col min="3079" max="3079" width="11.5703125" bestFit="1" customWidth="1"/>
    <col min="3080" max="3080" width="10.28515625" bestFit="1" customWidth="1"/>
    <col min="3081" max="3081" width="19.7109375" customWidth="1"/>
    <col min="3082" max="3082" width="14.5703125" bestFit="1" customWidth="1"/>
    <col min="3083" max="3083" width="11.5703125" bestFit="1" customWidth="1"/>
    <col min="3332" max="3332" width="62.140625" bestFit="1" customWidth="1"/>
    <col min="3333" max="3333" width="11.5703125" bestFit="1" customWidth="1"/>
    <col min="3334" max="3334" width="10.28515625" bestFit="1" customWidth="1"/>
    <col min="3335" max="3335" width="11.5703125" bestFit="1" customWidth="1"/>
    <col min="3336" max="3336" width="10.28515625" bestFit="1" customWidth="1"/>
    <col min="3337" max="3337" width="19.7109375" customWidth="1"/>
    <col min="3338" max="3338" width="14.5703125" bestFit="1" customWidth="1"/>
    <col min="3339" max="3339" width="11.5703125" bestFit="1" customWidth="1"/>
    <col min="3588" max="3588" width="62.140625" bestFit="1" customWidth="1"/>
    <col min="3589" max="3589" width="11.5703125" bestFit="1" customWidth="1"/>
    <col min="3590" max="3590" width="10.28515625" bestFit="1" customWidth="1"/>
    <col min="3591" max="3591" width="11.5703125" bestFit="1" customWidth="1"/>
    <col min="3592" max="3592" width="10.28515625" bestFit="1" customWidth="1"/>
    <col min="3593" max="3593" width="19.7109375" customWidth="1"/>
    <col min="3594" max="3594" width="14.5703125" bestFit="1" customWidth="1"/>
    <col min="3595" max="3595" width="11.5703125" bestFit="1" customWidth="1"/>
    <col min="3844" max="3844" width="62.140625" bestFit="1" customWidth="1"/>
    <col min="3845" max="3845" width="11.5703125" bestFit="1" customWidth="1"/>
    <col min="3846" max="3846" width="10.28515625" bestFit="1" customWidth="1"/>
    <col min="3847" max="3847" width="11.5703125" bestFit="1" customWidth="1"/>
    <col min="3848" max="3848" width="10.28515625" bestFit="1" customWidth="1"/>
    <col min="3849" max="3849" width="19.7109375" customWidth="1"/>
    <col min="3850" max="3850" width="14.5703125" bestFit="1" customWidth="1"/>
    <col min="3851" max="3851" width="11.5703125" bestFit="1" customWidth="1"/>
    <col min="4100" max="4100" width="62.140625" bestFit="1" customWidth="1"/>
    <col min="4101" max="4101" width="11.5703125" bestFit="1" customWidth="1"/>
    <col min="4102" max="4102" width="10.28515625" bestFit="1" customWidth="1"/>
    <col min="4103" max="4103" width="11.5703125" bestFit="1" customWidth="1"/>
    <col min="4104" max="4104" width="10.28515625" bestFit="1" customWidth="1"/>
    <col min="4105" max="4105" width="19.7109375" customWidth="1"/>
    <col min="4106" max="4106" width="14.5703125" bestFit="1" customWidth="1"/>
    <col min="4107" max="4107" width="11.5703125" bestFit="1" customWidth="1"/>
    <col min="4356" max="4356" width="62.140625" bestFit="1" customWidth="1"/>
    <col min="4357" max="4357" width="11.5703125" bestFit="1" customWidth="1"/>
    <col min="4358" max="4358" width="10.28515625" bestFit="1" customWidth="1"/>
    <col min="4359" max="4359" width="11.5703125" bestFit="1" customWidth="1"/>
    <col min="4360" max="4360" width="10.28515625" bestFit="1" customWidth="1"/>
    <col min="4361" max="4361" width="19.7109375" customWidth="1"/>
    <col min="4362" max="4362" width="14.5703125" bestFit="1" customWidth="1"/>
    <col min="4363" max="4363" width="11.5703125" bestFit="1" customWidth="1"/>
    <col min="4612" max="4612" width="62.140625" bestFit="1" customWidth="1"/>
    <col min="4613" max="4613" width="11.5703125" bestFit="1" customWidth="1"/>
    <col min="4614" max="4614" width="10.28515625" bestFit="1" customWidth="1"/>
    <col min="4615" max="4615" width="11.5703125" bestFit="1" customWidth="1"/>
    <col min="4616" max="4616" width="10.28515625" bestFit="1" customWidth="1"/>
    <col min="4617" max="4617" width="19.7109375" customWidth="1"/>
    <col min="4618" max="4618" width="14.5703125" bestFit="1" customWidth="1"/>
    <col min="4619" max="4619" width="11.5703125" bestFit="1" customWidth="1"/>
    <col min="4868" max="4868" width="62.140625" bestFit="1" customWidth="1"/>
    <col min="4869" max="4869" width="11.5703125" bestFit="1" customWidth="1"/>
    <col min="4870" max="4870" width="10.28515625" bestFit="1" customWidth="1"/>
    <col min="4871" max="4871" width="11.5703125" bestFit="1" customWidth="1"/>
    <col min="4872" max="4872" width="10.28515625" bestFit="1" customWidth="1"/>
    <col min="4873" max="4873" width="19.7109375" customWidth="1"/>
    <col min="4874" max="4874" width="14.5703125" bestFit="1" customWidth="1"/>
    <col min="4875" max="4875" width="11.5703125" bestFit="1" customWidth="1"/>
    <col min="5124" max="5124" width="62.140625" bestFit="1" customWidth="1"/>
    <col min="5125" max="5125" width="11.5703125" bestFit="1" customWidth="1"/>
    <col min="5126" max="5126" width="10.28515625" bestFit="1" customWidth="1"/>
    <col min="5127" max="5127" width="11.5703125" bestFit="1" customWidth="1"/>
    <col min="5128" max="5128" width="10.28515625" bestFit="1" customWidth="1"/>
    <col min="5129" max="5129" width="19.7109375" customWidth="1"/>
    <col min="5130" max="5130" width="14.5703125" bestFit="1" customWidth="1"/>
    <col min="5131" max="5131" width="11.5703125" bestFit="1" customWidth="1"/>
    <col min="5380" max="5380" width="62.140625" bestFit="1" customWidth="1"/>
    <col min="5381" max="5381" width="11.5703125" bestFit="1" customWidth="1"/>
    <col min="5382" max="5382" width="10.28515625" bestFit="1" customWidth="1"/>
    <col min="5383" max="5383" width="11.5703125" bestFit="1" customWidth="1"/>
    <col min="5384" max="5384" width="10.28515625" bestFit="1" customWidth="1"/>
    <col min="5385" max="5385" width="19.7109375" customWidth="1"/>
    <col min="5386" max="5386" width="14.5703125" bestFit="1" customWidth="1"/>
    <col min="5387" max="5387" width="11.5703125" bestFit="1" customWidth="1"/>
    <col min="5636" max="5636" width="62.140625" bestFit="1" customWidth="1"/>
    <col min="5637" max="5637" width="11.5703125" bestFit="1" customWidth="1"/>
    <col min="5638" max="5638" width="10.28515625" bestFit="1" customWidth="1"/>
    <col min="5639" max="5639" width="11.5703125" bestFit="1" customWidth="1"/>
    <col min="5640" max="5640" width="10.28515625" bestFit="1" customWidth="1"/>
    <col min="5641" max="5641" width="19.7109375" customWidth="1"/>
    <col min="5642" max="5642" width="14.5703125" bestFit="1" customWidth="1"/>
    <col min="5643" max="5643" width="11.5703125" bestFit="1" customWidth="1"/>
    <col min="5892" max="5892" width="62.140625" bestFit="1" customWidth="1"/>
    <col min="5893" max="5893" width="11.5703125" bestFit="1" customWidth="1"/>
    <col min="5894" max="5894" width="10.28515625" bestFit="1" customWidth="1"/>
    <col min="5895" max="5895" width="11.5703125" bestFit="1" customWidth="1"/>
    <col min="5896" max="5896" width="10.28515625" bestFit="1" customWidth="1"/>
    <col min="5897" max="5897" width="19.7109375" customWidth="1"/>
    <col min="5898" max="5898" width="14.5703125" bestFit="1" customWidth="1"/>
    <col min="5899" max="5899" width="11.5703125" bestFit="1" customWidth="1"/>
    <col min="6148" max="6148" width="62.140625" bestFit="1" customWidth="1"/>
    <col min="6149" max="6149" width="11.5703125" bestFit="1" customWidth="1"/>
    <col min="6150" max="6150" width="10.28515625" bestFit="1" customWidth="1"/>
    <col min="6151" max="6151" width="11.5703125" bestFit="1" customWidth="1"/>
    <col min="6152" max="6152" width="10.28515625" bestFit="1" customWidth="1"/>
    <col min="6153" max="6153" width="19.7109375" customWidth="1"/>
    <col min="6154" max="6154" width="14.5703125" bestFit="1" customWidth="1"/>
    <col min="6155" max="6155" width="11.5703125" bestFit="1" customWidth="1"/>
    <col min="6404" max="6404" width="62.140625" bestFit="1" customWidth="1"/>
    <col min="6405" max="6405" width="11.5703125" bestFit="1" customWidth="1"/>
    <col min="6406" max="6406" width="10.28515625" bestFit="1" customWidth="1"/>
    <col min="6407" max="6407" width="11.5703125" bestFit="1" customWidth="1"/>
    <col min="6408" max="6408" width="10.28515625" bestFit="1" customWidth="1"/>
    <col min="6409" max="6409" width="19.7109375" customWidth="1"/>
    <col min="6410" max="6410" width="14.5703125" bestFit="1" customWidth="1"/>
    <col min="6411" max="6411" width="11.5703125" bestFit="1" customWidth="1"/>
    <col min="6660" max="6660" width="62.140625" bestFit="1" customWidth="1"/>
    <col min="6661" max="6661" width="11.5703125" bestFit="1" customWidth="1"/>
    <col min="6662" max="6662" width="10.28515625" bestFit="1" customWidth="1"/>
    <col min="6663" max="6663" width="11.5703125" bestFit="1" customWidth="1"/>
    <col min="6664" max="6664" width="10.28515625" bestFit="1" customWidth="1"/>
    <col min="6665" max="6665" width="19.7109375" customWidth="1"/>
    <col min="6666" max="6666" width="14.5703125" bestFit="1" customWidth="1"/>
    <col min="6667" max="6667" width="11.5703125" bestFit="1" customWidth="1"/>
    <col min="6916" max="6916" width="62.140625" bestFit="1" customWidth="1"/>
    <col min="6917" max="6917" width="11.5703125" bestFit="1" customWidth="1"/>
    <col min="6918" max="6918" width="10.28515625" bestFit="1" customWidth="1"/>
    <col min="6919" max="6919" width="11.5703125" bestFit="1" customWidth="1"/>
    <col min="6920" max="6920" width="10.28515625" bestFit="1" customWidth="1"/>
    <col min="6921" max="6921" width="19.7109375" customWidth="1"/>
    <col min="6922" max="6922" width="14.5703125" bestFit="1" customWidth="1"/>
    <col min="6923" max="6923" width="11.5703125" bestFit="1" customWidth="1"/>
    <col min="7172" max="7172" width="62.140625" bestFit="1" customWidth="1"/>
    <col min="7173" max="7173" width="11.5703125" bestFit="1" customWidth="1"/>
    <col min="7174" max="7174" width="10.28515625" bestFit="1" customWidth="1"/>
    <col min="7175" max="7175" width="11.5703125" bestFit="1" customWidth="1"/>
    <col min="7176" max="7176" width="10.28515625" bestFit="1" customWidth="1"/>
    <col min="7177" max="7177" width="19.7109375" customWidth="1"/>
    <col min="7178" max="7178" width="14.5703125" bestFit="1" customWidth="1"/>
    <col min="7179" max="7179" width="11.5703125" bestFit="1" customWidth="1"/>
    <col min="7428" max="7428" width="62.140625" bestFit="1" customWidth="1"/>
    <col min="7429" max="7429" width="11.5703125" bestFit="1" customWidth="1"/>
    <col min="7430" max="7430" width="10.28515625" bestFit="1" customWidth="1"/>
    <col min="7431" max="7431" width="11.5703125" bestFit="1" customWidth="1"/>
    <col min="7432" max="7432" width="10.28515625" bestFit="1" customWidth="1"/>
    <col min="7433" max="7433" width="19.7109375" customWidth="1"/>
    <col min="7434" max="7434" width="14.5703125" bestFit="1" customWidth="1"/>
    <col min="7435" max="7435" width="11.5703125" bestFit="1" customWidth="1"/>
    <col min="7684" max="7684" width="62.140625" bestFit="1" customWidth="1"/>
    <col min="7685" max="7685" width="11.5703125" bestFit="1" customWidth="1"/>
    <col min="7686" max="7686" width="10.28515625" bestFit="1" customWidth="1"/>
    <col min="7687" max="7687" width="11.5703125" bestFit="1" customWidth="1"/>
    <col min="7688" max="7688" width="10.28515625" bestFit="1" customWidth="1"/>
    <col min="7689" max="7689" width="19.7109375" customWidth="1"/>
    <col min="7690" max="7690" width="14.5703125" bestFit="1" customWidth="1"/>
    <col min="7691" max="7691" width="11.5703125" bestFit="1" customWidth="1"/>
    <col min="7940" max="7940" width="62.140625" bestFit="1" customWidth="1"/>
    <col min="7941" max="7941" width="11.5703125" bestFit="1" customWidth="1"/>
    <col min="7942" max="7942" width="10.28515625" bestFit="1" customWidth="1"/>
    <col min="7943" max="7943" width="11.5703125" bestFit="1" customWidth="1"/>
    <col min="7944" max="7944" width="10.28515625" bestFit="1" customWidth="1"/>
    <col min="7945" max="7945" width="19.7109375" customWidth="1"/>
    <col min="7946" max="7946" width="14.5703125" bestFit="1" customWidth="1"/>
    <col min="7947" max="7947" width="11.5703125" bestFit="1" customWidth="1"/>
    <col min="8196" max="8196" width="62.140625" bestFit="1" customWidth="1"/>
    <col min="8197" max="8197" width="11.5703125" bestFit="1" customWidth="1"/>
    <col min="8198" max="8198" width="10.28515625" bestFit="1" customWidth="1"/>
    <col min="8199" max="8199" width="11.5703125" bestFit="1" customWidth="1"/>
    <col min="8200" max="8200" width="10.28515625" bestFit="1" customWidth="1"/>
    <col min="8201" max="8201" width="19.7109375" customWidth="1"/>
    <col min="8202" max="8202" width="14.5703125" bestFit="1" customWidth="1"/>
    <col min="8203" max="8203" width="11.5703125" bestFit="1" customWidth="1"/>
    <col min="8452" max="8452" width="62.140625" bestFit="1" customWidth="1"/>
    <col min="8453" max="8453" width="11.5703125" bestFit="1" customWidth="1"/>
    <col min="8454" max="8454" width="10.28515625" bestFit="1" customWidth="1"/>
    <col min="8455" max="8455" width="11.5703125" bestFit="1" customWidth="1"/>
    <col min="8456" max="8456" width="10.28515625" bestFit="1" customWidth="1"/>
    <col min="8457" max="8457" width="19.7109375" customWidth="1"/>
    <col min="8458" max="8458" width="14.5703125" bestFit="1" customWidth="1"/>
    <col min="8459" max="8459" width="11.5703125" bestFit="1" customWidth="1"/>
    <col min="8708" max="8708" width="62.140625" bestFit="1" customWidth="1"/>
    <col min="8709" max="8709" width="11.5703125" bestFit="1" customWidth="1"/>
    <col min="8710" max="8710" width="10.28515625" bestFit="1" customWidth="1"/>
    <col min="8711" max="8711" width="11.5703125" bestFit="1" customWidth="1"/>
    <col min="8712" max="8712" width="10.28515625" bestFit="1" customWidth="1"/>
    <col min="8713" max="8713" width="19.7109375" customWidth="1"/>
    <col min="8714" max="8714" width="14.5703125" bestFit="1" customWidth="1"/>
    <col min="8715" max="8715" width="11.5703125" bestFit="1" customWidth="1"/>
    <col min="8964" max="8964" width="62.140625" bestFit="1" customWidth="1"/>
    <col min="8965" max="8965" width="11.5703125" bestFit="1" customWidth="1"/>
    <col min="8966" max="8966" width="10.28515625" bestFit="1" customWidth="1"/>
    <col min="8967" max="8967" width="11.5703125" bestFit="1" customWidth="1"/>
    <col min="8968" max="8968" width="10.28515625" bestFit="1" customWidth="1"/>
    <col min="8969" max="8969" width="19.7109375" customWidth="1"/>
    <col min="8970" max="8970" width="14.5703125" bestFit="1" customWidth="1"/>
    <col min="8971" max="8971" width="11.5703125" bestFit="1" customWidth="1"/>
    <col min="9220" max="9220" width="62.140625" bestFit="1" customWidth="1"/>
    <col min="9221" max="9221" width="11.5703125" bestFit="1" customWidth="1"/>
    <col min="9222" max="9222" width="10.28515625" bestFit="1" customWidth="1"/>
    <col min="9223" max="9223" width="11.5703125" bestFit="1" customWidth="1"/>
    <col min="9224" max="9224" width="10.28515625" bestFit="1" customWidth="1"/>
    <col min="9225" max="9225" width="19.7109375" customWidth="1"/>
    <col min="9226" max="9226" width="14.5703125" bestFit="1" customWidth="1"/>
    <col min="9227" max="9227" width="11.5703125" bestFit="1" customWidth="1"/>
    <col min="9476" max="9476" width="62.140625" bestFit="1" customWidth="1"/>
    <col min="9477" max="9477" width="11.5703125" bestFit="1" customWidth="1"/>
    <col min="9478" max="9478" width="10.28515625" bestFit="1" customWidth="1"/>
    <col min="9479" max="9479" width="11.5703125" bestFit="1" customWidth="1"/>
    <col min="9480" max="9480" width="10.28515625" bestFit="1" customWidth="1"/>
    <col min="9481" max="9481" width="19.7109375" customWidth="1"/>
    <col min="9482" max="9482" width="14.5703125" bestFit="1" customWidth="1"/>
    <col min="9483" max="9483" width="11.5703125" bestFit="1" customWidth="1"/>
    <col min="9732" max="9732" width="62.140625" bestFit="1" customWidth="1"/>
    <col min="9733" max="9733" width="11.5703125" bestFit="1" customWidth="1"/>
    <col min="9734" max="9734" width="10.28515625" bestFit="1" customWidth="1"/>
    <col min="9735" max="9735" width="11.5703125" bestFit="1" customWidth="1"/>
    <col min="9736" max="9736" width="10.28515625" bestFit="1" customWidth="1"/>
    <col min="9737" max="9737" width="19.7109375" customWidth="1"/>
    <col min="9738" max="9738" width="14.5703125" bestFit="1" customWidth="1"/>
    <col min="9739" max="9739" width="11.5703125" bestFit="1" customWidth="1"/>
    <col min="9988" max="9988" width="62.140625" bestFit="1" customWidth="1"/>
    <col min="9989" max="9989" width="11.5703125" bestFit="1" customWidth="1"/>
    <col min="9990" max="9990" width="10.28515625" bestFit="1" customWidth="1"/>
    <col min="9991" max="9991" width="11.5703125" bestFit="1" customWidth="1"/>
    <col min="9992" max="9992" width="10.28515625" bestFit="1" customWidth="1"/>
    <col min="9993" max="9993" width="19.7109375" customWidth="1"/>
    <col min="9994" max="9994" width="14.5703125" bestFit="1" customWidth="1"/>
    <col min="9995" max="9995" width="11.5703125" bestFit="1" customWidth="1"/>
    <col min="10244" max="10244" width="62.140625" bestFit="1" customWidth="1"/>
    <col min="10245" max="10245" width="11.5703125" bestFit="1" customWidth="1"/>
    <col min="10246" max="10246" width="10.28515625" bestFit="1" customWidth="1"/>
    <col min="10247" max="10247" width="11.5703125" bestFit="1" customWidth="1"/>
    <col min="10248" max="10248" width="10.28515625" bestFit="1" customWidth="1"/>
    <col min="10249" max="10249" width="19.7109375" customWidth="1"/>
    <col min="10250" max="10250" width="14.5703125" bestFit="1" customWidth="1"/>
    <col min="10251" max="10251" width="11.5703125" bestFit="1" customWidth="1"/>
    <col min="10500" max="10500" width="62.140625" bestFit="1" customWidth="1"/>
    <col min="10501" max="10501" width="11.5703125" bestFit="1" customWidth="1"/>
    <col min="10502" max="10502" width="10.28515625" bestFit="1" customWidth="1"/>
    <col min="10503" max="10503" width="11.5703125" bestFit="1" customWidth="1"/>
    <col min="10504" max="10504" width="10.28515625" bestFit="1" customWidth="1"/>
    <col min="10505" max="10505" width="19.7109375" customWidth="1"/>
    <col min="10506" max="10506" width="14.5703125" bestFit="1" customWidth="1"/>
    <col min="10507" max="10507" width="11.5703125" bestFit="1" customWidth="1"/>
    <col min="10756" max="10756" width="62.140625" bestFit="1" customWidth="1"/>
    <col min="10757" max="10757" width="11.5703125" bestFit="1" customWidth="1"/>
    <col min="10758" max="10758" width="10.28515625" bestFit="1" customWidth="1"/>
    <col min="10759" max="10759" width="11.5703125" bestFit="1" customWidth="1"/>
    <col min="10760" max="10760" width="10.28515625" bestFit="1" customWidth="1"/>
    <col min="10761" max="10761" width="19.7109375" customWidth="1"/>
    <col min="10762" max="10762" width="14.5703125" bestFit="1" customWidth="1"/>
    <col min="10763" max="10763" width="11.5703125" bestFit="1" customWidth="1"/>
    <col min="11012" max="11012" width="62.140625" bestFit="1" customWidth="1"/>
    <col min="11013" max="11013" width="11.5703125" bestFit="1" customWidth="1"/>
    <col min="11014" max="11014" width="10.28515625" bestFit="1" customWidth="1"/>
    <col min="11015" max="11015" width="11.5703125" bestFit="1" customWidth="1"/>
    <col min="11016" max="11016" width="10.28515625" bestFit="1" customWidth="1"/>
    <col min="11017" max="11017" width="19.7109375" customWidth="1"/>
    <col min="11018" max="11018" width="14.5703125" bestFit="1" customWidth="1"/>
    <col min="11019" max="11019" width="11.5703125" bestFit="1" customWidth="1"/>
    <col min="11268" max="11268" width="62.140625" bestFit="1" customWidth="1"/>
    <col min="11269" max="11269" width="11.5703125" bestFit="1" customWidth="1"/>
    <col min="11270" max="11270" width="10.28515625" bestFit="1" customWidth="1"/>
    <col min="11271" max="11271" width="11.5703125" bestFit="1" customWidth="1"/>
    <col min="11272" max="11272" width="10.28515625" bestFit="1" customWidth="1"/>
    <col min="11273" max="11273" width="19.7109375" customWidth="1"/>
    <col min="11274" max="11274" width="14.5703125" bestFit="1" customWidth="1"/>
    <col min="11275" max="11275" width="11.5703125" bestFit="1" customWidth="1"/>
    <col min="11524" max="11524" width="62.140625" bestFit="1" customWidth="1"/>
    <col min="11525" max="11525" width="11.5703125" bestFit="1" customWidth="1"/>
    <col min="11526" max="11526" width="10.28515625" bestFit="1" customWidth="1"/>
    <col min="11527" max="11527" width="11.5703125" bestFit="1" customWidth="1"/>
    <col min="11528" max="11528" width="10.28515625" bestFit="1" customWidth="1"/>
    <col min="11529" max="11529" width="19.7109375" customWidth="1"/>
    <col min="11530" max="11530" width="14.5703125" bestFit="1" customWidth="1"/>
    <col min="11531" max="11531" width="11.5703125" bestFit="1" customWidth="1"/>
    <col min="11780" max="11780" width="62.140625" bestFit="1" customWidth="1"/>
    <col min="11781" max="11781" width="11.5703125" bestFit="1" customWidth="1"/>
    <col min="11782" max="11782" width="10.28515625" bestFit="1" customWidth="1"/>
    <col min="11783" max="11783" width="11.5703125" bestFit="1" customWidth="1"/>
    <col min="11784" max="11784" width="10.28515625" bestFit="1" customWidth="1"/>
    <col min="11785" max="11785" width="19.7109375" customWidth="1"/>
    <col min="11786" max="11786" width="14.5703125" bestFit="1" customWidth="1"/>
    <col min="11787" max="11787" width="11.5703125" bestFit="1" customWidth="1"/>
    <col min="12036" max="12036" width="62.140625" bestFit="1" customWidth="1"/>
    <col min="12037" max="12037" width="11.5703125" bestFit="1" customWidth="1"/>
    <col min="12038" max="12038" width="10.28515625" bestFit="1" customWidth="1"/>
    <col min="12039" max="12039" width="11.5703125" bestFit="1" customWidth="1"/>
    <col min="12040" max="12040" width="10.28515625" bestFit="1" customWidth="1"/>
    <col min="12041" max="12041" width="19.7109375" customWidth="1"/>
    <col min="12042" max="12042" width="14.5703125" bestFit="1" customWidth="1"/>
    <col min="12043" max="12043" width="11.5703125" bestFit="1" customWidth="1"/>
    <col min="12292" max="12292" width="62.140625" bestFit="1" customWidth="1"/>
    <col min="12293" max="12293" width="11.5703125" bestFit="1" customWidth="1"/>
    <col min="12294" max="12294" width="10.28515625" bestFit="1" customWidth="1"/>
    <col min="12295" max="12295" width="11.5703125" bestFit="1" customWidth="1"/>
    <col min="12296" max="12296" width="10.28515625" bestFit="1" customWidth="1"/>
    <col min="12297" max="12297" width="19.7109375" customWidth="1"/>
    <col min="12298" max="12298" width="14.5703125" bestFit="1" customWidth="1"/>
    <col min="12299" max="12299" width="11.5703125" bestFit="1" customWidth="1"/>
    <col min="12548" max="12548" width="62.140625" bestFit="1" customWidth="1"/>
    <col min="12549" max="12549" width="11.5703125" bestFit="1" customWidth="1"/>
    <col min="12550" max="12550" width="10.28515625" bestFit="1" customWidth="1"/>
    <col min="12551" max="12551" width="11.5703125" bestFit="1" customWidth="1"/>
    <col min="12552" max="12552" width="10.28515625" bestFit="1" customWidth="1"/>
    <col min="12553" max="12553" width="19.7109375" customWidth="1"/>
    <col min="12554" max="12554" width="14.5703125" bestFit="1" customWidth="1"/>
    <col min="12555" max="12555" width="11.5703125" bestFit="1" customWidth="1"/>
    <col min="12804" max="12804" width="62.140625" bestFit="1" customWidth="1"/>
    <col min="12805" max="12805" width="11.5703125" bestFit="1" customWidth="1"/>
    <col min="12806" max="12806" width="10.28515625" bestFit="1" customWidth="1"/>
    <col min="12807" max="12807" width="11.5703125" bestFit="1" customWidth="1"/>
    <col min="12808" max="12808" width="10.28515625" bestFit="1" customWidth="1"/>
    <col min="12809" max="12809" width="19.7109375" customWidth="1"/>
    <col min="12810" max="12810" width="14.5703125" bestFit="1" customWidth="1"/>
    <col min="12811" max="12811" width="11.5703125" bestFit="1" customWidth="1"/>
    <col min="13060" max="13060" width="62.140625" bestFit="1" customWidth="1"/>
    <col min="13061" max="13061" width="11.5703125" bestFit="1" customWidth="1"/>
    <col min="13062" max="13062" width="10.28515625" bestFit="1" customWidth="1"/>
    <col min="13063" max="13063" width="11.5703125" bestFit="1" customWidth="1"/>
    <col min="13064" max="13064" width="10.28515625" bestFit="1" customWidth="1"/>
    <col min="13065" max="13065" width="19.7109375" customWidth="1"/>
    <col min="13066" max="13066" width="14.5703125" bestFit="1" customWidth="1"/>
    <col min="13067" max="13067" width="11.5703125" bestFit="1" customWidth="1"/>
    <col min="13316" max="13316" width="62.140625" bestFit="1" customWidth="1"/>
    <col min="13317" max="13317" width="11.5703125" bestFit="1" customWidth="1"/>
    <col min="13318" max="13318" width="10.28515625" bestFit="1" customWidth="1"/>
    <col min="13319" max="13319" width="11.5703125" bestFit="1" customWidth="1"/>
    <col min="13320" max="13320" width="10.28515625" bestFit="1" customWidth="1"/>
    <col min="13321" max="13321" width="19.7109375" customWidth="1"/>
    <col min="13322" max="13322" width="14.5703125" bestFit="1" customWidth="1"/>
    <col min="13323" max="13323" width="11.5703125" bestFit="1" customWidth="1"/>
    <col min="13572" max="13572" width="62.140625" bestFit="1" customWidth="1"/>
    <col min="13573" max="13573" width="11.5703125" bestFit="1" customWidth="1"/>
    <col min="13574" max="13574" width="10.28515625" bestFit="1" customWidth="1"/>
    <col min="13575" max="13575" width="11.5703125" bestFit="1" customWidth="1"/>
    <col min="13576" max="13576" width="10.28515625" bestFit="1" customWidth="1"/>
    <col min="13577" max="13577" width="19.7109375" customWidth="1"/>
    <col min="13578" max="13578" width="14.5703125" bestFit="1" customWidth="1"/>
    <col min="13579" max="13579" width="11.5703125" bestFit="1" customWidth="1"/>
    <col min="13828" max="13828" width="62.140625" bestFit="1" customWidth="1"/>
    <col min="13829" max="13829" width="11.5703125" bestFit="1" customWidth="1"/>
    <col min="13830" max="13830" width="10.28515625" bestFit="1" customWidth="1"/>
    <col min="13831" max="13831" width="11.5703125" bestFit="1" customWidth="1"/>
    <col min="13832" max="13832" width="10.28515625" bestFit="1" customWidth="1"/>
    <col min="13833" max="13833" width="19.7109375" customWidth="1"/>
    <col min="13834" max="13834" width="14.5703125" bestFit="1" customWidth="1"/>
    <col min="13835" max="13835" width="11.5703125" bestFit="1" customWidth="1"/>
    <col min="14084" max="14084" width="62.140625" bestFit="1" customWidth="1"/>
    <col min="14085" max="14085" width="11.5703125" bestFit="1" customWidth="1"/>
    <col min="14086" max="14086" width="10.28515625" bestFit="1" customWidth="1"/>
    <col min="14087" max="14087" width="11.5703125" bestFit="1" customWidth="1"/>
    <col min="14088" max="14088" width="10.28515625" bestFit="1" customWidth="1"/>
    <col min="14089" max="14089" width="19.7109375" customWidth="1"/>
    <col min="14090" max="14090" width="14.5703125" bestFit="1" customWidth="1"/>
    <col min="14091" max="14091" width="11.5703125" bestFit="1" customWidth="1"/>
    <col min="14340" max="14340" width="62.140625" bestFit="1" customWidth="1"/>
    <col min="14341" max="14341" width="11.5703125" bestFit="1" customWidth="1"/>
    <col min="14342" max="14342" width="10.28515625" bestFit="1" customWidth="1"/>
    <col min="14343" max="14343" width="11.5703125" bestFit="1" customWidth="1"/>
    <col min="14344" max="14344" width="10.28515625" bestFit="1" customWidth="1"/>
    <col min="14345" max="14345" width="19.7109375" customWidth="1"/>
    <col min="14346" max="14346" width="14.5703125" bestFit="1" customWidth="1"/>
    <col min="14347" max="14347" width="11.5703125" bestFit="1" customWidth="1"/>
    <col min="14596" max="14596" width="62.140625" bestFit="1" customWidth="1"/>
    <col min="14597" max="14597" width="11.5703125" bestFit="1" customWidth="1"/>
    <col min="14598" max="14598" width="10.28515625" bestFit="1" customWidth="1"/>
    <col min="14599" max="14599" width="11.5703125" bestFit="1" customWidth="1"/>
    <col min="14600" max="14600" width="10.28515625" bestFit="1" customWidth="1"/>
    <col min="14601" max="14601" width="19.7109375" customWidth="1"/>
    <col min="14602" max="14602" width="14.5703125" bestFit="1" customWidth="1"/>
    <col min="14603" max="14603" width="11.5703125" bestFit="1" customWidth="1"/>
    <col min="14852" max="14852" width="62.140625" bestFit="1" customWidth="1"/>
    <col min="14853" max="14853" width="11.5703125" bestFit="1" customWidth="1"/>
    <col min="14854" max="14854" width="10.28515625" bestFit="1" customWidth="1"/>
    <col min="14855" max="14855" width="11.5703125" bestFit="1" customWidth="1"/>
    <col min="14856" max="14856" width="10.28515625" bestFit="1" customWidth="1"/>
    <col min="14857" max="14857" width="19.7109375" customWidth="1"/>
    <col min="14858" max="14858" width="14.5703125" bestFit="1" customWidth="1"/>
    <col min="14859" max="14859" width="11.5703125" bestFit="1" customWidth="1"/>
    <col min="15108" max="15108" width="62.140625" bestFit="1" customWidth="1"/>
    <col min="15109" max="15109" width="11.5703125" bestFit="1" customWidth="1"/>
    <col min="15110" max="15110" width="10.28515625" bestFit="1" customWidth="1"/>
    <col min="15111" max="15111" width="11.5703125" bestFit="1" customWidth="1"/>
    <col min="15112" max="15112" width="10.28515625" bestFit="1" customWidth="1"/>
    <col min="15113" max="15113" width="19.7109375" customWidth="1"/>
    <col min="15114" max="15114" width="14.5703125" bestFit="1" customWidth="1"/>
    <col min="15115" max="15115" width="11.5703125" bestFit="1" customWidth="1"/>
    <col min="15364" max="15364" width="62.140625" bestFit="1" customWidth="1"/>
    <col min="15365" max="15365" width="11.5703125" bestFit="1" customWidth="1"/>
    <col min="15366" max="15366" width="10.28515625" bestFit="1" customWidth="1"/>
    <col min="15367" max="15367" width="11.5703125" bestFit="1" customWidth="1"/>
    <col min="15368" max="15368" width="10.28515625" bestFit="1" customWidth="1"/>
    <col min="15369" max="15369" width="19.7109375" customWidth="1"/>
    <col min="15370" max="15370" width="14.5703125" bestFit="1" customWidth="1"/>
    <col min="15371" max="15371" width="11.5703125" bestFit="1" customWidth="1"/>
    <col min="15620" max="15620" width="62.140625" bestFit="1" customWidth="1"/>
    <col min="15621" max="15621" width="11.5703125" bestFit="1" customWidth="1"/>
    <col min="15622" max="15622" width="10.28515625" bestFit="1" customWidth="1"/>
    <col min="15623" max="15623" width="11.5703125" bestFit="1" customWidth="1"/>
    <col min="15624" max="15624" width="10.28515625" bestFit="1" customWidth="1"/>
    <col min="15625" max="15625" width="19.7109375" customWidth="1"/>
    <col min="15626" max="15626" width="14.5703125" bestFit="1" customWidth="1"/>
    <col min="15627" max="15627" width="11.5703125" bestFit="1" customWidth="1"/>
    <col min="15876" max="15876" width="62.140625" bestFit="1" customWidth="1"/>
    <col min="15877" max="15877" width="11.5703125" bestFit="1" customWidth="1"/>
    <col min="15878" max="15878" width="10.28515625" bestFit="1" customWidth="1"/>
    <col min="15879" max="15879" width="11.5703125" bestFit="1" customWidth="1"/>
    <col min="15880" max="15880" width="10.28515625" bestFit="1" customWidth="1"/>
    <col min="15881" max="15881" width="19.7109375" customWidth="1"/>
    <col min="15882" max="15882" width="14.5703125" bestFit="1" customWidth="1"/>
    <col min="15883" max="15883" width="11.5703125" bestFit="1" customWidth="1"/>
    <col min="16132" max="16132" width="62.140625" bestFit="1" customWidth="1"/>
    <col min="16133" max="16133" width="11.5703125" bestFit="1" customWidth="1"/>
    <col min="16134" max="16134" width="10.28515625" bestFit="1" customWidth="1"/>
    <col min="16135" max="16135" width="11.5703125" bestFit="1" customWidth="1"/>
    <col min="16136" max="16136" width="10.28515625" bestFit="1" customWidth="1"/>
    <col min="16137" max="16137" width="19.7109375" customWidth="1"/>
    <col min="16138" max="16138" width="14.5703125" bestFit="1" customWidth="1"/>
    <col min="16139" max="16139" width="11.5703125" bestFit="1" customWidth="1"/>
  </cols>
  <sheetData>
    <row r="1" spans="1:28" s="27" customFormat="1" ht="20.25">
      <c r="A1" s="279" t="s">
        <v>0</v>
      </c>
      <c r="B1" s="280"/>
      <c r="C1" s="280"/>
      <c r="D1" s="280"/>
      <c r="E1" s="280"/>
      <c r="F1" s="280"/>
      <c r="G1" s="46"/>
      <c r="H1" s="46"/>
      <c r="I1" s="51"/>
      <c r="J1" s="26"/>
      <c r="K1" s="26"/>
    </row>
    <row r="2" spans="1:28" s="27" customFormat="1" ht="20.25">
      <c r="A2" s="281" t="s">
        <v>1</v>
      </c>
      <c r="B2" s="282"/>
      <c r="C2" s="282"/>
      <c r="D2" s="282"/>
      <c r="E2" s="282"/>
      <c r="F2" s="282"/>
      <c r="G2" s="47"/>
      <c r="H2" s="47"/>
      <c r="I2" s="52"/>
      <c r="J2" s="26"/>
      <c r="K2" s="26"/>
    </row>
    <row r="3" spans="1:28" s="27" customFormat="1" ht="20.25">
      <c r="A3" s="281" t="s">
        <v>126</v>
      </c>
      <c r="B3" s="282"/>
      <c r="C3" s="282"/>
      <c r="D3" s="282"/>
      <c r="E3" s="282"/>
      <c r="F3" s="282"/>
      <c r="G3" s="47"/>
      <c r="H3" s="47"/>
      <c r="I3" s="52"/>
      <c r="J3" s="26"/>
      <c r="K3" s="26"/>
    </row>
    <row r="4" spans="1:28" s="27" customFormat="1" ht="20.25">
      <c r="A4" s="283" t="s">
        <v>3</v>
      </c>
      <c r="B4" s="284"/>
      <c r="C4" s="284"/>
      <c r="D4" s="284"/>
      <c r="E4" s="284"/>
      <c r="F4" s="284"/>
      <c r="G4" s="48"/>
      <c r="H4" s="48"/>
      <c r="I4" s="53"/>
      <c r="J4" s="26"/>
      <c r="K4" s="26"/>
    </row>
    <row r="5" spans="1:28" s="27" customFormat="1" ht="20.25">
      <c r="A5" s="285" t="s">
        <v>4</v>
      </c>
      <c r="B5" s="286"/>
      <c r="C5" s="286"/>
      <c r="D5" s="286"/>
      <c r="E5" s="286"/>
      <c r="F5" s="286"/>
      <c r="G5" s="49"/>
      <c r="H5" s="49"/>
      <c r="I5" s="54"/>
      <c r="J5" s="26"/>
      <c r="K5" s="26"/>
    </row>
    <row r="6" spans="1:28" s="27" customFormat="1" ht="20.25">
      <c r="A6" s="277" t="s">
        <v>127</v>
      </c>
      <c r="B6" s="278"/>
      <c r="C6" s="278"/>
      <c r="D6" s="278"/>
      <c r="E6" s="278"/>
      <c r="F6" s="278"/>
      <c r="G6" s="50"/>
      <c r="H6" s="50"/>
      <c r="I6" s="55"/>
      <c r="J6" s="26"/>
      <c r="K6" s="26"/>
    </row>
    <row r="7" spans="1:28" s="27" customFormat="1" ht="20.25">
      <c r="A7" s="269" t="s">
        <v>384</v>
      </c>
      <c r="B7" s="270"/>
      <c r="C7" s="270"/>
      <c r="D7" s="270"/>
      <c r="E7" s="270"/>
      <c r="F7" s="270"/>
      <c r="G7" s="45"/>
      <c r="H7" s="45"/>
      <c r="I7" s="56"/>
      <c r="J7" s="26"/>
      <c r="K7" s="26"/>
    </row>
    <row r="8" spans="1:28" s="27" customFormat="1" ht="20.25">
      <c r="A8" s="28"/>
      <c r="B8" s="29"/>
      <c r="C8" s="29"/>
      <c r="D8" s="29"/>
      <c r="E8" s="29"/>
      <c r="F8" s="29"/>
      <c r="G8" s="29"/>
      <c r="H8" s="29"/>
      <c r="I8" s="57"/>
      <c r="J8" s="26"/>
      <c r="K8" s="26"/>
    </row>
    <row r="9" spans="1:28" s="27" customFormat="1" ht="26.25">
      <c r="A9" s="271" t="s">
        <v>128</v>
      </c>
      <c r="B9" s="271"/>
      <c r="C9" s="271"/>
      <c r="D9" s="271"/>
      <c r="E9" s="271"/>
      <c r="F9" s="271"/>
      <c r="G9" s="271"/>
      <c r="H9" s="271"/>
      <c r="I9" s="271"/>
      <c r="J9" s="30"/>
      <c r="K9" s="26"/>
    </row>
    <row r="10" spans="1:28" ht="15.75">
      <c r="A10" s="272" t="s">
        <v>7</v>
      </c>
      <c r="B10" s="272" t="s">
        <v>129</v>
      </c>
      <c r="C10" s="274" t="s">
        <v>130</v>
      </c>
      <c r="D10" s="275"/>
      <c r="E10" s="276" t="s">
        <v>131</v>
      </c>
      <c r="F10" s="275"/>
      <c r="G10" s="276" t="s">
        <v>148</v>
      </c>
      <c r="H10" s="275"/>
      <c r="I10" s="272" t="s">
        <v>132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5.75">
      <c r="A11" s="273"/>
      <c r="B11" s="273"/>
      <c r="C11" s="32" t="s">
        <v>133</v>
      </c>
      <c r="D11" s="33" t="s">
        <v>134</v>
      </c>
      <c r="E11" s="33" t="s">
        <v>133</v>
      </c>
      <c r="F11" s="33" t="s">
        <v>134</v>
      </c>
      <c r="G11" s="33" t="s">
        <v>133</v>
      </c>
      <c r="H11" s="33" t="s">
        <v>134</v>
      </c>
      <c r="I11" s="273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15.75">
      <c r="A12" s="13" t="s">
        <v>17</v>
      </c>
      <c r="B12" s="34" t="s">
        <v>18</v>
      </c>
      <c r="C12" s="35">
        <f t="shared" ref="C12:C18" si="0">D12*I12</f>
        <v>4924.6640000000007</v>
      </c>
      <c r="D12" s="36">
        <v>0.8</v>
      </c>
      <c r="E12" s="37">
        <f>F12*I12</f>
        <v>615.58300000000008</v>
      </c>
      <c r="F12" s="36">
        <v>0.1</v>
      </c>
      <c r="G12" s="37">
        <f t="shared" ref="G12:G18" si="1">H12*I12</f>
        <v>615.58300000000008</v>
      </c>
      <c r="H12" s="36">
        <v>0.1</v>
      </c>
      <c r="I12" s="38">
        <f>ORÇAMENTO!I22</f>
        <v>6155.83</v>
      </c>
      <c r="J12" s="39">
        <f t="shared" ref="J12:J18" si="2">C12+E12+G12</f>
        <v>6155.8300000000017</v>
      </c>
      <c r="K12" s="39">
        <v>0</v>
      </c>
      <c r="L12" s="3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ht="15.75">
      <c r="A13" s="40" t="s">
        <v>46</v>
      </c>
      <c r="B13" s="41" t="s">
        <v>47</v>
      </c>
      <c r="C13" s="35">
        <f t="shared" si="0"/>
        <v>0</v>
      </c>
      <c r="D13" s="36">
        <v>0</v>
      </c>
      <c r="E13" s="37">
        <f t="shared" ref="E13:E18" si="3">F13*I13</f>
        <v>5828.7000000000007</v>
      </c>
      <c r="F13" s="36">
        <v>0.4</v>
      </c>
      <c r="G13" s="37">
        <f t="shared" si="1"/>
        <v>8743.0499999999993</v>
      </c>
      <c r="H13" s="36">
        <v>0.6</v>
      </c>
      <c r="I13" s="38">
        <f>ORÇAMENTO!I27</f>
        <v>14571.75</v>
      </c>
      <c r="J13" s="39">
        <f t="shared" si="2"/>
        <v>14571.75</v>
      </c>
      <c r="K13" s="39">
        <v>0</v>
      </c>
      <c r="L13" s="3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ht="15.75">
      <c r="A14" s="40" t="s">
        <v>58</v>
      </c>
      <c r="B14" s="41" t="s">
        <v>59</v>
      </c>
      <c r="C14" s="35">
        <f t="shared" si="0"/>
        <v>0</v>
      </c>
      <c r="D14" s="36">
        <v>0</v>
      </c>
      <c r="E14" s="42">
        <f t="shared" si="3"/>
        <v>1605.588</v>
      </c>
      <c r="F14" s="36">
        <v>0.4</v>
      </c>
      <c r="G14" s="37">
        <f t="shared" si="1"/>
        <v>2408.3819999999996</v>
      </c>
      <c r="H14" s="36">
        <v>0.6</v>
      </c>
      <c r="I14" s="38">
        <f>ORÇAMENTO!I36</f>
        <v>4013.97</v>
      </c>
      <c r="J14" s="39">
        <f t="shared" si="2"/>
        <v>4013.9699999999993</v>
      </c>
      <c r="K14" s="39">
        <v>0</v>
      </c>
      <c r="L14" s="3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ht="15.75">
      <c r="A15" s="40" t="s">
        <v>80</v>
      </c>
      <c r="B15" s="41" t="s">
        <v>135</v>
      </c>
      <c r="C15" s="35">
        <f t="shared" si="0"/>
        <v>8840.42</v>
      </c>
      <c r="D15" s="36">
        <v>1</v>
      </c>
      <c r="E15" s="37">
        <f t="shared" si="3"/>
        <v>0</v>
      </c>
      <c r="F15" s="36">
        <v>0</v>
      </c>
      <c r="G15" s="37">
        <f t="shared" si="1"/>
        <v>0</v>
      </c>
      <c r="H15" s="36">
        <v>0</v>
      </c>
      <c r="I15" s="38">
        <f>ORÇAMENTO!I42</f>
        <v>8840.42</v>
      </c>
      <c r="J15" s="39">
        <f t="shared" si="2"/>
        <v>8840.42</v>
      </c>
      <c r="K15" s="39">
        <v>0</v>
      </c>
      <c r="L15" s="3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ht="15.75">
      <c r="A16" s="40" t="s">
        <v>94</v>
      </c>
      <c r="B16" s="41" t="s">
        <v>95</v>
      </c>
      <c r="C16" s="35">
        <f t="shared" si="0"/>
        <v>0</v>
      </c>
      <c r="D16" s="36">
        <v>0</v>
      </c>
      <c r="E16" s="37">
        <f t="shared" si="3"/>
        <v>3142.0224000000003</v>
      </c>
      <c r="F16" s="36">
        <v>0.66</v>
      </c>
      <c r="G16" s="37">
        <f t="shared" si="1"/>
        <v>1618.6176000000003</v>
      </c>
      <c r="H16" s="36">
        <v>0.34</v>
      </c>
      <c r="I16" s="38">
        <f>ORÇAMENTO!I45</f>
        <v>4760.6400000000003</v>
      </c>
      <c r="J16" s="39">
        <f t="shared" si="2"/>
        <v>4760.6400000000003</v>
      </c>
      <c r="K16" s="39">
        <v>0</v>
      </c>
      <c r="L16" s="3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ht="15.75">
      <c r="A17" s="40" t="s">
        <v>100</v>
      </c>
      <c r="B17" s="41" t="s">
        <v>101</v>
      </c>
      <c r="C17" s="35">
        <f t="shared" si="0"/>
        <v>0</v>
      </c>
      <c r="D17" s="36">
        <v>0</v>
      </c>
      <c r="E17" s="37">
        <f t="shared" si="3"/>
        <v>3389.7119999999995</v>
      </c>
      <c r="F17" s="36">
        <v>0.4</v>
      </c>
      <c r="G17" s="37">
        <f t="shared" si="1"/>
        <v>5084.5679999999993</v>
      </c>
      <c r="H17" s="36">
        <v>0.6</v>
      </c>
      <c r="I17" s="38">
        <f>ORÇAMENTO!I56</f>
        <v>8474.2799999999988</v>
      </c>
      <c r="J17" s="39">
        <f t="shared" si="2"/>
        <v>8474.2799999999988</v>
      </c>
      <c r="K17" s="39">
        <v>0</v>
      </c>
      <c r="L17" s="3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ht="15.75">
      <c r="A18" s="40" t="s">
        <v>119</v>
      </c>
      <c r="B18" s="41" t="s">
        <v>120</v>
      </c>
      <c r="C18" s="35">
        <f t="shared" si="0"/>
        <v>0</v>
      </c>
      <c r="D18" s="36">
        <v>0</v>
      </c>
      <c r="E18" s="37">
        <f t="shared" si="3"/>
        <v>332.45</v>
      </c>
      <c r="F18" s="36">
        <v>0.5</v>
      </c>
      <c r="G18" s="37">
        <f t="shared" si="1"/>
        <v>332.45</v>
      </c>
      <c r="H18" s="36">
        <v>0.5</v>
      </c>
      <c r="I18" s="38">
        <f>ORÇAMENTO!I59</f>
        <v>664.9</v>
      </c>
      <c r="J18" s="39">
        <f t="shared" si="2"/>
        <v>664.9</v>
      </c>
      <c r="K18" s="39">
        <v>0</v>
      </c>
      <c r="L18" s="3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ht="15.75">
      <c r="A19" s="43"/>
      <c r="B19" s="44"/>
      <c r="C19" s="44"/>
      <c r="D19" s="44"/>
      <c r="E19" s="44"/>
      <c r="F19" s="44"/>
      <c r="G19" s="44"/>
      <c r="H19" s="44"/>
      <c r="I19" s="38">
        <f>SUM(I12:I18)</f>
        <v>47481.79</v>
      </c>
      <c r="J19" s="39"/>
      <c r="K19" s="39"/>
      <c r="L19" s="3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ht="15.75">
      <c r="A20" s="266" t="s">
        <v>136</v>
      </c>
      <c r="B20" s="266"/>
      <c r="C20" s="267">
        <f>SUM(C12:C18)</f>
        <v>13765.084000000001</v>
      </c>
      <c r="D20" s="268"/>
      <c r="E20" s="267">
        <f>SUM(E12:E18)</f>
        <v>14914.055400000001</v>
      </c>
      <c r="F20" s="268"/>
      <c r="G20" s="267">
        <f>SUM(G12:G18)</f>
        <v>18802.650599999997</v>
      </c>
      <c r="H20" s="268"/>
      <c r="I20" s="259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ht="15.75">
      <c r="A21" s="262" t="s">
        <v>137</v>
      </c>
      <c r="B21" s="262"/>
      <c r="C21" s="263">
        <f>C20</f>
        <v>13765.084000000001</v>
      </c>
      <c r="D21" s="264"/>
      <c r="E21" s="263">
        <f>C21+E20</f>
        <v>28679.1394</v>
      </c>
      <c r="F21" s="264"/>
      <c r="G21" s="267">
        <f>E21+G20</f>
        <v>47481.789999999994</v>
      </c>
      <c r="H21" s="268"/>
      <c r="I21" s="26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ht="15.75">
      <c r="A22" s="265" t="s">
        <v>138</v>
      </c>
      <c r="B22" s="265"/>
      <c r="C22" s="257">
        <f>C20/I19</f>
        <v>0.28990238152352726</v>
      </c>
      <c r="D22" s="258"/>
      <c r="E22" s="257">
        <f>E20/I19</f>
        <v>0.31410052990841331</v>
      </c>
      <c r="F22" s="258"/>
      <c r="G22" s="257">
        <f>G20/I19</f>
        <v>0.39599708856805937</v>
      </c>
      <c r="H22" s="258"/>
      <c r="I22" s="260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5.75">
      <c r="A23" s="265" t="s">
        <v>139</v>
      </c>
      <c r="B23" s="265"/>
      <c r="C23" s="257">
        <f>C22</f>
        <v>0.28990238152352726</v>
      </c>
      <c r="D23" s="258"/>
      <c r="E23" s="257">
        <f>C23+E22</f>
        <v>0.60400291143194051</v>
      </c>
      <c r="F23" s="258"/>
      <c r="G23" s="257">
        <f>E23+G22</f>
        <v>0.99999999999999989</v>
      </c>
      <c r="H23" s="258"/>
      <c r="I23" s="26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</sheetData>
  <mergeCells count="31">
    <mergeCell ref="A6:F6"/>
    <mergeCell ref="A1:F1"/>
    <mergeCell ref="A2:F2"/>
    <mergeCell ref="A3:F3"/>
    <mergeCell ref="A4:F4"/>
    <mergeCell ref="A5:F5"/>
    <mergeCell ref="G22:H22"/>
    <mergeCell ref="A7:F7"/>
    <mergeCell ref="A9:I9"/>
    <mergeCell ref="A10:A11"/>
    <mergeCell ref="B10:B11"/>
    <mergeCell ref="C10:D10"/>
    <mergeCell ref="E10:F10"/>
    <mergeCell ref="I10:I11"/>
    <mergeCell ref="G10:H10"/>
    <mergeCell ref="G23:H23"/>
    <mergeCell ref="I20:I23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G20:H20"/>
    <mergeCell ref="G21:H21"/>
  </mergeCells>
  <pageMargins left="0.51181102362204722" right="0.51181102362204722" top="0.78740157480314965" bottom="0.78740157480314965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MEMÓRIA</vt:lpstr>
      <vt:lpstr>ORÇAMENTO</vt:lpstr>
      <vt:lpstr>CRONOGRAMA</vt:lpstr>
      <vt:lpstr>CRONOGRAMA!Area_de_impressao</vt:lpstr>
      <vt:lpstr>MEMÓRIA!Area_de_impressao</vt:lpstr>
      <vt:lpstr>ORÇAMENTO!Area_de_impressao</vt:lpstr>
      <vt:lpstr>MEMÓRIA!Titulos_de_impressao</vt:lpstr>
      <vt:lpstr>ORÇAMENTO!Titulos_de_impressao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Helia Carla de A. Calhau Ganem</dc:creator>
  <cp:lastModifiedBy>Alfredo Antonio Nicolau Macedo Cunha</cp:lastModifiedBy>
  <cp:lastPrinted>2022-03-16T15:01:40Z</cp:lastPrinted>
  <dcterms:created xsi:type="dcterms:W3CDTF">2021-11-11T16:53:32Z</dcterms:created>
  <dcterms:modified xsi:type="dcterms:W3CDTF">2022-03-16T16:35:05Z</dcterms:modified>
</cp:coreProperties>
</file>