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cunha\Google Drive\SMPU 2022\SALA DE VACINA 2022\"/>
    </mc:Choice>
  </mc:AlternateContent>
  <xr:revisionPtr revIDLastSave="0" documentId="13_ncr:1_{4CB985C4-CC93-472E-982A-74AA252C002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EMÓRIA DESONERADA" sheetId="3" r:id="rId1"/>
    <sheet name="PLANILHA ORÇAMENTÁRIA" sheetId="8" r:id="rId2"/>
    <sheet name="CRONOGRAMA" sheetId="2" r:id="rId3"/>
  </sheets>
  <definedNames>
    <definedName name="_xlnm.Print_Area" localSheetId="2">CRONOGRAMA!$A$1:$G$18</definedName>
    <definedName name="_xlnm.Print_Area" localSheetId="0">'MEMÓRIA DESONERADA'!$A$1:$I$316</definedName>
    <definedName name="_xlnm.Print_Area" localSheetId="1">'PLANILHA ORÇAMENTÁRIA'!$A$1:$I$57</definedName>
    <definedName name="_xlnm.Database">#REF!</definedName>
    <definedName name="orcamento">#REF!</definedName>
    <definedName name="_xlnm.Print_Titles" localSheetId="0">'MEMÓRIA DESONERADA'!$10:$11</definedName>
    <definedName name="_xlnm.Print_Titles" localSheetId="1">'PLANILHA ORÇAMENTÁRIA'!$1:$11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8" l="1"/>
  <c r="G13" i="2" s="1"/>
  <c r="E13" i="2" s="1"/>
  <c r="H13" i="2" s="1"/>
  <c r="I13" i="2" s="1"/>
  <c r="H56" i="8"/>
  <c r="G52" i="8"/>
  <c r="I52" i="8" s="1"/>
  <c r="H52" i="8"/>
  <c r="G53" i="8"/>
  <c r="H53" i="8"/>
  <c r="I53" i="8"/>
  <c r="G54" i="8"/>
  <c r="H54" i="8"/>
  <c r="I54" i="8"/>
  <c r="G55" i="8"/>
  <c r="I55" i="8" s="1"/>
  <c r="H55" i="8"/>
  <c r="F55" i="8"/>
  <c r="F54" i="8"/>
  <c r="F53" i="8"/>
  <c r="F52" i="8"/>
  <c r="E309" i="3"/>
  <c r="G315" i="3"/>
  <c r="G314" i="3"/>
  <c r="F314" i="3"/>
  <c r="G313" i="3"/>
  <c r="F313" i="3"/>
  <c r="G312" i="3"/>
  <c r="F312" i="3"/>
  <c r="G311" i="3"/>
  <c r="F311" i="3"/>
  <c r="F310" i="3"/>
  <c r="G310" i="3" s="1"/>
  <c r="F307" i="3"/>
  <c r="G307" i="3" s="1"/>
  <c r="G308" i="3" s="1"/>
  <c r="F306" i="3" s="1"/>
  <c r="F305" i="3" s="1"/>
  <c r="E298" i="3"/>
  <c r="F303" i="3"/>
  <c r="G303" i="3" s="1"/>
  <c r="F302" i="3"/>
  <c r="G302" i="3" s="1"/>
  <c r="F301" i="3"/>
  <c r="G301" i="3" s="1"/>
  <c r="F300" i="3"/>
  <c r="G300" i="3" s="1"/>
  <c r="F299" i="3"/>
  <c r="G299" i="3" s="1"/>
  <c r="G296" i="3"/>
  <c r="G297" i="3" s="1"/>
  <c r="F295" i="3" s="1"/>
  <c r="F296" i="3"/>
  <c r="E286" i="3"/>
  <c r="F292" i="3"/>
  <c r="G292" i="3" s="1"/>
  <c r="F291" i="3"/>
  <c r="G291" i="3" s="1"/>
  <c r="F290" i="3"/>
  <c r="G290" i="3" s="1"/>
  <c r="F289" i="3"/>
  <c r="G289" i="3" s="1"/>
  <c r="F288" i="3"/>
  <c r="G288" i="3" s="1"/>
  <c r="F284" i="3"/>
  <c r="G284" i="3" s="1"/>
  <c r="F283" i="3"/>
  <c r="G283" i="3" s="1"/>
  <c r="F282" i="3"/>
  <c r="G282" i="3" s="1"/>
  <c r="F281" i="3"/>
  <c r="G281" i="3" s="1"/>
  <c r="F280" i="3"/>
  <c r="G280" i="3" s="1"/>
  <c r="F276" i="3"/>
  <c r="G276" i="3" s="1"/>
  <c r="F275" i="3"/>
  <c r="G275" i="3" s="1"/>
  <c r="F274" i="3"/>
  <c r="G274" i="3" s="1"/>
  <c r="F273" i="3"/>
  <c r="G273" i="3" s="1"/>
  <c r="F272" i="3"/>
  <c r="G272" i="3" s="1"/>
  <c r="F271" i="3"/>
  <c r="F270" i="3" s="1"/>
  <c r="F49" i="8" s="1"/>
  <c r="F268" i="3"/>
  <c r="G268" i="3" s="1"/>
  <c r="F267" i="3"/>
  <c r="G267" i="3" s="1"/>
  <c r="F266" i="3"/>
  <c r="G266" i="3" s="1"/>
  <c r="F265" i="3"/>
  <c r="G265" i="3" s="1"/>
  <c r="F264" i="3"/>
  <c r="G264" i="3" s="1"/>
  <c r="F263" i="3"/>
  <c r="G263" i="3" s="1"/>
  <c r="F262" i="3"/>
  <c r="G262" i="3" s="1"/>
  <c r="F261" i="3"/>
  <c r="F258" i="3"/>
  <c r="G258" i="3" s="1"/>
  <c r="F257" i="3"/>
  <c r="G257" i="3" s="1"/>
  <c r="F256" i="3"/>
  <c r="G256" i="3" s="1"/>
  <c r="F255" i="3"/>
  <c r="G255" i="3" s="1"/>
  <c r="F254" i="3"/>
  <c r="G254" i="3" s="1"/>
  <c r="F248" i="3"/>
  <c r="G248" i="3" s="1"/>
  <c r="F247" i="3"/>
  <c r="G247" i="3" s="1"/>
  <c r="F246" i="3"/>
  <c r="G246" i="3" s="1"/>
  <c r="F245" i="3"/>
  <c r="G245" i="3" s="1"/>
  <c r="F244" i="3"/>
  <c r="G244" i="3" s="1"/>
  <c r="F243" i="3"/>
  <c r="G243" i="3" s="1"/>
  <c r="F242" i="3"/>
  <c r="G242" i="3" s="1"/>
  <c r="F241" i="3"/>
  <c r="G241" i="3" s="1"/>
  <c r="F240" i="3"/>
  <c r="G240" i="3" s="1"/>
  <c r="F239" i="3"/>
  <c r="G239" i="3" s="1"/>
  <c r="F235" i="3"/>
  <c r="G235" i="3" s="1"/>
  <c r="F234" i="3"/>
  <c r="G234" i="3" s="1"/>
  <c r="F233" i="3"/>
  <c r="G233" i="3" s="1"/>
  <c r="F232" i="3"/>
  <c r="G232" i="3" s="1"/>
  <c r="F231" i="3"/>
  <c r="G231" i="3" s="1"/>
  <c r="F23" i="3"/>
  <c r="G23" i="3" s="1"/>
  <c r="F22" i="3"/>
  <c r="G22" i="3" s="1"/>
  <c r="F21" i="3"/>
  <c r="G21" i="3" s="1"/>
  <c r="F20" i="3"/>
  <c r="G20" i="3" s="1"/>
  <c r="F17" i="3"/>
  <c r="G17" i="3" s="1"/>
  <c r="F16" i="3"/>
  <c r="G16" i="3" s="1"/>
  <c r="F15" i="3"/>
  <c r="G15" i="3" s="1"/>
  <c r="F14" i="3"/>
  <c r="G14" i="3" s="1"/>
  <c r="F215" i="3"/>
  <c r="G215" i="3" s="1"/>
  <c r="F214" i="3"/>
  <c r="G214" i="3" s="1"/>
  <c r="F213" i="3"/>
  <c r="G213" i="3" s="1"/>
  <c r="F209" i="3"/>
  <c r="G209" i="3" s="1"/>
  <c r="F208" i="3"/>
  <c r="G208" i="3" s="1"/>
  <c r="F207" i="3"/>
  <c r="G207" i="3" s="1"/>
  <c r="F197" i="3"/>
  <c r="G197" i="3" s="1"/>
  <c r="F196" i="3"/>
  <c r="G196" i="3" s="1"/>
  <c r="F195" i="3"/>
  <c r="G195" i="3" s="1"/>
  <c r="F191" i="3"/>
  <c r="G191" i="3" s="1"/>
  <c r="F190" i="3"/>
  <c r="G190" i="3" s="1"/>
  <c r="F189" i="3"/>
  <c r="G189" i="3" s="1"/>
  <c r="F188" i="3"/>
  <c r="G188" i="3" s="1"/>
  <c r="F164" i="3"/>
  <c r="G164" i="3" s="1"/>
  <c r="F163" i="3"/>
  <c r="G163" i="3" s="1"/>
  <c r="F162" i="3"/>
  <c r="G162" i="3" s="1"/>
  <c r="F161" i="3"/>
  <c r="G161" i="3" s="1"/>
  <c r="F157" i="3"/>
  <c r="G157" i="3" s="1"/>
  <c r="F156" i="3"/>
  <c r="G156" i="3" s="1"/>
  <c r="F155" i="3"/>
  <c r="G155" i="3" s="1"/>
  <c r="F154" i="3"/>
  <c r="G154" i="3" s="1"/>
  <c r="F153" i="3"/>
  <c r="G153" i="3" s="1"/>
  <c r="F150" i="3"/>
  <c r="G150" i="3" s="1"/>
  <c r="F149" i="3"/>
  <c r="G149" i="3" s="1"/>
  <c r="F148" i="3"/>
  <c r="G148" i="3" s="1"/>
  <c r="F147" i="3"/>
  <c r="G147" i="3" s="1"/>
  <c r="F146" i="3"/>
  <c r="G146" i="3" s="1"/>
  <c r="F143" i="3"/>
  <c r="G143" i="3" s="1"/>
  <c r="F142" i="3"/>
  <c r="G142" i="3" s="1"/>
  <c r="F141" i="3"/>
  <c r="G141" i="3" s="1"/>
  <c r="F140" i="3"/>
  <c r="G140" i="3" s="1"/>
  <c r="F139" i="3"/>
  <c r="G139" i="3" s="1"/>
  <c r="F136" i="3"/>
  <c r="G136" i="3" s="1"/>
  <c r="F135" i="3"/>
  <c r="G135" i="3" s="1"/>
  <c r="F134" i="3"/>
  <c r="G134" i="3" s="1"/>
  <c r="F133" i="3"/>
  <c r="G133" i="3" s="1"/>
  <c r="F132" i="3"/>
  <c r="G132" i="3" s="1"/>
  <c r="F129" i="3"/>
  <c r="F128" i="3"/>
  <c r="F85" i="3"/>
  <c r="G85" i="3" s="1"/>
  <c r="F84" i="3"/>
  <c r="G84" i="3" s="1"/>
  <c r="F83" i="3"/>
  <c r="G83" i="3" s="1"/>
  <c r="F79" i="3"/>
  <c r="G79" i="3" s="1"/>
  <c r="F78" i="3"/>
  <c r="G78" i="3" s="1"/>
  <c r="F77" i="3"/>
  <c r="G77" i="3" s="1"/>
  <c r="F73" i="3"/>
  <c r="F72" i="3"/>
  <c r="F45" i="3"/>
  <c r="G45" i="3" s="1"/>
  <c r="F44" i="3"/>
  <c r="G44" i="3" s="1"/>
  <c r="F43" i="3"/>
  <c r="G43" i="3" s="1"/>
  <c r="F42" i="3"/>
  <c r="G42" i="3" s="1"/>
  <c r="F52" i="3"/>
  <c r="G52" i="3" s="1"/>
  <c r="F51" i="3"/>
  <c r="G51" i="3" s="1"/>
  <c r="F50" i="3"/>
  <c r="G50" i="3" s="1"/>
  <c r="F49" i="3"/>
  <c r="G49" i="3" s="1"/>
  <c r="F59" i="3"/>
  <c r="G59" i="3" s="1"/>
  <c r="F58" i="3"/>
  <c r="G58" i="3" s="1"/>
  <c r="F57" i="3"/>
  <c r="G57" i="3" s="1"/>
  <c r="F56" i="3"/>
  <c r="G56" i="3" s="1"/>
  <c r="F66" i="3"/>
  <c r="G66" i="3" s="1"/>
  <c r="F65" i="3"/>
  <c r="G65" i="3" s="1"/>
  <c r="F64" i="3"/>
  <c r="G64" i="3" s="1"/>
  <c r="F63" i="3"/>
  <c r="G63" i="3" s="1"/>
  <c r="F309" i="3" l="1"/>
  <c r="G304" i="3"/>
  <c r="G306" i="3"/>
  <c r="G295" i="3"/>
  <c r="F294" i="3"/>
  <c r="G294" i="3" s="1"/>
  <c r="I294" i="3" s="1"/>
  <c r="H305" i="3"/>
  <c r="G305" i="3"/>
  <c r="I305" i="3" s="1"/>
  <c r="F298" i="3"/>
  <c r="G49" i="8"/>
  <c r="I49" i="8" s="1"/>
  <c r="H49" i="8"/>
  <c r="G293" i="3"/>
  <c r="F287" i="3" s="1"/>
  <c r="G287" i="3" s="1"/>
  <c r="G285" i="3"/>
  <c r="F279" i="3" s="1"/>
  <c r="G279" i="3" s="1"/>
  <c r="G277" i="3"/>
  <c r="G269" i="3"/>
  <c r="G261" i="3"/>
  <c r="G271" i="3"/>
  <c r="G259" i="3"/>
  <c r="F253" i="3" s="1"/>
  <c r="G253" i="3" s="1"/>
  <c r="G270" i="3"/>
  <c r="I270" i="3" s="1"/>
  <c r="H270" i="3"/>
  <c r="G249" i="3"/>
  <c r="F238" i="3" s="1"/>
  <c r="G238" i="3" s="1"/>
  <c r="F230" i="3"/>
  <c r="H230" i="3" s="1"/>
  <c r="G236" i="3"/>
  <c r="G24" i="3"/>
  <c r="F19" i="3" s="1"/>
  <c r="G19" i="3" s="1"/>
  <c r="G18" i="3"/>
  <c r="G216" i="3"/>
  <c r="F212" i="3" s="1"/>
  <c r="G212" i="3" s="1"/>
  <c r="G210" i="3"/>
  <c r="F206" i="3" s="1"/>
  <c r="G206" i="3" s="1"/>
  <c r="G198" i="3"/>
  <c r="F194" i="3" s="1"/>
  <c r="G194" i="3" s="1"/>
  <c r="G192" i="3"/>
  <c r="G165" i="3"/>
  <c r="F160" i="3" s="1"/>
  <c r="G160" i="3" s="1"/>
  <c r="G158" i="3"/>
  <c r="G151" i="3"/>
  <c r="G137" i="3"/>
  <c r="G144" i="3"/>
  <c r="G86" i="3"/>
  <c r="F82" i="3" s="1"/>
  <c r="G82" i="3" s="1"/>
  <c r="G80" i="3"/>
  <c r="F76" i="3" s="1"/>
  <c r="G76" i="3" s="1"/>
  <c r="G46" i="3"/>
  <c r="F41" i="3" s="1"/>
  <c r="G41" i="3" s="1"/>
  <c r="G53" i="3"/>
  <c r="F48" i="3" s="1"/>
  <c r="G48" i="3" s="1"/>
  <c r="G60" i="3"/>
  <c r="F55" i="3" s="1"/>
  <c r="G55" i="3" s="1"/>
  <c r="G67" i="3"/>
  <c r="F62" i="3" s="1"/>
  <c r="G62" i="3" s="1"/>
  <c r="H309" i="3" l="1"/>
  <c r="G309" i="3"/>
  <c r="I309" i="3" s="1"/>
  <c r="H294" i="3"/>
  <c r="G298" i="3"/>
  <c r="I298" i="3" s="1"/>
  <c r="H298" i="3"/>
  <c r="F278" i="3"/>
  <c r="G278" i="3" s="1"/>
  <c r="I278" i="3" s="1"/>
  <c r="F286" i="3"/>
  <c r="H286" i="3" s="1"/>
  <c r="F260" i="3"/>
  <c r="F48" i="8" s="1"/>
  <c r="F252" i="3"/>
  <c r="F237" i="3"/>
  <c r="F44" i="8" s="1"/>
  <c r="F13" i="3"/>
  <c r="F13" i="8" s="1"/>
  <c r="G13" i="8" s="1"/>
  <c r="I13" i="8" s="1"/>
  <c r="G230" i="3"/>
  <c r="I230" i="3" s="1"/>
  <c r="F43" i="8"/>
  <c r="F61" i="3"/>
  <c r="H48" i="8" l="1"/>
  <c r="G48" i="8"/>
  <c r="I48" i="8" s="1"/>
  <c r="H252" i="3"/>
  <c r="F47" i="8"/>
  <c r="G286" i="3"/>
  <c r="I286" i="3" s="1"/>
  <c r="F51" i="8"/>
  <c r="H278" i="3"/>
  <c r="F50" i="8"/>
  <c r="G260" i="3"/>
  <c r="I260" i="3" s="1"/>
  <c r="H260" i="3"/>
  <c r="H237" i="3"/>
  <c r="G237" i="3"/>
  <c r="I237" i="3" s="1"/>
  <c r="G252" i="3"/>
  <c r="I252" i="3" s="1"/>
  <c r="I316" i="3" s="1"/>
  <c r="H13" i="8"/>
  <c r="G43" i="8"/>
  <c r="I43" i="8" s="1"/>
  <c r="H43" i="8"/>
  <c r="G61" i="3"/>
  <c r="I61" i="3" s="1"/>
  <c r="F20" i="8"/>
  <c r="H44" i="8"/>
  <c r="G44" i="8"/>
  <c r="I44" i="8" s="1"/>
  <c r="H61" i="3"/>
  <c r="G50" i="8" l="1"/>
  <c r="I50" i="8" s="1"/>
  <c r="H50" i="8"/>
  <c r="H51" i="8"/>
  <c r="G51" i="8"/>
  <c r="I51" i="8" s="1"/>
  <c r="G47" i="8"/>
  <c r="I47" i="8" s="1"/>
  <c r="H47" i="8"/>
  <c r="H20" i="8"/>
  <c r="G20" i="8"/>
  <c r="I20" i="8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G129" i="3"/>
  <c r="G128" i="3"/>
  <c r="F228" i="3"/>
  <c r="G228" i="3" s="1"/>
  <c r="F227" i="3"/>
  <c r="G227" i="3" s="1"/>
  <c r="G73" i="3"/>
  <c r="G72" i="3"/>
  <c r="F38" i="3"/>
  <c r="G38" i="3" s="1"/>
  <c r="F37" i="3"/>
  <c r="G37" i="3" s="1"/>
  <c r="F33" i="3"/>
  <c r="G33" i="3" s="1"/>
  <c r="F32" i="3"/>
  <c r="G32" i="3" s="1"/>
  <c r="F28" i="3"/>
  <c r="G28" i="3" s="1"/>
  <c r="F27" i="3"/>
  <c r="G27" i="3" s="1"/>
  <c r="F187" i="3"/>
  <c r="F36" i="8" s="1"/>
  <c r="G127" i="3"/>
  <c r="G226" i="3"/>
  <c r="G225" i="3"/>
  <c r="F203" i="3"/>
  <c r="G203" i="3" s="1"/>
  <c r="F202" i="3"/>
  <c r="G202" i="3" s="1"/>
  <c r="G201" i="3"/>
  <c r="F221" i="3"/>
  <c r="G221" i="3" s="1"/>
  <c r="F220" i="3"/>
  <c r="G220" i="3" s="1"/>
  <c r="G219" i="3"/>
  <c r="F185" i="3"/>
  <c r="G185" i="3" s="1"/>
  <c r="F184" i="3"/>
  <c r="G184" i="3" s="1"/>
  <c r="G183" i="3"/>
  <c r="G182" i="3"/>
  <c r="F178" i="3"/>
  <c r="G178" i="3" s="1"/>
  <c r="F177" i="3"/>
  <c r="G177" i="3" s="1"/>
  <c r="G176" i="3"/>
  <c r="G175" i="3"/>
  <c r="F171" i="3"/>
  <c r="G171" i="3" s="1"/>
  <c r="F170" i="3"/>
  <c r="G170" i="3" s="1"/>
  <c r="G169" i="3"/>
  <c r="G168" i="3"/>
  <c r="F91" i="3"/>
  <c r="G91" i="3" s="1"/>
  <c r="F90" i="3"/>
  <c r="G90" i="3" s="1"/>
  <c r="G89" i="3"/>
  <c r="F75" i="3"/>
  <c r="F22" i="8" s="1"/>
  <c r="G71" i="3"/>
  <c r="G70" i="3"/>
  <c r="F69" i="3"/>
  <c r="F68" i="3" s="1"/>
  <c r="F21" i="8" s="1"/>
  <c r="F54" i="3"/>
  <c r="F19" i="8" s="1"/>
  <c r="F47" i="3"/>
  <c r="F18" i="8" s="1"/>
  <c r="F40" i="3"/>
  <c r="F17" i="8" s="1"/>
  <c r="H36" i="8" l="1"/>
  <c r="G36" i="8"/>
  <c r="I36" i="8" s="1"/>
  <c r="G17" i="8"/>
  <c r="I17" i="8" s="1"/>
  <c r="H17" i="8"/>
  <c r="H21" i="8"/>
  <c r="G21" i="8"/>
  <c r="I21" i="8" s="1"/>
  <c r="G18" i="8"/>
  <c r="I18" i="8" s="1"/>
  <c r="H18" i="8"/>
  <c r="H19" i="8"/>
  <c r="G19" i="8"/>
  <c r="I19" i="8" s="1"/>
  <c r="G22" i="8"/>
  <c r="I22" i="8" s="1"/>
  <c r="H22" i="8"/>
  <c r="F211" i="3"/>
  <c r="F40" i="8" s="1"/>
  <c r="F205" i="3"/>
  <c r="F39" i="8" s="1"/>
  <c r="F193" i="3"/>
  <c r="F37" i="8" s="1"/>
  <c r="F138" i="3"/>
  <c r="F29" i="8" s="1"/>
  <c r="F145" i="3"/>
  <c r="F30" i="8" s="1"/>
  <c r="F81" i="3"/>
  <c r="F23" i="8" s="1"/>
  <c r="H54" i="3"/>
  <c r="H13" i="3"/>
  <c r="H40" i="3"/>
  <c r="H187" i="3"/>
  <c r="H47" i="3"/>
  <c r="H75" i="3"/>
  <c r="H68" i="3"/>
  <c r="G124" i="3"/>
  <c r="F117" i="3" s="1"/>
  <c r="G117" i="3" s="1"/>
  <c r="G115" i="3"/>
  <c r="F94" i="3" s="1"/>
  <c r="G94" i="3" s="1"/>
  <c r="G130" i="3"/>
  <c r="F126" i="3" s="1"/>
  <c r="F125" i="3" s="1"/>
  <c r="F27" i="8" s="1"/>
  <c r="G229" i="3"/>
  <c r="F224" i="3" s="1"/>
  <c r="G224" i="3" s="1"/>
  <c r="G204" i="3"/>
  <c r="F200" i="3" s="1"/>
  <c r="G200" i="3" s="1"/>
  <c r="G222" i="3"/>
  <c r="F218" i="3" s="1"/>
  <c r="F217" i="3" s="1"/>
  <c r="F41" i="8" s="1"/>
  <c r="G187" i="3"/>
  <c r="I187" i="3" s="1"/>
  <c r="G186" i="3"/>
  <c r="F181" i="3" s="1"/>
  <c r="G181" i="3" s="1"/>
  <c r="G179" i="3"/>
  <c r="F174" i="3" s="1"/>
  <c r="F173" i="3" s="1"/>
  <c r="F34" i="8" s="1"/>
  <c r="G172" i="3"/>
  <c r="F167" i="3" s="1"/>
  <c r="G167" i="3" s="1"/>
  <c r="F159" i="3"/>
  <c r="F32" i="8" s="1"/>
  <c r="F152" i="3"/>
  <c r="F31" i="8" s="1"/>
  <c r="G92" i="3"/>
  <c r="F88" i="3" s="1"/>
  <c r="G88" i="3" s="1"/>
  <c r="G74" i="3"/>
  <c r="G69" i="3"/>
  <c r="G39" i="3"/>
  <c r="F36" i="3" s="1"/>
  <c r="F35" i="3" s="1"/>
  <c r="F16" i="8" s="1"/>
  <c r="G34" i="3"/>
  <c r="F31" i="3" s="1"/>
  <c r="F30" i="3" s="1"/>
  <c r="F15" i="8" s="1"/>
  <c r="G29" i="3"/>
  <c r="F26" i="3" s="1"/>
  <c r="F25" i="3" s="1"/>
  <c r="F14" i="8" s="1"/>
  <c r="G47" i="3"/>
  <c r="I47" i="3" s="1"/>
  <c r="G54" i="3"/>
  <c r="I54" i="3" s="1"/>
  <c r="G68" i="3"/>
  <c r="I68" i="3" s="1"/>
  <c r="G75" i="3"/>
  <c r="I75" i="3" s="1"/>
  <c r="G40" i="3"/>
  <c r="I40" i="3" s="1"/>
  <c r="G13" i="3"/>
  <c r="I13" i="3" s="1"/>
  <c r="H32" i="8" l="1"/>
  <c r="G32" i="8"/>
  <c r="I32" i="8" s="1"/>
  <c r="G27" i="8"/>
  <c r="I27" i="8" s="1"/>
  <c r="H27" i="8"/>
  <c r="H29" i="8"/>
  <c r="G29" i="8"/>
  <c r="I29" i="8" s="1"/>
  <c r="G14" i="8"/>
  <c r="I14" i="8" s="1"/>
  <c r="H14" i="8"/>
  <c r="G37" i="8"/>
  <c r="I37" i="8" s="1"/>
  <c r="H37" i="8"/>
  <c r="H41" i="8"/>
  <c r="G41" i="8"/>
  <c r="I41" i="8" s="1"/>
  <c r="H15" i="8"/>
  <c r="G15" i="8"/>
  <c r="I15" i="8" s="1"/>
  <c r="G34" i="8"/>
  <c r="I34" i="8" s="1"/>
  <c r="H34" i="8"/>
  <c r="G23" i="8"/>
  <c r="I23" i="8" s="1"/>
  <c r="H23" i="8"/>
  <c r="G39" i="8"/>
  <c r="I39" i="8" s="1"/>
  <c r="H39" i="8"/>
  <c r="H16" i="8"/>
  <c r="G16" i="8"/>
  <c r="I16" i="8" s="1"/>
  <c r="G31" i="8"/>
  <c r="I31" i="8" s="1"/>
  <c r="H31" i="8"/>
  <c r="G30" i="8"/>
  <c r="I30" i="8" s="1"/>
  <c r="H30" i="8"/>
  <c r="G40" i="8"/>
  <c r="I40" i="8" s="1"/>
  <c r="H40" i="8"/>
  <c r="G211" i="3"/>
  <c r="I211" i="3" s="1"/>
  <c r="H211" i="3"/>
  <c r="G205" i="3"/>
  <c r="I205" i="3" s="1"/>
  <c r="H205" i="3"/>
  <c r="H193" i="3"/>
  <c r="G193" i="3"/>
  <c r="I193" i="3" s="1"/>
  <c r="G138" i="3"/>
  <c r="I138" i="3" s="1"/>
  <c r="H138" i="3"/>
  <c r="G145" i="3"/>
  <c r="I145" i="3" s="1"/>
  <c r="H145" i="3"/>
  <c r="G81" i="3"/>
  <c r="I81" i="3" s="1"/>
  <c r="H81" i="3"/>
  <c r="F93" i="3"/>
  <c r="F25" i="8" s="1"/>
  <c r="H35" i="3"/>
  <c r="H30" i="3"/>
  <c r="H159" i="3"/>
  <c r="H173" i="3"/>
  <c r="H25" i="3"/>
  <c r="H152" i="3"/>
  <c r="H217" i="3"/>
  <c r="H125" i="3"/>
  <c r="F116" i="3"/>
  <c r="F26" i="8" s="1"/>
  <c r="G152" i="3"/>
  <c r="G125" i="3"/>
  <c r="I125" i="3" s="1"/>
  <c r="G217" i="3"/>
  <c r="I217" i="3" s="1"/>
  <c r="G126" i="3"/>
  <c r="F223" i="3"/>
  <c r="F42" i="8" s="1"/>
  <c r="G173" i="3"/>
  <c r="I173" i="3" s="1"/>
  <c r="F180" i="3"/>
  <c r="F35" i="8" s="1"/>
  <c r="F199" i="3"/>
  <c r="F38" i="8" s="1"/>
  <c r="G218" i="3"/>
  <c r="F166" i="3"/>
  <c r="F33" i="8" s="1"/>
  <c r="G159" i="3"/>
  <c r="I159" i="3" s="1"/>
  <c r="G174" i="3"/>
  <c r="F87" i="3"/>
  <c r="F24" i="8" s="1"/>
  <c r="G30" i="3"/>
  <c r="I30" i="3" s="1"/>
  <c r="G35" i="3"/>
  <c r="I35" i="3" s="1"/>
  <c r="G26" i="3"/>
  <c r="G31" i="3"/>
  <c r="G36" i="3"/>
  <c r="G25" i="3"/>
  <c r="I25" i="3" s="1"/>
  <c r="G24" i="8" l="1"/>
  <c r="I24" i="8" s="1"/>
  <c r="H24" i="8"/>
  <c r="H42" i="8"/>
  <c r="G42" i="8"/>
  <c r="I42" i="8" s="1"/>
  <c r="G26" i="8"/>
  <c r="I26" i="8" s="1"/>
  <c r="H26" i="8"/>
  <c r="H38" i="8"/>
  <c r="G38" i="8"/>
  <c r="I38" i="8" s="1"/>
  <c r="H35" i="8"/>
  <c r="G35" i="8"/>
  <c r="I35" i="8" s="1"/>
  <c r="G25" i="8"/>
  <c r="I25" i="8" s="1"/>
  <c r="H25" i="8"/>
  <c r="H33" i="8"/>
  <c r="G33" i="8"/>
  <c r="I33" i="8" s="1"/>
  <c r="I152" i="3"/>
  <c r="G93" i="3"/>
  <c r="I93" i="3" s="1"/>
  <c r="H93" i="3"/>
  <c r="H87" i="3"/>
  <c r="H166" i="3"/>
  <c r="H180" i="3"/>
  <c r="H199" i="3"/>
  <c r="G166" i="3"/>
  <c r="I166" i="3" s="1"/>
  <c r="H116" i="3"/>
  <c r="G116" i="3"/>
  <c r="I116" i="3" s="1"/>
  <c r="G180" i="3"/>
  <c r="I180" i="3" s="1"/>
  <c r="H223" i="3"/>
  <c r="G223" i="3"/>
  <c r="I223" i="3" s="1"/>
  <c r="G199" i="3"/>
  <c r="I199" i="3" s="1"/>
  <c r="G87" i="3"/>
  <c r="I87" i="3" s="1"/>
  <c r="F131" i="3" l="1"/>
  <c r="F28" i="8" s="1"/>
  <c r="H28" i="8" l="1"/>
  <c r="H45" i="8" s="1"/>
  <c r="H57" i="8" s="1"/>
  <c r="G28" i="8"/>
  <c r="I28" i="8" s="1"/>
  <c r="I45" i="8" s="1"/>
  <c r="H131" i="3"/>
  <c r="G131" i="3"/>
  <c r="I131" i="3" s="1"/>
  <c r="I250" i="3" s="1"/>
  <c r="G12" i="2" l="1"/>
  <c r="C12" i="2" s="1"/>
  <c r="C15" i="2" s="1"/>
  <c r="I57" i="8"/>
  <c r="E12" i="2" l="1"/>
  <c r="E15" i="2" s="1"/>
  <c r="G14" i="2"/>
  <c r="H12" i="2" l="1"/>
  <c r="I12" i="2" s="1"/>
  <c r="E17" i="2"/>
  <c r="C17" i="2"/>
  <c r="C18" i="2" s="1"/>
  <c r="C16" i="2"/>
  <c r="E16" i="2" s="1"/>
  <c r="E18" i="2" l="1"/>
</calcChain>
</file>

<file path=xl/sharedStrings.xml><?xml version="1.0" encoding="utf-8"?>
<sst xmlns="http://schemas.openxmlformats.org/spreadsheetml/2006/main" count="1111" uniqueCount="369">
  <si>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</si>
  <si>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</si>
  <si>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</si>
  <si>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APROVAÇÃO: Eng. Eros dos Santos</t>
  </si>
  <si>
    <t>ITEM</t>
  </si>
  <si>
    <t>CODIGO EMOP/ SINAPI</t>
  </si>
  <si>
    <t>DISCRIMINAÇÃO</t>
  </si>
  <si>
    <t>UN</t>
  </si>
  <si>
    <t>QUANT.</t>
  </si>
  <si>
    <t>PREÇOS (R$)</t>
  </si>
  <si>
    <t>UNIT s/ BDI</t>
  </si>
  <si>
    <t>UNITc/ BDI</t>
  </si>
  <si>
    <t>TOTAL s/ BDI</t>
  </si>
  <si>
    <t>TOTAL c/ BDI</t>
  </si>
  <si>
    <t>1.0</t>
  </si>
  <si>
    <t>1.1</t>
  </si>
  <si>
    <t>M2</t>
  </si>
  <si>
    <t>X</t>
  </si>
  <si>
    <t>M</t>
  </si>
  <si>
    <t>Orçamentista: Engº Alfredo Cunha</t>
  </si>
  <si>
    <t xml:space="preserve">CRONOGRAMA  FÍSICO-FINANCEIRO </t>
  </si>
  <si>
    <t>SERVIÇO</t>
  </si>
  <si>
    <t>30 DIAS</t>
  </si>
  <si>
    <t>60 DIAS</t>
  </si>
  <si>
    <t>TOTAL</t>
  </si>
  <si>
    <t>R$</t>
  </si>
  <si>
    <t>%</t>
  </si>
  <si>
    <t>TOTAL DA OBRA POR MEDIÇÃO</t>
  </si>
  <si>
    <t>TOTAL ACUMULADO DA OBRA</t>
  </si>
  <si>
    <t>Desembolso por medição %</t>
  </si>
  <si>
    <t>Desembolso acumulado %</t>
  </si>
  <si>
    <t>ORÇAMENTO:  Engº Alfredo Cunha</t>
  </si>
  <si>
    <t>KG</t>
  </si>
  <si>
    <t>20132</t>
  </si>
  <si>
    <t>MAO-DE-OBRA DE SERVENTE DA CONSTRUCAO CIVIL, INCLUSIVE ENCARGOS SOCIAIS DESONERADOS</t>
  </si>
  <si>
    <t>H</t>
  </si>
  <si>
    <t>M3</t>
  </si>
  <si>
    <t>SI00000088316</t>
  </si>
  <si>
    <t>SERVENTE COM ENCARGOS COMPLEMENTARES</t>
  </si>
  <si>
    <t>SI00000088309</t>
  </si>
  <si>
    <t>PEDREIRO COM ENCARGOS COMPLEMENTARES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</si>
  <si>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</si>
  <si>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</si>
  <si>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</si>
  <si>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</si>
  <si>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</si>
  <si>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</si>
  <si>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</si>
  <si>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</si>
  <si>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</si>
  <si>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</si>
  <si>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</si>
  <si>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</si>
  <si>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SI00000088264</t>
  </si>
  <si>
    <t>ELETRICISTA COM ENCARGOS COMPLEMENTARES</t>
  </si>
  <si>
    <t>20060</t>
  </si>
  <si>
    <t>MAO-DE-OBRA DE ELETRICISTA DA CONSTRUCAOCIVIL, INCLUSIVE ENCARGOS SOCIAIS DESONERADOS</t>
  </si>
  <si>
    <t>SUB-TOTAL 1.0</t>
  </si>
  <si>
    <t>30163</t>
  </si>
  <si>
    <t>07.002.0025-B ARGAMASSA CIM.,AREIA TRACO 1:3,PREPAROMECANICO</t>
  </si>
  <si>
    <t>00289</t>
  </si>
  <si>
    <t>CABO SOLIDO DE COBRE ELETROLITICO NU, TEMPERA MOLE, CLASSE 2, SECAO CIRCULAR DE10,0 A 500,0MM2</t>
  </si>
  <si>
    <t>30344</t>
  </si>
  <si>
    <t>12.003.0075-B ALVENARIA TIJ. FURADO 10X20X20CM</t>
  </si>
  <si>
    <t>30246</t>
  </si>
  <si>
    <t>11.001.0005-B CONCRETO FCK 15MPA</t>
  </si>
  <si>
    <t>INSTALAÇÕES ELÉTRICAS</t>
  </si>
  <si>
    <t>SI00000091946</t>
  </si>
  <si>
    <t>SI00000091979</t>
  </si>
  <si>
    <t>INTERRUPTOR INTERMEDIÁRIO (1 MÓDULO), 10A/250V, INCLUINDO SUPORTE E PLACA - FORNECIMENTO E INSTALAÇÃO. AF_09/2017</t>
  </si>
  <si>
    <t>SI00000091978</t>
  </si>
  <si>
    <t>SI00000092000</t>
  </si>
  <si>
    <t>TOMADA BAIXA DE EMBUTIR (1 MÓDULO), 2P+T 10 A, INCLUINDO SUPORTE E PLACA - FORNECIMENTO E INSTALAÇÃO. AF_12/2015</t>
  </si>
  <si>
    <t>SI00000091998</t>
  </si>
  <si>
    <t>SI00000092001</t>
  </si>
  <si>
    <t>TOMADA BAIXA DE EMBUTIR (1 MÓDULO), 2P+T 20 A, INCLUINDO SUPORTE E PLACA - FORNECIMENTO E INSTALAÇÃO. AF_12/2015</t>
  </si>
  <si>
    <t>SI00000091999</t>
  </si>
  <si>
    <t>SI00000093655</t>
  </si>
  <si>
    <t>DISJUNTOR MONOPOLAR TIPO DIN, CORRENTE NOMINAL DE 20A - FORNECIMENTO E INSTALAÇÃO. AF_10/2020</t>
  </si>
  <si>
    <t>0034653</t>
  </si>
  <si>
    <t>DISJUNTOR TIPO DIN/IEC, MONOPOLAR DE 6  ATE  32A</t>
  </si>
  <si>
    <t>0001571</t>
  </si>
  <si>
    <t>TERMINAL A COMPRESSAO EM COBRE ESTANHADO PARA CABO 4 MM2, 1 FURO E 1 COMPRESSAO, PARA PARAFUSO DE FIXACAO M5</t>
  </si>
  <si>
    <t>SI00000088247</t>
  </si>
  <si>
    <t>AUXILIAR DE ELETRICISTA COM ENCARGOS COMPLEMENTARES</t>
  </si>
  <si>
    <t>0001573</t>
  </si>
  <si>
    <t>TERMINAL A COMPRESSAO EM COBRE ESTANHADO PARA CABO 6 MM2, 1 FURO E 1 COMPRESSAO, PARA PARAFUSO DE FIXACAO M6</t>
  </si>
  <si>
    <t>SI00000093661</t>
  </si>
  <si>
    <t>DISJUNTOR BIPOLAR TIPO DIN, CORRENTE NOMINAL DE 16A - FORNECIMENTO E INSTALAÇÃO. AF_10/2020</t>
  </si>
  <si>
    <t>0034616</t>
  </si>
  <si>
    <t>DISJUNTOR TIPO DIN/IEC, BIPOLAR DE 6 ATE 32A</t>
  </si>
  <si>
    <t>0001570</t>
  </si>
  <si>
    <t>TERMINAL A COMPRESSAO EM COBRE ESTANHADO PARA CABO 2,5 MM2, 1 FURO E 1 COMPRESSAO, PARA PARAFUSO DE FIXACAO M5</t>
  </si>
  <si>
    <t>SI00000093662</t>
  </si>
  <si>
    <t>DISJUNTOR BIPOLAR TIPO DIN, CORRENTE NOMINAL DE 20A - FORNECIMENTO E INSTALAÇÃO. AF_10/2020</t>
  </si>
  <si>
    <t>0034709</t>
  </si>
  <si>
    <t>DISJUNTOR TIPO DIN/IEC, TRIPOLAR DE 10 ATE 50A</t>
  </si>
  <si>
    <t>SI00000093672</t>
  </si>
  <si>
    <t>DISJUNTOR TRIPOLAR TIPO DIN, CORRENTE NOMINAL DE 40A - FORNECIMENTO E INSTALAÇÃO. AF_10/2020</t>
  </si>
  <si>
    <t>0001574</t>
  </si>
  <si>
    <t>TERMINAL A COMPRESSAO EM COBRE ESTANHADO PARA CABO 10 MM2, 1 FURO E 1 COMPRESSAO, PARA PARAFUSO DE FIXACAO M6</t>
  </si>
  <si>
    <t>15.007.0601-A</t>
  </si>
  <si>
    <t>DISJUNTOR TERMOMAGNETICO TRIPOLAR,DE 40 A 63A,3KA,MODELO DIN,TIPO C.FORNECIMENTO E COLOCACAO</t>
  </si>
  <si>
    <t>11656</t>
  </si>
  <si>
    <t>DISJUNTOR, TRIPOLAR, DE 40 A 63A, 3KA, MODELO DIN, TIPO C</t>
  </si>
  <si>
    <t>15.007.0504-A</t>
  </si>
  <si>
    <t>QUADRO DE DISTRIBUICAO DE ENERGIA,100A,PARA DISJUNTORES TERMO-MAGNETICOS UNIPOLARES,DE EMBUTIR,COM PORTA E BARRAMENTOS DE FASE,NEUTRO E TERRA,TRIFASICO,PARA INSTALACAO DE ATE 18 DISJUNTORES COM DISPOSITIVO PARA CHAVE GERAL.FORNECIMENTO E COLOCACAO</t>
  </si>
  <si>
    <t>02437</t>
  </si>
  <si>
    <t>QUADRO DE DISTRIBUICAO DE ENERGIA,100A,DE EMBUTIR,BARRAMENTO TRIFASICO E NEUTRO,DISP.P/CHAVE GERAL,P/ATE 18 DISJUNTORES</t>
  </si>
  <si>
    <t>02317</t>
  </si>
  <si>
    <t>FITA ISOLANTE, ROLO DE 19MMX20M</t>
  </si>
  <si>
    <t>15.008.0100-A</t>
  </si>
  <si>
    <t>CABO DE COBRE FLEXIVEL COM ISOLAMENTO TERMOPLASTICO,COMPREENDENDO:PREPARO,CORTE E ENFIACAO EM ELETRODUTOS NA BITOLA DE 10MM2, 450/750V.FORNECIMENTO E COLOCACAO</t>
  </si>
  <si>
    <t>05710</t>
  </si>
  <si>
    <t>CABO DE COBRE FLEXIVEL COM ISOLAMENTO TERMOPLASTICO, DE 450/750V, DE 10MM2</t>
  </si>
  <si>
    <t>15.008.0090-A</t>
  </si>
  <si>
    <t>CABO DE COBRE FLEXIVEL COM ISOLAMENTO TERMOPLASTICO,COMPREENDENDO:PREPARO,CORTE E ENFIACAO EM ELETRODUTOS NA BITOLA DE 4MM2, 450/750V.FORNECIMENTO E COLOCACAO</t>
  </si>
  <si>
    <t>05708</t>
  </si>
  <si>
    <t>CABO DE COBRE FLEXIVEL COM ISOLAMENTO TERMOPLASTICO, DE 450/750V, DE 4MM2</t>
  </si>
  <si>
    <t>15.008.0085-A</t>
  </si>
  <si>
    <t>CABO DE COBRE FLEXIVEL COM ISOLAMENTO TERMOPLASTICO,COMPREENDENDO:PREPARO,CORTE E ENFIACAO EM ELETRODUTOS,NA BITOLA DE 2,5MM2, 450/750V.FORNECIMENTO E COLOCACAO</t>
  </si>
  <si>
    <t>05707</t>
  </si>
  <si>
    <t>CABO DE COBRE FLEXIVEL COM ISOLAMENTO TERMOPLASTICO, DE 450/750V, DE 2,5MM2</t>
  </si>
  <si>
    <t>02347</t>
  </si>
  <si>
    <t>ELETRODUTO DE PVC PRETO,RIGIDO ROSQUEAVEL,COM ROSCA EM AMBAS EXTREMIDADES,EM BARRAS DE 3 METROS,DE 2.1/2"</t>
  </si>
  <si>
    <t>15.036.0070-A</t>
  </si>
  <si>
    <t>ELETRODUTO DE PVC RIGIDO ROSQUEAVEL DE 3/4",INCLUSIVE CONEXOES E EMENDAS,EXCLUSIVE ABERTURA E FECHAMENTO DE RASGO.FORNECIMENTO E ASSENTAMENTO</t>
  </si>
  <si>
    <t>02341</t>
  </si>
  <si>
    <t>ELETRODUTO DE PVC PRETO, RIGIDO ROSQUEAVEL, COM ROSCA EM AMBAS EXTREMIDADES, EMBARRAS DE 3 METROS, DE 3/4"</t>
  </si>
  <si>
    <t>15.036.0074-A</t>
  </si>
  <si>
    <t>ELETRODUTO DE PVC RIGIDO ROSQUEAVEL DE 2",INCLUSIVE CONEXOESE EMENDAS,EXCLUSIVE ABERTURA E FECHAMENTO DE RASGO.FORNECIMENTO E ASSENTAMENTO</t>
  </si>
  <si>
    <t>02346</t>
  </si>
  <si>
    <t>ELETRODUTO DE PVC PRETO,RIGIDO ROSQUEAVEL EM AMBAS EXTREMIDADES,EM BARRAS DE 3 METROS,DE 2"</t>
  </si>
  <si>
    <t>0043132</t>
  </si>
  <si>
    <t>ARAME RECOZIDO 16 BWG, D = 1,65 MM (0,016 KG/M) OU 18 BWG, D = 1,25 MM (0,01 KG/M)</t>
  </si>
  <si>
    <t>SI00000091845</t>
  </si>
  <si>
    <t>ELETRODUTO FLEXÍVEL CORRUGADO REFORÇADO, PVC, DN 25 MM (3/4"), PARA CIRCUITOS TERMINAIS, INSTALADO EM LAJE - FORNECIMENTO E INSTALAÇÃO. AF_12/2015</t>
  </si>
  <si>
    <t>0039244</t>
  </si>
  <si>
    <t>ELETRODUTO PVC FLEXIVEL CORRUGADO, REFORCADO, COR LARANJA, DE 25 MM, PARA LAJES E PISOS</t>
  </si>
  <si>
    <t>SI00000096985</t>
  </si>
  <si>
    <t>HASTE DE ATERRAMENTO 5/8  PARA SPDA - FORNECIMENTO E INSTALAÇÃO. AF_12/2017</t>
  </si>
  <si>
    <t>0003379</t>
  </si>
  <si>
    <t>HASTE DE ATERRAMENTO EM ACO COM 3,00 M DE COMPRIMENTO E DN = 5/8", REVESTIDA COM BAIXA CAMADA DE COBRE, SEM CONECTOR</t>
  </si>
  <si>
    <t>15.011.0030-A</t>
  </si>
  <si>
    <t>ENTRADA DE ENERGIA INDIVIDUAL,PADRAO LIGHT,MEDICAO DIRETA,REDE AEREA,DEMANDA ENTRE 33,1 E 66,3KVA,INCLUSIVE CAIXA SECCIONADORA ATE 200A(CSM200)E CAIXA DE PROTECAO ATE 225A(CPG-225)INTERNA E DEMAIS MATERIAIS NECESSARIOS,EXCLUSIVE POSTE,DISJUNTOR E FIOS DE ENTRADA E SAIDA</t>
  </si>
  <si>
    <t>04271</t>
  </si>
  <si>
    <t>BUCHA E ARRUELA DE ALUMINIO PARA ELETRODUTO, DE 2.1/2"</t>
  </si>
  <si>
    <t>02944</t>
  </si>
  <si>
    <t>CURVA 90º DE PVC RIGIDO, ROSQUEAVEL, PARA ELETRODUTO, DE 2.1/2"</t>
  </si>
  <si>
    <t>03888</t>
  </si>
  <si>
    <t>LUVA DE PVC RIGIDO ROSQUEAVEL, PARA ELETRODUTO, DE 2.1/2"</t>
  </si>
  <si>
    <t>03970</t>
  </si>
  <si>
    <t>ARMACAO SECUNDARIA, COMPLETA, PARA 4 LINHAS</t>
  </si>
  <si>
    <t>03971</t>
  </si>
  <si>
    <t>CINTA CIRCULAR DE ACO GALVANIZADO COM PARAFUSOS, DE APROXIMADAMENTE 150MM</t>
  </si>
  <si>
    <t>00115</t>
  </si>
  <si>
    <t>BUCHA E ARRUELA DE ALUMINIO PARA ELETRODUTO, DE 3/4"</t>
  </si>
  <si>
    <t>04210</t>
  </si>
  <si>
    <t>ISOLADOR TIPO CARRETILHA, MARROM, DE (72X72)MM</t>
  </si>
  <si>
    <t>05997</t>
  </si>
  <si>
    <t>BOX DE ALUMINIO CURVO, DE 2.1/2"</t>
  </si>
  <si>
    <t>08023</t>
  </si>
  <si>
    <t>CONECTOR PARAFUSO FENDIDO, TIPO SPLIT BOLT, FABRICADO EM COBRE, PARA CABO DE 050MM2</t>
  </si>
  <si>
    <t>11922</t>
  </si>
  <si>
    <t>11926</t>
  </si>
  <si>
    <t>CAIXA SECCIONADORA (CSM200), PARA ENTRADA DE ENERGIA INDIVIDUAL, PADRAO LIGHT</t>
  </si>
  <si>
    <t>11927</t>
  </si>
  <si>
    <t>CAIXA METALICA PARA PROTECAO GERAL ATE 200A (CPG200) EM ACO GALVANIZADO C/PINT.ELETR.P/ENTR.ENERGIA INDIV.,PADRAO LIGHT</t>
  </si>
  <si>
    <t>03977</t>
  </si>
  <si>
    <t>HASTE TERRA, TIPO CANTONEIRA GALVANIZADA, DE 2,00M</t>
  </si>
  <si>
    <t>18.045.0015-A</t>
  </si>
  <si>
    <t>POSTE DE CONCRETO,COM SECAO CIRCULAR,COM 7,00M DE COMPRIMENTO E CARGA NOMINAL HORIZONTAL NO TOPO DE 100KG,INCLUSIVE ESCAVACAO,EXCLUSIVE TRANSPORTE.FORNECIMENTO E COLOCACAO</t>
  </si>
  <si>
    <t>00456</t>
  </si>
  <si>
    <t>POSTE DE CONCRETO, C/SECAO CIRCULAR, C/07,00M DE COMPR., PADRAO ABNT, EXCLUSIVETRANSP., C/CARGA NOM.HORIZ.TOPO 100KGF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</si>
  <si>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</si>
  <si>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</si>
  <si>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</si>
  <si>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</si>
  <si>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</si>
  <si>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</si>
  <si>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t>SUPORTE PARAFUSADO COM PLACA DE ENCAIXE 4" X 2" MÉDIO (1,30 M DO PISO) PARA PONTO ELÉTRICO - FORNECIMENTO E INSTALAÇÃO. AF_12/2015</t>
  </si>
  <si>
    <t>INTERRUPTOR INTERMEDIÁRIO (1 MÓDULO), 10A/250V, SEM SUPORTE E SEM PLACA - FORNECIMENTO E INSTALAÇÃO. AF_09/2017</t>
  </si>
  <si>
    <t>TOMADA BAIXA DE EMBUTIR (1 MÓDULO), 2P+T 10 A, SEM SUPORTE E SEM PLACA - FORNECIMENTO E INSTALAÇÃO. AF_12/2015</t>
  </si>
  <si>
    <t>TOMADA BAIXA DE EMBUTIR (1 MÓDULO), 2P+T 20 A, SEM SUPORTE E SEM PLACA - FORNECIMENTO E INSTALAÇÃO. AF_12/2015</t>
  </si>
  <si>
    <t>CAIXA POLIMERICA P/MED.DIRETA MONO(CM1)EM POLICARBONATO C/TAMPA TRANSP.P/ENTR.ENERGIA INDIV.,PADRAO CONC.ENERG.ELET.</t>
  </si>
  <si>
    <r>
      <t>Secretaria Municipal de Planejamento Urbano</t>
    </r>
    <r>
      <rPr>
        <sz val="18"/>
        <color indexed="8"/>
        <rFont val="Arial"/>
        <family val="2"/>
      </rPr>
      <t xml:space="preserve"> </t>
    </r>
  </si>
  <si>
    <t>Data-Base:   EMOP -  RJ / SINAPI e SCO-RJ- Desonerado - Base set-2022</t>
  </si>
  <si>
    <t xml:space="preserve">COMPOSIÇÃO DE PREÇOS  - BDI 28,82% </t>
  </si>
  <si>
    <t>Serviço :  Reforma da Sala de Vacina</t>
  </si>
  <si>
    <t>PROJETO: Arqto Abimar Cavalcante da Cunha</t>
  </si>
  <si>
    <t>LEVANTAMENTO:  Arqto Abimar Cavalcante da Cunha</t>
  </si>
  <si>
    <t>SI00000093664</t>
  </si>
  <si>
    <t>DISJUNTOR BIPOLAR TIPO DIN, CORRENTE NOMINAL DE 32A - FORNECIMENTO E INSTALAÇÃO. AF_10/2020</t>
  </si>
  <si>
    <t>15.007.0511-A</t>
  </si>
  <si>
    <t>QUADRO DE DISTRIBUICAO DE ENERGIA,100A,PARA DISJUNTORES TERMO-MAGNETICOS UNIPOLARES,DE EMBUTIR,COM PORTA E BARRAMENTOS DE FASE,NEUTRO E TERRA,TRIFASICO,PARA INSTALACAO DE ATE 32 DISJUNTORES COM DISPOSITIVO PARA CHAVE GERAL.FORNECIMENTO E COLOCACAO</t>
  </si>
  <si>
    <t>02439</t>
  </si>
  <si>
    <t>QUADRO DE DISTRIBUICAO DE ENERGIA,100A,DE EMBUTIR,BARRAMENTO TRIFASICO E NEUTRO,DISP.P/CHAVE GERAL,P/ATE 32 DISJUNTORES</t>
  </si>
  <si>
    <t>15.008.0140-A</t>
  </si>
  <si>
    <t>CABO DE COBRE FLEXIVEL COM ISOLAMENTO TERMOPLASTICO,COMPREENDENDO:PREPARO,CORTE E ENFIACAO EM ELETRODUTOS,NA BITOLA DE 185MM2, 450/750V.FORNECIMENTO E COLOCACAO</t>
  </si>
  <si>
    <t>04276</t>
  </si>
  <si>
    <t>CABO DE COBRE FLEXIVEL COM ISOLAMENTO TERMOPLASTICO, DE 450/750V, DE 185MM2</t>
  </si>
  <si>
    <t>15.008.0130-A</t>
  </si>
  <si>
    <t>CABO DE COBRE FLEXIVEL COM ISOLAMENTO TERMOPLASTICO,COMPREENDENDO:PREPARO,CORTE E ENFIACAO EM ELETRODUTOS,NA BITOLA DE 120MM2, 450/750V.FORNECIMENTO E COLOCACAO</t>
  </si>
  <si>
    <t>02489</t>
  </si>
  <si>
    <t>CABO DE COBRE FLEXIVEL COM ISOLAMENTO TERMOPLASTICO, DE 450/750V, DE 120MM2</t>
  </si>
  <si>
    <t>15.008.0120-A</t>
  </si>
  <si>
    <t>CABO DE COBRE FLEXIVEL COM ISOLAMENTO TERMOPLASTICO,COMPREENDENDO:PREPARO,CORTE E ENFIACAO EM ELETRODUTOS,NA BITOLA DE 70MM2, 450/750V.FORNECIMENTO E COLOCACAO</t>
  </si>
  <si>
    <t>02364</t>
  </si>
  <si>
    <t>CABO DE COBRE FLEXIVEL COM ISOLAMENTO TERMOPLASTICO, DE 450/750V, DE 70MM2</t>
  </si>
  <si>
    <t>15.008.0112-A</t>
  </si>
  <si>
    <t>CABO DE COBRE FLEXIVEL COM ISOLAMENTO TERMOPLASTICO,COMPREENDENDO:PREPARO,CORTE E ENFIACAO EM ELETRODUTOS,NA BITOLA DE 35MM2, 450/750V.FORNECIMENTO E COLOCACAO</t>
  </si>
  <si>
    <t>04279</t>
  </si>
  <si>
    <t>CABO DE COBRE FLEXIVEL COM ISOLAMENTO TERMOPLASTICO, DE 450/750V, DE 35MM2</t>
  </si>
  <si>
    <t>15.008.0105-A</t>
  </si>
  <si>
    <t>CABO DE COBRE FLEXIVEL COM ISOLAMENTO TERMOPLASTICO,COMPREENDENDO:PREPARO,CORTE E ENFIACAO EM ELETRODUTOS,NA BITOLA DE 16MM2, 450/750V.FORNECIMENTO E COLOCACAO</t>
  </si>
  <si>
    <t>00282</t>
  </si>
  <si>
    <t>CABO DE COBRE FLEXIVEL COM ISOLAMENTO TERMOPLASTICO, DE 450/750V, DE 16MM2</t>
  </si>
  <si>
    <t>15.009.0130-A</t>
  </si>
  <si>
    <t>CABO SOLIDO DE COBRE ELETROLITICO NU,TEMPERA MOLE,CLASSE 2,SECAO CIRCULAR DE 16MM2.FORNECIMENTO E COLOCACAO</t>
  </si>
  <si>
    <t>15.036.0076-A</t>
  </si>
  <si>
    <t>ELETRODUTO DE PVC RIGIDO ROSQUEAVEL DE 3",INCLUSIVE CONEXOESE EMENDAS,EXCLUSIVE ABERTURA E FECHAMENTO DE RASGO.FORNECIMENTO E ASSENTAMENTO</t>
  </si>
  <si>
    <t>02348</t>
  </si>
  <si>
    <t>ELETRODUTO DE PVC PRETO, RIGIDO ROSQUEAVEL, COM ROSCA EM AMBAS EXTREMIDADES, EMBARRAS DE 3 METROS, DE 3"</t>
  </si>
  <si>
    <t>15.036.0072-A</t>
  </si>
  <si>
    <t>ELETRODUTO DE PVC RIGIDO ROSQUEAVEL DE 1.1/4",INCLUSIVE CONEXOES E EMENDAS,EXCLUSIVE ABERTURA E FECHAMENTO DE RASGO.FORNECIMENTO E ASSENTAMENTO</t>
  </si>
  <si>
    <t>02344</t>
  </si>
  <si>
    <t>ELETRODUTO DE PVC PRETO, RIGIDO ROSQUEAVEL, COM ROSCA EM AMBAS EXTREMIDADES, EMBARRAS DE 3 METROS, DE 1.1/4"</t>
  </si>
  <si>
    <t>15.036.0071-A</t>
  </si>
  <si>
    <t>ELETRODUTO DE PVC RIGIDO ROSQUEAVEL DE 1",INCLUSIVE CONEXOESE EMENDAS,EXCLUSIVE ABERTURA E FECHAMENTO DE RASGO.FORNECIMENTO E ASSENTAMENTO</t>
  </si>
  <si>
    <t>02343</t>
  </si>
  <si>
    <t>ELETRODUTO DE PVC PRETO,RIGIDO ROSQUEAVEL,COM ROSCA EM AMBAS EXTREMIDADES,EM BARRAS DE 3 METROS,DE 1"</t>
  </si>
  <si>
    <t>18.027.0457-A</t>
  </si>
  <si>
    <t>GLOBO ESFERICO,PLAFONIER REPUXADO DE ALUMINIO COM DIFUSOR EMBASE DE VIDRO LEITOSO DE (10X20)CM.FORNECIMENTO E COLOCACAO</t>
  </si>
  <si>
    <t>02473</t>
  </si>
  <si>
    <t>GLOBO ESFERICO, EM VIDRO, TIPO LEITOSO,DE (10X20)CM</t>
  </si>
  <si>
    <t>SI00000097610</t>
  </si>
  <si>
    <t>LÂMPADA COMPACTA DE LED 10 W, BASE E27 - FORNECIMENTO E INSTALAÇÃO. AF_02/2020</t>
  </si>
  <si>
    <t>0038194</t>
  </si>
  <si>
    <t>LAMPADA LED 10 W BIVOLT BRANCA, FORMATO TRADICIONAL (BASE E27)</t>
  </si>
  <si>
    <t>0012295</t>
  </si>
  <si>
    <t>SOQUETE DE BAQUELITE BASE E27, PARA LAMPADAS</t>
  </si>
  <si>
    <t>GLOBO ESFERICO,PLAFONIER REPUXADO DE ALUMINIO COM DIFUSOR EMBASE DE VIDRO LEITOSO DE (10X20)CM.FORNECIMENTO E COLOCACAO inclusive LÂMPADA COMPACTA DE LED 10 W, BASE E27 - FORNECIMENTO E INSTALAÇÃO. AF_02/2020</t>
  </si>
  <si>
    <t>18.027.0457-A + SI00000097610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</si>
  <si>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</si>
  <si>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</si>
  <si>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</si>
  <si>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</si>
  <si>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</si>
  <si>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</si>
  <si>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</si>
  <si>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</si>
  <si>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</si>
  <si>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</si>
  <si>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</si>
  <si>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</si>
  <si>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</si>
  <si>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</si>
  <si>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</si>
  <si>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</si>
  <si>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</si>
  <si>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</si>
  <si>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SI00000098111</t>
  </si>
  <si>
    <t>CAIXA DE INSPEÇÃO PARA ATERRAMENTO, CIRCULAR, EM POLIETILENO, DIÂMETRO INTERNO = 0,3 M. AF_12/2020</t>
  </si>
  <si>
    <t>0034643</t>
  </si>
  <si>
    <t>CAIXA DE INSPECAO PARA ATERRAMENTO E PARA RAIOS, EM POLIPROPILENO,  DIAMETRO = 300 MM X ALTURA = 400 MM</t>
  </si>
  <si>
    <t>SI00000101618</t>
  </si>
  <si>
    <t>SI00000101618 PREPARO DE FUNDO DE VALA COM LARGURA MENOR QUE 1,5 M, COM CAMADA DE AREIA, LANÇAMENTO MANUAL. AF_08/2020</t>
  </si>
  <si>
    <t>1.32</t>
  </si>
  <si>
    <t>15.018.0510-A</t>
  </si>
  <si>
    <t>ELETROCALHA PERFURADA,COM TAMPA,TIPO "U",150X100MM,TRATAMENTO SUPERFICIAL PRE-ZINCADO A QUENTE,INCLUSIVE CONEXOES,ACESSORIOS E FIXACAO SUPERIOR.FORNECIMENTO E COLOCACAO</t>
  </si>
  <si>
    <t>13886</t>
  </si>
  <si>
    <t>TAMPA DE ENCAIXE PARA ELETROCALHA PERFURADA OU LISA, 150X3000MM</t>
  </si>
  <si>
    <t>11957</t>
  </si>
  <si>
    <t>ELETROCALHA PERFURADA, SEM VIROLA, MED.(150X100X3000)MM, PRE-ZINCADA, SEM TAMPA</t>
  </si>
  <si>
    <t>07649</t>
  </si>
  <si>
    <t>SUPORTE SUSPENSAO DUPLO TIRANTE "OMEGA",DE (100X100)MM PARA ELETROCALHA</t>
  </si>
  <si>
    <t>07641</t>
  </si>
  <si>
    <t>ARRUELA LISA DE DIAMETRO INTERNO, DE 1/4"</t>
  </si>
  <si>
    <t>07639</t>
  </si>
  <si>
    <t>PROLONGADOR PARA TIRANTE ROSQUEADO, DE 1/4"</t>
  </si>
  <si>
    <t>07637</t>
  </si>
  <si>
    <t>TIRANTE ROSQUEADO, DE 1/4"X3000MM</t>
  </si>
  <si>
    <t>05568</t>
  </si>
  <si>
    <t>PORCA ALTA, DE 1/4"</t>
  </si>
  <si>
    <t>05565</t>
  </si>
  <si>
    <t>PINO COM ROSCA, EM CAIXAS COM 100 PECAS,NO DIAMETRO DE 1/4", DE (30X20)MM</t>
  </si>
  <si>
    <t xml:space="preserve">PLANILHA ORÇAMENTÁRIA  - BDI 28,82% </t>
  </si>
  <si>
    <t>2.0</t>
  </si>
  <si>
    <t>BASE PARA GERADOR</t>
  </si>
  <si>
    <t>2.1</t>
  </si>
  <si>
    <t>2.2</t>
  </si>
  <si>
    <t>2.3</t>
  </si>
  <si>
    <t>11.003.0005-B</t>
  </si>
  <si>
    <t>CONCRETO DOSADO RACIONALMENTE PARA UMA RESISTENCIA CARACTERISTICA A COMPRESSAO DE 25MPA,INCLUSIVE MATERIAIS,TRANSPORTE,PREPARO COM BETONEIRA,LANCAMENTO E ADENSAMENTO</t>
  </si>
  <si>
    <t>14543</t>
  </si>
  <si>
    <t>PEDRA BRITADA 1 E 2 (MEDIA), PARA REGIAOMETROPOLITANA DO RIO DE JANEIRO</t>
  </si>
  <si>
    <t>T</t>
  </si>
  <si>
    <t>00149</t>
  </si>
  <si>
    <t>CIMENTO PORTLAND CP II 32, EM SACO DE 50KG</t>
  </si>
  <si>
    <t>00001</t>
  </si>
  <si>
    <t>AREIA LAVADA, GROSSA, PARA REGIAO METROPOLITANA DO RIO DE JANEIRO</t>
  </si>
  <si>
    <t>30260</t>
  </si>
  <si>
    <t>11.002.0023-B LANCAMENTO CONC.C/ARM.2,0M3/H,HORIZ/VERT</t>
  </si>
  <si>
    <t>30254</t>
  </si>
  <si>
    <t>11.002.0013-B PREPARO CONCR. BETON. 320L; 2,0M3/H</t>
  </si>
  <si>
    <t>11.004.0021-B</t>
  </si>
  <si>
    <t>FORMAS DE MADEIRA DE 3ª PARA MOLDAGEM DE PECAS DE CONCRETO ARMADO COM PARAMENTOS PLANOS,EM LAJES,VIGAS,PAREDES,ETC,SERVINDO A MADEIRA 2 VEZES,INCLUSIVE DESMOLDAGEM,EXCLUSIVE ESCORAMENTO</t>
  </si>
  <si>
    <t>00453</t>
  </si>
  <si>
    <t>PREGO COM OU SEM CABECA, EM CAIXAS DE 50KG, OU QUANTIDADES EQUIVALENTES, Nº12X12A 18X30</t>
  </si>
  <si>
    <t>00368</t>
  </si>
  <si>
    <t>PINUS, EM PECAS DE 7,50X7,50CM (3"X3")</t>
  </si>
  <si>
    <t>00349</t>
  </si>
  <si>
    <t>PINUS, EM PECAS DE 2,50X30,00CM (1"X12")</t>
  </si>
  <si>
    <t>20046</t>
  </si>
  <si>
    <t>MAO-DE-OBRA DE CARPINTEIRO DE FORMA DE CONCRETO, INCLUSIVE ENCARGOS SOCIAIS DESONERADOS</t>
  </si>
  <si>
    <t>31052</t>
  </si>
  <si>
    <t>54.001.0178-B PINUS EM PECAS DE 2,50X22,50M, (1"X9")</t>
  </si>
  <si>
    <t>30408</t>
  </si>
  <si>
    <t>17.025.0040-B PINTURA C/EMULSAO OLEOSA</t>
  </si>
  <si>
    <t>SI00000092768</t>
  </si>
  <si>
    <t>ARMAÇÃO DE LAJE DE ESTRUTURA CONVENCIONAL DE CONCRETO ARMADO UTILIZANDO AÇO CA-60 DE 5,0 MM - MONTAGEM. AF_06/2022</t>
  </si>
  <si>
    <t>0039017</t>
  </si>
  <si>
    <t>ESPACADOR / DISTANCIADOR CIRCULAR COM ENTRADA LATERAL, EM PLASTICO, PARA VERGALHAO *4,2 A 12,5* MM, COBRIMENTO 20 MM</t>
  </si>
  <si>
    <t>SI00000088245</t>
  </si>
  <si>
    <t>ARMADOR COM ENCARGOS COMPLEMENTARES</t>
  </si>
  <si>
    <t>SI00000088238</t>
  </si>
  <si>
    <t>AJUDANTE DE ARMADOR COM ENCARGOS COMPLEMENTARES</t>
  </si>
  <si>
    <t>SI00000092800</t>
  </si>
  <si>
    <t>SI00000092800 CORTE E DOBRA DE AÇO CA-60, DIÂMETRO DE 5,0 MM. AF_06/2022</t>
  </si>
  <si>
    <t>2.4</t>
  </si>
  <si>
    <t>SI00000092762</t>
  </si>
  <si>
    <t>ARMAÇÃO DE PILAR OU VIGA DE ESTRUTURA CONVENCIONAL DE CONCRETO ARMADO UTILIZANDO AÇO CA-50 DE 10,0 MM - MONTAGEM. AF_06/2022</t>
  </si>
  <si>
    <t>SI00000092803</t>
  </si>
  <si>
    <t>SI00000092803 CORTE E DOBRA DE AÇO CA-50, DIÂMETRO DE 10,0 MM. AF_06/2022</t>
  </si>
  <si>
    <t>SUB-TOTAL 2.0</t>
  </si>
  <si>
    <t>SI00000091600</t>
  </si>
  <si>
    <t>ARMAÇÃO DO SISTEMA DE PAREDES DE CONCRETO, EXECUTADA EM PLATIBANDAS, TELA Q-92. AF_06/2019</t>
  </si>
  <si>
    <t>0021141</t>
  </si>
  <si>
    <t>TELA DE ACO SOLDADA NERVURADA, CA-60, Q-92, (1,48 KG/M2), DIAMETRO DO FIO = 4,2 MM, LARGURA = 2,45 X 60 M DE COMPRIMENTO, ESPACAMENTO DA MALHA = 15  X 15 CM</t>
  </si>
  <si>
    <t>TOTAL GERAL=</t>
  </si>
  <si>
    <t>2.5</t>
  </si>
  <si>
    <t>2.6</t>
  </si>
  <si>
    <t>2.7</t>
  </si>
  <si>
    <t>01.001.0077-A</t>
  </si>
  <si>
    <t>PERFURACAO MANUAL DE SOLO,A TRADO ATE 10"</t>
  </si>
  <si>
    <t>11.016.0020-A</t>
  </si>
  <si>
    <t>ESTRUTURAS DE ELEMENTOS EM PERFIS "I" ATE 8",EM ACO LAMINADO,(VIGAS ISOLADAS,ESCORAS,PORTICOS,ETC),INCLUSIVE PERDAS.FORNECIMENTO E MONTAGEM</t>
  </si>
  <si>
    <t>01576</t>
  </si>
  <si>
    <t>PERFIL "I" DE ACO CARBONO, PADRAO AMERICANO, PRECO DE REVENDEDOR, DE 6"X3.3/8"</t>
  </si>
  <si>
    <t>20131</t>
  </si>
  <si>
    <t>MAO-DE-OBRA DE SERRALHEIRO DA CONSTRUCAOCIVIL, INCLUSIVE ENCARGOS SOCIAIS DESONERADOS</t>
  </si>
  <si>
    <t>20004</t>
  </si>
  <si>
    <t>MAO-DE-OBRA DE AJUDANTE DA CONSTRUCAO CIVIL, INCLUSIVE ENCARGOS SOCIAIS DESONERADOS</t>
  </si>
  <si>
    <t>30112</t>
  </si>
  <si>
    <t>05.025.0041-B SOLDA TOPO 1/4",CONVERSOR ELETROMOTORIZ.</t>
  </si>
  <si>
    <t>21.050.0050-A</t>
  </si>
  <si>
    <t>CHUMBADOR DE EXPANSAO DE ACO,COM DIAMETRO DE 1/2" E COMPRIMENTO DO PARAFUSO DE 3".FORNECIMENTO</t>
  </si>
  <si>
    <t>11627</t>
  </si>
  <si>
    <t>CHUMBADOR DE ACO UR, DE 1/2"</t>
  </si>
  <si>
    <t>BASE E ESTRUTURA PARA COBERTURA DO GERADOR</t>
  </si>
  <si>
    <t>2.8</t>
  </si>
  <si>
    <t>16.005.0006-A</t>
  </si>
  <si>
    <t>COBERTURA EM TELHAS TRAPEZOIDAIS DE GALVALUME,COM ESPESSURAAPROXIMADA DE 0,5MM,SOBREPOSICAO LATERAL DE UMA ONDA E LONGITUDINAL DE 0,20M,FIXACAO COM PARAFUSOS OU HASTES DE ALUMINIO5/16"X250MM COM ROSCA,EXCLUSIVE MADEIRAMENTO E CUMEEIRA.MEDIDA PELA AREA REAL DE COBERTURA.FORNECIMENTO E COLOCACAO</t>
  </si>
  <si>
    <t>14826</t>
  </si>
  <si>
    <t>TELHA DE GALVALUME TRAPEZOIDAL, COM ESPESSURA APROXIMADA DE 0,5MM</t>
  </si>
  <si>
    <t>07264</t>
  </si>
  <si>
    <t>HASTE DE FIXACAO PARA TELHAS METALICAS COM MEDIDAS APROXIMADAS DE 1/4" X 400MM,COM VEDACAO</t>
  </si>
  <si>
    <t>DATA: 17/11/2022</t>
  </si>
  <si>
    <t>Local: Rua Pinto Ribeiro, 65, Centro , Barra Mansa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</si>
</sst>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 * #,##0.00_ ;_ * \-#,##0.00_ ;_ * &quot;-&quot;??_ ;_ @_ "/>
    <numFmt numFmtId="165" formatCode="_([$€]* #,##0.00_);_([$€]* \(#,##0.00\);_([$€]* &quot;-&quot;??_);_(@_)"/>
    <numFmt numFmtId="166" formatCode="_(* #,##0.00_);_(* \(#,##0.00\);_(* \-??_);_(@_)"/>
    <numFmt numFmtId="167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Switzerland"/>
    </font>
    <font>
      <sz val="14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2"/>
      <name val="Switzerland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name val="Switzerland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9" fillId="0" borderId="0"/>
    <xf numFmtId="165" fontId="16" fillId="0" borderId="0" applyFont="0" applyFill="0" applyBorder="0" applyAlignment="0" applyProtection="0"/>
    <xf numFmtId="0" fontId="16" fillId="0" borderId="0"/>
    <xf numFmtId="0" fontId="1" fillId="0" borderId="0"/>
    <xf numFmtId="0" fontId="28" fillId="0" borderId="0"/>
    <xf numFmtId="0" fontId="1" fillId="0" borderId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</cellStyleXfs>
  <cellXfs count="164">
    <xf numFmtId="0" fontId="0" fillId="0" borderId="0" xfId="0"/>
    <xf numFmtId="49" fontId="2" fillId="2" borderId="1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left"/>
    </xf>
    <xf numFmtId="4" fontId="2" fillId="2" borderId="2" xfId="1" applyNumberFormat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center"/>
    </xf>
    <xf numFmtId="49" fontId="2" fillId="2" borderId="0" xfId="2" applyNumberFormat="1" applyFont="1" applyFill="1" applyAlignment="1">
      <alignment horizontal="center"/>
    </xf>
    <xf numFmtId="4" fontId="2" fillId="2" borderId="4" xfId="2" applyNumberFormat="1" applyFont="1" applyFill="1" applyBorder="1" applyAlignment="1">
      <alignment horizontal="left"/>
    </xf>
    <xf numFmtId="4" fontId="2" fillId="2" borderId="0" xfId="2" applyNumberFormat="1" applyFont="1" applyFill="1" applyAlignment="1">
      <alignment horizontal="left"/>
    </xf>
    <xf numFmtId="49" fontId="2" fillId="2" borderId="6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horizontal="center"/>
    </xf>
    <xf numFmtId="4" fontId="11" fillId="2" borderId="7" xfId="1" applyNumberFormat="1" applyFont="1" applyFill="1" applyBorder="1" applyAlignment="1">
      <alignment vertical="center" readingOrder="1"/>
    </xf>
    <xf numFmtId="0" fontId="5" fillId="2" borderId="8" xfId="1" applyFont="1" applyFill="1" applyBorder="1"/>
    <xf numFmtId="0" fontId="14" fillId="3" borderId="9" xfId="4" applyNumberFormat="1" applyFont="1" applyFill="1" applyBorder="1" applyAlignment="1">
      <alignment horizontal="justify" vertical="justify" wrapText="1"/>
    </xf>
    <xf numFmtId="4" fontId="14" fillId="3" borderId="9" xfId="4" applyNumberFormat="1" applyFont="1" applyFill="1" applyBorder="1" applyAlignment="1">
      <alignment horizontal="right"/>
    </xf>
    <xf numFmtId="0" fontId="20" fillId="0" borderId="0" xfId="5" applyFont="1"/>
    <xf numFmtId="0" fontId="19" fillId="0" borderId="0" xfId="5"/>
    <xf numFmtId="4" fontId="9" fillId="0" borderId="6" xfId="1" applyNumberFormat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14" fillId="0" borderId="0" xfId="0" applyFont="1"/>
    <xf numFmtId="4" fontId="14" fillId="0" borderId="0" xfId="0" applyNumberFormat="1" applyFont="1"/>
    <xf numFmtId="44" fontId="18" fillId="0" borderId="3" xfId="2" applyNumberFormat="1" applyFont="1" applyBorder="1" applyAlignment="1">
      <alignment vertical="center" wrapText="1" readingOrder="1"/>
    </xf>
    <xf numFmtId="44" fontId="18" fillId="0" borderId="5" xfId="2" applyNumberFormat="1" applyFont="1" applyBorder="1" applyAlignment="1">
      <alignment vertical="center" wrapText="1" readingOrder="1"/>
    </xf>
    <xf numFmtId="4" fontId="5" fillId="0" borderId="5" xfId="2" applyNumberFormat="1" applyFont="1" applyBorder="1" applyAlignment="1">
      <alignment vertical="center" wrapText="1" readingOrder="1"/>
    </xf>
    <xf numFmtId="0" fontId="5" fillId="0" borderId="5" xfId="1" applyFont="1" applyBorder="1"/>
    <xf numFmtId="4" fontId="9" fillId="0" borderId="5" xfId="2" applyNumberFormat="1" applyFont="1" applyBorder="1" applyAlignment="1">
      <alignment vertical="center" wrapText="1"/>
    </xf>
    <xf numFmtId="4" fontId="9" fillId="0" borderId="5" xfId="1" applyNumberFormat="1" applyFont="1" applyBorder="1" applyAlignment="1">
      <alignment vertical="center" wrapText="1"/>
    </xf>
    <xf numFmtId="4" fontId="9" fillId="0" borderId="8" xfId="1" applyNumberFormat="1" applyFont="1" applyBorder="1" applyAlignment="1">
      <alignment vertical="center" wrapText="1"/>
    </xf>
    <xf numFmtId="0" fontId="4" fillId="0" borderId="2" xfId="7" applyFont="1" applyBorder="1" applyAlignment="1">
      <alignment horizontal="center"/>
    </xf>
    <xf numFmtId="0" fontId="4" fillId="0" borderId="3" xfId="7" applyFont="1" applyBorder="1"/>
    <xf numFmtId="0" fontId="4" fillId="0" borderId="0" xfId="7" applyFont="1"/>
    <xf numFmtId="0" fontId="4" fillId="0" borderId="0" xfId="7" applyFont="1" applyAlignment="1">
      <alignment horizontal="center"/>
    </xf>
    <xf numFmtId="0" fontId="4" fillId="0" borderId="5" xfId="7" applyFont="1" applyBorder="1"/>
    <xf numFmtId="0" fontId="4" fillId="0" borderId="7" xfId="7" applyFont="1" applyBorder="1"/>
    <xf numFmtId="0" fontId="13" fillId="0" borderId="9" xfId="7" applyFont="1" applyBorder="1" applyAlignment="1">
      <alignment horizontal="center" vertical="center"/>
    </xf>
    <xf numFmtId="4" fontId="13" fillId="0" borderId="9" xfId="7" applyNumberFormat="1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49" fontId="14" fillId="0" borderId="10" xfId="7" applyNumberFormat="1" applyFont="1" applyBorder="1" applyAlignment="1">
      <alignment horizontal="center" vertical="center" wrapText="1"/>
    </xf>
    <xf numFmtId="0" fontId="15" fillId="0" borderId="0" xfId="7" applyFont="1"/>
    <xf numFmtId="4" fontId="14" fillId="0" borderId="0" xfId="7" applyNumberFormat="1" applyFont="1" applyAlignment="1">
      <alignment horizontal="right"/>
    </xf>
    <xf numFmtId="0" fontId="14" fillId="3" borderId="9" xfId="7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4" fontId="14" fillId="0" borderId="0" xfId="4" applyNumberFormat="1" applyFont="1" applyFill="1" applyBorder="1" applyAlignment="1">
      <alignment horizontal="right"/>
    </xf>
    <xf numFmtId="49" fontId="14" fillId="0" borderId="0" xfId="7" applyNumberFormat="1" applyFont="1" applyAlignment="1">
      <alignment horizontal="center" vertical="center" wrapText="1"/>
    </xf>
    <xf numFmtId="0" fontId="14" fillId="0" borderId="0" xfId="4" applyNumberFormat="1" applyFont="1" applyFill="1" applyBorder="1" applyAlignment="1">
      <alignment horizontal="justify" vertical="justify" wrapText="1"/>
    </xf>
    <xf numFmtId="49" fontId="14" fillId="3" borderId="9" xfId="7" applyNumberFormat="1" applyFont="1" applyFill="1" applyBorder="1" applyAlignment="1">
      <alignment horizontal="center" vertical="center" wrapText="1"/>
    </xf>
    <xf numFmtId="0" fontId="24" fillId="0" borderId="0" xfId="7" applyFont="1" applyAlignment="1">
      <alignment vertical="center"/>
    </xf>
    <xf numFmtId="0" fontId="24" fillId="0" borderId="0" xfId="7" applyFont="1" applyAlignment="1">
      <alignment horizontal="center" vertical="center" wrapText="1"/>
    </xf>
    <xf numFmtId="0" fontId="24" fillId="0" borderId="0" xfId="7" applyFont="1"/>
    <xf numFmtId="0" fontId="24" fillId="0" borderId="0" xfId="7" applyFont="1" applyAlignment="1">
      <alignment horizontal="center" vertical="center"/>
    </xf>
    <xf numFmtId="4" fontId="24" fillId="0" borderId="0" xfId="7" applyNumberFormat="1" applyFont="1"/>
    <xf numFmtId="0" fontId="15" fillId="0" borderId="0" xfId="7" applyFont="1" applyAlignment="1">
      <alignment vertical="center"/>
    </xf>
    <xf numFmtId="0" fontId="17" fillId="0" borderId="0" xfId="7" applyFont="1" applyAlignment="1">
      <alignment horizontal="center" vertical="center" wrapText="1"/>
    </xf>
    <xf numFmtId="0" fontId="17" fillId="0" borderId="0" xfId="7" applyFont="1"/>
    <xf numFmtId="0" fontId="17" fillId="0" borderId="0" xfId="7" applyFont="1" applyAlignment="1">
      <alignment horizontal="center" vertical="center"/>
    </xf>
    <xf numFmtId="4" fontId="17" fillId="0" borderId="0" xfId="7" applyNumberFormat="1" applyFont="1"/>
    <xf numFmtId="0" fontId="25" fillId="0" borderId="0" xfId="7" applyFont="1"/>
    <xf numFmtId="0" fontId="12" fillId="2" borderId="9" xfId="7" applyFont="1" applyFill="1" applyBorder="1" applyAlignment="1">
      <alignment horizontal="center" vertical="center"/>
    </xf>
    <xf numFmtId="49" fontId="12" fillId="2" borderId="9" xfId="7" applyNumberFormat="1" applyFont="1" applyFill="1" applyBorder="1" applyAlignment="1">
      <alignment horizontal="center" vertical="center" wrapText="1"/>
    </xf>
    <xf numFmtId="0" fontId="12" fillId="2" borderId="9" xfId="4" applyNumberFormat="1" applyFont="1" applyFill="1" applyBorder="1" applyAlignment="1">
      <alignment horizontal="justify" vertical="justify" wrapText="1"/>
    </xf>
    <xf numFmtId="4" fontId="12" fillId="2" borderId="9" xfId="4" applyNumberFormat="1" applyFont="1" applyFill="1" applyBorder="1" applyAlignment="1">
      <alignment horizontal="right"/>
    </xf>
    <xf numFmtId="4" fontId="12" fillId="2" borderId="9" xfId="7" applyNumberFormat="1" applyFont="1" applyFill="1" applyBorder="1" applyAlignment="1">
      <alignment horizontal="right"/>
    </xf>
    <xf numFmtId="4" fontId="12" fillId="0" borderId="0" xfId="7" applyNumberFormat="1" applyFont="1" applyAlignment="1">
      <alignment horizontal="right"/>
    </xf>
    <xf numFmtId="0" fontId="26" fillId="4" borderId="12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1" fillId="0" borderId="9" xfId="6" applyNumberFormat="1" applyFont="1" applyFill="1" applyBorder="1" applyAlignment="1">
      <alignment horizontal="right"/>
    </xf>
    <xf numFmtId="10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7" fillId="0" borderId="9" xfId="6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horizontal="right" vertical="center"/>
    </xf>
    <xf numFmtId="0" fontId="26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6" fillId="4" borderId="11" xfId="0" applyFont="1" applyFill="1" applyBorder="1" applyAlignment="1">
      <alignment horizontal="right" vertical="center"/>
    </xf>
    <xf numFmtId="0" fontId="32" fillId="0" borderId="0" xfId="7" applyFont="1"/>
    <xf numFmtId="0" fontId="32" fillId="0" borderId="0" xfId="7" applyFont="1" applyFill="1"/>
    <xf numFmtId="4" fontId="13" fillId="0" borderId="9" xfId="7" applyNumberFormat="1" applyFont="1" applyBorder="1" applyAlignment="1">
      <alignment horizontal="center" vertical="center"/>
    </xf>
    <xf numFmtId="0" fontId="14" fillId="0" borderId="9" xfId="7" applyFont="1" applyFill="1" applyBorder="1" applyAlignment="1">
      <alignment horizontal="center" vertical="center"/>
    </xf>
    <xf numFmtId="49" fontId="14" fillId="0" borderId="9" xfId="7" applyNumberFormat="1" applyFont="1" applyFill="1" applyBorder="1" applyAlignment="1">
      <alignment horizontal="center" vertical="center" wrapText="1"/>
    </xf>
    <xf numFmtId="0" fontId="14" fillId="0" borderId="9" xfId="4" applyNumberFormat="1" applyFont="1" applyFill="1" applyBorder="1" applyAlignment="1">
      <alignment horizontal="justify" vertical="justify" wrapText="1"/>
    </xf>
    <xf numFmtId="4" fontId="14" fillId="0" borderId="9" xfId="4" applyNumberFormat="1" applyFont="1" applyFill="1" applyBorder="1" applyAlignment="1">
      <alignment horizontal="right"/>
    </xf>
    <xf numFmtId="0" fontId="15" fillId="0" borderId="0" xfId="7" applyFont="1" applyFill="1"/>
    <xf numFmtId="0" fontId="12" fillId="0" borderId="9" xfId="7" applyFont="1" applyFill="1" applyBorder="1" applyAlignment="1">
      <alignment horizontal="center" vertical="center"/>
    </xf>
    <xf numFmtId="49" fontId="12" fillId="0" borderId="9" xfId="7" applyNumberFormat="1" applyFont="1" applyFill="1" applyBorder="1" applyAlignment="1">
      <alignment horizontal="center" vertical="center" wrapText="1"/>
    </xf>
    <xf numFmtId="0" fontId="12" fillId="0" borderId="9" xfId="4" applyNumberFormat="1" applyFont="1" applyFill="1" applyBorder="1" applyAlignment="1">
      <alignment horizontal="justify" vertical="justify" wrapText="1"/>
    </xf>
    <xf numFmtId="4" fontId="12" fillId="0" borderId="9" xfId="4" applyNumberFormat="1" applyFont="1" applyFill="1" applyBorder="1" applyAlignment="1">
      <alignment horizontal="right"/>
    </xf>
    <xf numFmtId="4" fontId="12" fillId="0" borderId="9" xfId="7" applyNumberFormat="1" applyFont="1" applyFill="1" applyBorder="1" applyAlignment="1">
      <alignment horizontal="right"/>
    </xf>
    <xf numFmtId="0" fontId="25" fillId="0" borderId="0" xfId="7" applyFont="1" applyFill="1"/>
    <xf numFmtId="4" fontId="12" fillId="0" borderId="11" xfId="3" applyNumberFormat="1" applyFont="1" applyFill="1" applyBorder="1" applyAlignment="1"/>
    <xf numFmtId="0" fontId="15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4" fontId="15" fillId="0" borderId="0" xfId="7" applyNumberFormat="1" applyFont="1"/>
    <xf numFmtId="4" fontId="12" fillId="2" borderId="11" xfId="3" applyNumberFormat="1" applyFont="1" applyFill="1" applyBorder="1" applyAlignment="1"/>
    <xf numFmtId="4" fontId="21" fillId="3" borderId="9" xfId="6" applyNumberFormat="1" applyFont="1" applyFill="1" applyBorder="1" applyAlignment="1">
      <alignment horizontal="right"/>
    </xf>
    <xf numFmtId="10" fontId="5" fillId="3" borderId="9" xfId="0" applyNumberFormat="1" applyFont="1" applyFill="1" applyBorder="1" applyAlignment="1">
      <alignment horizontal="right"/>
    </xf>
    <xf numFmtId="0" fontId="12" fillId="0" borderId="10" xfId="7" applyFont="1" applyBorder="1" applyAlignment="1">
      <alignment horizontal="left" vertical="top" wrapText="1"/>
    </xf>
    <xf numFmtId="4" fontId="12" fillId="2" borderId="11" xfId="3" applyNumberFormat="1" applyFont="1" applyFill="1" applyBorder="1" applyAlignment="1">
      <alignment horizontal="center"/>
    </xf>
    <xf numFmtId="4" fontId="12" fillId="2" borderId="13" xfId="3" applyNumberFormat="1" applyFont="1" applyFill="1" applyBorder="1" applyAlignment="1">
      <alignment horizontal="center"/>
    </xf>
    <xf numFmtId="4" fontId="6" fillId="2" borderId="0" xfId="2" applyNumberFormat="1" applyFont="1" applyFill="1" applyAlignment="1">
      <alignment horizontal="left" vertical="center" wrapText="1" readingOrder="1"/>
    </xf>
    <xf numFmtId="4" fontId="6" fillId="2" borderId="5" xfId="2" applyNumberFormat="1" applyFont="1" applyFill="1" applyBorder="1" applyAlignment="1">
      <alignment horizontal="left" vertical="center" wrapText="1" readingOrder="1"/>
    </xf>
    <xf numFmtId="0" fontId="5" fillId="2" borderId="4" xfId="7" applyFont="1" applyFill="1" applyBorder="1" applyAlignment="1">
      <alignment horizontal="left" vertical="center" wrapText="1"/>
    </xf>
    <xf numFmtId="0" fontId="5" fillId="2" borderId="0" xfId="7" applyFont="1" applyFill="1" applyAlignment="1">
      <alignment horizontal="left" vertical="center" wrapText="1"/>
    </xf>
    <xf numFmtId="0" fontId="5" fillId="2" borderId="5" xfId="7" applyFont="1" applyFill="1" applyBorder="1" applyAlignment="1">
      <alignment horizontal="left" vertical="center" wrapText="1"/>
    </xf>
    <xf numFmtId="4" fontId="8" fillId="2" borderId="0" xfId="2" applyNumberFormat="1" applyFont="1" applyFill="1" applyAlignment="1">
      <alignment horizontal="left" vertical="center" readingOrder="1"/>
    </xf>
    <xf numFmtId="4" fontId="8" fillId="2" borderId="5" xfId="2" applyNumberFormat="1" applyFont="1" applyFill="1" applyBorder="1" applyAlignment="1">
      <alignment horizontal="left" vertical="center" readingOrder="1"/>
    </xf>
    <xf numFmtId="4" fontId="9" fillId="2" borderId="4" xfId="2" applyNumberFormat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4" fontId="9" fillId="2" borderId="5" xfId="2" applyNumberFormat="1" applyFont="1" applyFill="1" applyBorder="1" applyAlignment="1">
      <alignment horizontal="left" vertical="center"/>
    </xf>
    <xf numFmtId="4" fontId="10" fillId="2" borderId="0" xfId="1" applyNumberFormat="1" applyFont="1" applyFill="1" applyAlignment="1">
      <alignment horizontal="left" vertical="center" readingOrder="1"/>
    </xf>
    <xf numFmtId="4" fontId="10" fillId="2" borderId="5" xfId="1" applyNumberFormat="1" applyFont="1" applyFill="1" applyBorder="1" applyAlignment="1">
      <alignment horizontal="left" vertical="center" readingOrder="1"/>
    </xf>
    <xf numFmtId="4" fontId="3" fillId="2" borderId="2" xfId="2" applyNumberFormat="1" applyFont="1" applyFill="1" applyBorder="1" applyAlignment="1">
      <alignment horizontal="left" vertical="center" readingOrder="1"/>
    </xf>
    <xf numFmtId="4" fontId="3" fillId="2" borderId="3" xfId="2" applyNumberFormat="1" applyFont="1" applyFill="1" applyBorder="1" applyAlignment="1">
      <alignment horizontal="left" vertical="center" readingOrder="1"/>
    </xf>
    <xf numFmtId="4" fontId="3" fillId="2" borderId="0" xfId="2" applyNumberFormat="1" applyFont="1" applyFill="1" applyAlignment="1">
      <alignment horizontal="left" vertical="center" readingOrder="1"/>
    </xf>
    <xf numFmtId="4" fontId="3" fillId="2" borderId="5" xfId="2" applyNumberFormat="1" applyFont="1" applyFill="1" applyBorder="1" applyAlignment="1">
      <alignment horizontal="left" vertical="center" readingOrder="1"/>
    </xf>
    <xf numFmtId="4" fontId="5" fillId="2" borderId="4" xfId="1" applyNumberFormat="1" applyFont="1" applyFill="1" applyBorder="1" applyAlignment="1">
      <alignment horizontal="left" vertical="center"/>
    </xf>
    <xf numFmtId="4" fontId="5" fillId="2" borderId="0" xfId="1" applyNumberFormat="1" applyFont="1" applyFill="1" applyAlignment="1">
      <alignment horizontal="left" vertical="center"/>
    </xf>
    <xf numFmtId="4" fontId="5" fillId="2" borderId="5" xfId="1" applyNumberFormat="1" applyFont="1" applyFill="1" applyBorder="1" applyAlignment="1">
      <alignment horizontal="left" vertical="center"/>
    </xf>
    <xf numFmtId="0" fontId="7" fillId="2" borderId="4" xfId="7" applyFont="1" applyFill="1" applyBorder="1" applyAlignment="1">
      <alignment horizontal="left" vertical="center" wrapText="1" readingOrder="1"/>
    </xf>
    <xf numFmtId="0" fontId="7" fillId="2" borderId="0" xfId="7" applyFont="1" applyFill="1" applyAlignment="1">
      <alignment horizontal="left" vertical="center" wrapText="1" readingOrder="1"/>
    </xf>
    <xf numFmtId="0" fontId="7" fillId="2" borderId="5" xfId="7" applyFont="1" applyFill="1" applyBorder="1" applyAlignment="1">
      <alignment horizontal="left" vertical="center" wrapText="1" readingOrder="1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0" fontId="12" fillId="0" borderId="9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justify" wrapText="1"/>
    </xf>
    <xf numFmtId="0" fontId="12" fillId="0" borderId="9" xfId="7" applyFont="1" applyBorder="1" applyAlignment="1">
      <alignment horizontal="center" vertical="center" wrapText="1" readingOrder="1"/>
    </xf>
    <xf numFmtId="4" fontId="12" fillId="0" borderId="9" xfId="7" applyNumberFormat="1" applyFont="1" applyBorder="1" applyAlignment="1">
      <alignment horizontal="center" vertical="center"/>
    </xf>
    <xf numFmtId="4" fontId="13" fillId="0" borderId="9" xfId="7" applyNumberFormat="1" applyFont="1" applyBorder="1" applyAlignment="1">
      <alignment horizontal="center" vertical="center"/>
    </xf>
    <xf numFmtId="4" fontId="7" fillId="5" borderId="10" xfId="6" applyNumberFormat="1" applyFont="1" applyFill="1" applyBorder="1" applyAlignment="1">
      <alignment horizontal="center"/>
    </xf>
    <xf numFmtId="4" fontId="7" fillId="5" borderId="14" xfId="6" applyNumberFormat="1" applyFont="1" applyFill="1" applyBorder="1" applyAlignment="1">
      <alignment horizontal="center"/>
    </xf>
    <xf numFmtId="4" fontId="7" fillId="5" borderId="15" xfId="6" applyNumberFormat="1" applyFont="1" applyFill="1" applyBorder="1" applyAlignment="1">
      <alignment horizontal="center"/>
    </xf>
    <xf numFmtId="1" fontId="31" fillId="0" borderId="9" xfId="5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31" fillId="0" borderId="9" xfId="5" applyFont="1" applyBorder="1" applyAlignment="1">
      <alignment horizontal="left" vertical="top"/>
    </xf>
    <xf numFmtId="10" fontId="7" fillId="0" borderId="11" xfId="0" applyNumberFormat="1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0" fontId="23" fillId="0" borderId="9" xfId="5" applyFont="1" applyBorder="1" applyAlignment="1">
      <alignment horizontal="left" vertical="top"/>
    </xf>
    <xf numFmtId="1" fontId="31" fillId="0" borderId="15" xfId="5" applyNumberFormat="1" applyFont="1" applyBorder="1" applyAlignment="1">
      <alignment horizontal="left" vertical="top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 wrapText="1"/>
    </xf>
    <xf numFmtId="44" fontId="18" fillId="0" borderId="1" xfId="2" applyNumberFormat="1" applyFont="1" applyBorder="1" applyAlignment="1">
      <alignment horizontal="center" vertical="center" wrapText="1" readingOrder="1"/>
    </xf>
    <xf numFmtId="44" fontId="18" fillId="0" borderId="2" xfId="2" applyNumberFormat="1" applyFont="1" applyBorder="1" applyAlignment="1">
      <alignment horizontal="center" vertical="center" wrapText="1" readingOrder="1"/>
    </xf>
    <xf numFmtId="44" fontId="29" fillId="0" borderId="4" xfId="2" applyNumberFormat="1" applyFont="1" applyBorder="1" applyAlignment="1">
      <alignment horizontal="center" vertical="center" wrapText="1" readingOrder="1"/>
    </xf>
    <xf numFmtId="44" fontId="29" fillId="0" borderId="0" xfId="2" applyNumberFormat="1" applyFont="1" applyAlignment="1">
      <alignment horizontal="center" vertical="center" wrapText="1" readingOrder="1"/>
    </xf>
    <xf numFmtId="4" fontId="6" fillId="0" borderId="4" xfId="2" applyNumberFormat="1" applyFont="1" applyBorder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 wrapText="1" readingOrder="1"/>
    </xf>
    <xf numFmtId="0" fontId="6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13">
    <cellStyle name="Euro" xfId="6" xr:uid="{00000000-0005-0000-0000-000000000000}"/>
    <cellStyle name="Normal" xfId="0" builtinId="0"/>
    <cellStyle name="Normal 11 2" xfId="10" xr:uid="{DDBFC0D4-5615-42B2-B6D4-5B679AD4AA41}"/>
    <cellStyle name="Normal 12" xfId="9" xr:uid="{73DF026F-8EF4-439E-9A69-580581864BC0}"/>
    <cellStyle name="Normal 2" xfId="7" xr:uid="{00000000-0005-0000-0000-000002000000}"/>
    <cellStyle name="Normal 2 2" xfId="8" xr:uid="{BADD4948-7D04-4B0D-8AFE-F7D9825DD56D}"/>
    <cellStyle name="Normal 2 3" xfId="2" xr:uid="{00000000-0005-0000-0000-000003000000}"/>
    <cellStyle name="Normal_CRONOGRAMA" xfId="5" xr:uid="{00000000-0005-0000-0000-000004000000}"/>
    <cellStyle name="Normal_P_Getulio Vargas 2" xfId="1" xr:uid="{00000000-0005-0000-0000-000005000000}"/>
    <cellStyle name="Normal_RUAS 3,4,7 e 8 R-1" xfId="3" xr:uid="{00000000-0005-0000-0000-000006000000}"/>
    <cellStyle name="Separador de milhares_Orçamento nº013-PRODEC V.Primavera" xfId="4" xr:uid="{00000000-0005-0000-0000-000007000000}"/>
    <cellStyle name="Vírgula 2 2 2" xfId="12" xr:uid="{9A940F80-E2ED-460F-ABC9-EB93DEB24AD7}"/>
    <cellStyle name="Vírgula 4" xfId="11" xr:uid="{D52FDFD1-2B86-4AC2-998C-F33BD5036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8859518-23A4-4C5F-86FE-4EBBE188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825501</xdr:colOff>
      <xdr:row>1</xdr:row>
      <xdr:rowOff>269874</xdr:rowOff>
    </xdr:from>
    <xdr:to>
      <xdr:col>6</xdr:col>
      <xdr:colOff>2087647</xdr:colOff>
      <xdr:row>5</xdr:row>
      <xdr:rowOff>273049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1" y="523874"/>
          <a:ext cx="211939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0"/>
  <sheetViews>
    <sheetView view="pageBreakPreview" zoomScale="70" zoomScaleNormal="75" zoomScaleSheetLayoutView="70" workbookViewId="0">
      <selection activeCell="C5" sqref="C5:E5"/>
    </sheetView>
  </sheetViews>
  <sheetFormatPr defaultRowHeight="14.25"/>
  <cols>
    <col min="1" max="1" width="6.85546875" style="52" customWidth="1"/>
    <col min="2" max="2" width="26.28515625" style="53" customWidth="1"/>
    <col min="3" max="3" width="94.7109375" style="54" customWidth="1"/>
    <col min="4" max="4" width="10.5703125" style="55" customWidth="1"/>
    <col min="5" max="5" width="24" style="54" customWidth="1"/>
    <col min="6" max="6" width="24.5703125" style="54" bestFit="1" customWidth="1"/>
    <col min="7" max="7" width="17.7109375" style="54" bestFit="1" customWidth="1"/>
    <col min="8" max="8" width="17.42578125" style="54" bestFit="1" customWidth="1"/>
    <col min="9" max="9" width="17.5703125" style="56" bestFit="1" customWidth="1"/>
    <col min="10" max="10" width="45.7109375" style="39" customWidth="1"/>
    <col min="11" max="253" width="9.140625" style="39"/>
    <col min="254" max="254" width="6.85546875" style="39" customWidth="1"/>
    <col min="255" max="255" width="26.28515625" style="39" customWidth="1"/>
    <col min="256" max="256" width="94.7109375" style="39" customWidth="1"/>
    <col min="257" max="257" width="10.5703125" style="39" customWidth="1"/>
    <col min="258" max="258" width="24" style="39" customWidth="1"/>
    <col min="259" max="259" width="24.5703125" style="39" bestFit="1" customWidth="1"/>
    <col min="260" max="260" width="17.7109375" style="39" bestFit="1" customWidth="1"/>
    <col min="261" max="261" width="17.42578125" style="39" bestFit="1" customWidth="1"/>
    <col min="262" max="262" width="17.5703125" style="39" bestFit="1" customWidth="1"/>
    <col min="263" max="263" width="9.28515625" style="39" bestFit="1" customWidth="1"/>
    <col min="264" max="264" width="10.28515625" style="39" bestFit="1" customWidth="1"/>
    <col min="265" max="265" width="45.7109375" style="39" customWidth="1"/>
    <col min="266" max="509" width="9.140625" style="39"/>
    <col min="510" max="510" width="6.85546875" style="39" customWidth="1"/>
    <col min="511" max="511" width="26.28515625" style="39" customWidth="1"/>
    <col min="512" max="512" width="94.7109375" style="39" customWidth="1"/>
    <col min="513" max="513" width="10.5703125" style="39" customWidth="1"/>
    <col min="514" max="514" width="24" style="39" customWidth="1"/>
    <col min="515" max="515" width="24.5703125" style="39" bestFit="1" customWidth="1"/>
    <col min="516" max="516" width="17.7109375" style="39" bestFit="1" customWidth="1"/>
    <col min="517" max="517" width="17.42578125" style="39" bestFit="1" customWidth="1"/>
    <col min="518" max="518" width="17.5703125" style="39" bestFit="1" customWidth="1"/>
    <col min="519" max="519" width="9.28515625" style="39" bestFit="1" customWidth="1"/>
    <col min="520" max="520" width="10.28515625" style="39" bestFit="1" customWidth="1"/>
    <col min="521" max="521" width="45.7109375" style="39" customWidth="1"/>
    <col min="522" max="765" width="9.140625" style="39"/>
    <col min="766" max="766" width="6.85546875" style="39" customWidth="1"/>
    <col min="767" max="767" width="26.28515625" style="39" customWidth="1"/>
    <col min="768" max="768" width="94.7109375" style="39" customWidth="1"/>
    <col min="769" max="769" width="10.5703125" style="39" customWidth="1"/>
    <col min="770" max="770" width="24" style="39" customWidth="1"/>
    <col min="771" max="771" width="24.5703125" style="39" bestFit="1" customWidth="1"/>
    <col min="772" max="772" width="17.7109375" style="39" bestFit="1" customWidth="1"/>
    <col min="773" max="773" width="17.42578125" style="39" bestFit="1" customWidth="1"/>
    <col min="774" max="774" width="17.5703125" style="39" bestFit="1" customWidth="1"/>
    <col min="775" max="775" width="9.28515625" style="39" bestFit="1" customWidth="1"/>
    <col min="776" max="776" width="10.28515625" style="39" bestFit="1" customWidth="1"/>
    <col min="777" max="777" width="45.7109375" style="39" customWidth="1"/>
    <col min="778" max="1021" width="9.140625" style="39"/>
    <col min="1022" max="1022" width="6.85546875" style="39" customWidth="1"/>
    <col min="1023" max="1023" width="26.28515625" style="39" customWidth="1"/>
    <col min="1024" max="1024" width="94.7109375" style="39" customWidth="1"/>
    <col min="1025" max="1025" width="10.5703125" style="39" customWidth="1"/>
    <col min="1026" max="1026" width="24" style="39" customWidth="1"/>
    <col min="1027" max="1027" width="24.5703125" style="39" bestFit="1" customWidth="1"/>
    <col min="1028" max="1028" width="17.7109375" style="39" bestFit="1" customWidth="1"/>
    <col min="1029" max="1029" width="17.42578125" style="39" bestFit="1" customWidth="1"/>
    <col min="1030" max="1030" width="17.5703125" style="39" bestFit="1" customWidth="1"/>
    <col min="1031" max="1031" width="9.28515625" style="39" bestFit="1" customWidth="1"/>
    <col min="1032" max="1032" width="10.28515625" style="39" bestFit="1" customWidth="1"/>
    <col min="1033" max="1033" width="45.7109375" style="39" customWidth="1"/>
    <col min="1034" max="1277" width="9.140625" style="39"/>
    <col min="1278" max="1278" width="6.85546875" style="39" customWidth="1"/>
    <col min="1279" max="1279" width="26.28515625" style="39" customWidth="1"/>
    <col min="1280" max="1280" width="94.7109375" style="39" customWidth="1"/>
    <col min="1281" max="1281" width="10.5703125" style="39" customWidth="1"/>
    <col min="1282" max="1282" width="24" style="39" customWidth="1"/>
    <col min="1283" max="1283" width="24.5703125" style="39" bestFit="1" customWidth="1"/>
    <col min="1284" max="1284" width="17.7109375" style="39" bestFit="1" customWidth="1"/>
    <col min="1285" max="1285" width="17.42578125" style="39" bestFit="1" customWidth="1"/>
    <col min="1286" max="1286" width="17.5703125" style="39" bestFit="1" customWidth="1"/>
    <col min="1287" max="1287" width="9.28515625" style="39" bestFit="1" customWidth="1"/>
    <col min="1288" max="1288" width="10.28515625" style="39" bestFit="1" customWidth="1"/>
    <col min="1289" max="1289" width="45.7109375" style="39" customWidth="1"/>
    <col min="1290" max="1533" width="9.140625" style="39"/>
    <col min="1534" max="1534" width="6.85546875" style="39" customWidth="1"/>
    <col min="1535" max="1535" width="26.28515625" style="39" customWidth="1"/>
    <col min="1536" max="1536" width="94.7109375" style="39" customWidth="1"/>
    <col min="1537" max="1537" width="10.5703125" style="39" customWidth="1"/>
    <col min="1538" max="1538" width="24" style="39" customWidth="1"/>
    <col min="1539" max="1539" width="24.5703125" style="39" bestFit="1" customWidth="1"/>
    <col min="1540" max="1540" width="17.7109375" style="39" bestFit="1" customWidth="1"/>
    <col min="1541" max="1541" width="17.42578125" style="39" bestFit="1" customWidth="1"/>
    <col min="1542" max="1542" width="17.5703125" style="39" bestFit="1" customWidth="1"/>
    <col min="1543" max="1543" width="9.28515625" style="39" bestFit="1" customWidth="1"/>
    <col min="1544" max="1544" width="10.28515625" style="39" bestFit="1" customWidth="1"/>
    <col min="1545" max="1545" width="45.7109375" style="39" customWidth="1"/>
    <col min="1546" max="1789" width="9.140625" style="39"/>
    <col min="1790" max="1790" width="6.85546875" style="39" customWidth="1"/>
    <col min="1791" max="1791" width="26.28515625" style="39" customWidth="1"/>
    <col min="1792" max="1792" width="94.7109375" style="39" customWidth="1"/>
    <col min="1793" max="1793" width="10.5703125" style="39" customWidth="1"/>
    <col min="1794" max="1794" width="24" style="39" customWidth="1"/>
    <col min="1795" max="1795" width="24.5703125" style="39" bestFit="1" customWidth="1"/>
    <col min="1796" max="1796" width="17.7109375" style="39" bestFit="1" customWidth="1"/>
    <col min="1797" max="1797" width="17.42578125" style="39" bestFit="1" customWidth="1"/>
    <col min="1798" max="1798" width="17.5703125" style="39" bestFit="1" customWidth="1"/>
    <col min="1799" max="1799" width="9.28515625" style="39" bestFit="1" customWidth="1"/>
    <col min="1800" max="1800" width="10.28515625" style="39" bestFit="1" customWidth="1"/>
    <col min="1801" max="1801" width="45.7109375" style="39" customWidth="1"/>
    <col min="1802" max="2045" width="9.140625" style="39"/>
    <col min="2046" max="2046" width="6.85546875" style="39" customWidth="1"/>
    <col min="2047" max="2047" width="26.28515625" style="39" customWidth="1"/>
    <col min="2048" max="2048" width="94.7109375" style="39" customWidth="1"/>
    <col min="2049" max="2049" width="10.5703125" style="39" customWidth="1"/>
    <col min="2050" max="2050" width="24" style="39" customWidth="1"/>
    <col min="2051" max="2051" width="24.5703125" style="39" bestFit="1" customWidth="1"/>
    <col min="2052" max="2052" width="17.7109375" style="39" bestFit="1" customWidth="1"/>
    <col min="2053" max="2053" width="17.42578125" style="39" bestFit="1" customWidth="1"/>
    <col min="2054" max="2054" width="17.5703125" style="39" bestFit="1" customWidth="1"/>
    <col min="2055" max="2055" width="9.28515625" style="39" bestFit="1" customWidth="1"/>
    <col min="2056" max="2056" width="10.28515625" style="39" bestFit="1" customWidth="1"/>
    <col min="2057" max="2057" width="45.7109375" style="39" customWidth="1"/>
    <col min="2058" max="2301" width="9.140625" style="39"/>
    <col min="2302" max="2302" width="6.85546875" style="39" customWidth="1"/>
    <col min="2303" max="2303" width="26.28515625" style="39" customWidth="1"/>
    <col min="2304" max="2304" width="94.7109375" style="39" customWidth="1"/>
    <col min="2305" max="2305" width="10.5703125" style="39" customWidth="1"/>
    <col min="2306" max="2306" width="24" style="39" customWidth="1"/>
    <col min="2307" max="2307" width="24.5703125" style="39" bestFit="1" customWidth="1"/>
    <col min="2308" max="2308" width="17.7109375" style="39" bestFit="1" customWidth="1"/>
    <col min="2309" max="2309" width="17.42578125" style="39" bestFit="1" customWidth="1"/>
    <col min="2310" max="2310" width="17.5703125" style="39" bestFit="1" customWidth="1"/>
    <col min="2311" max="2311" width="9.28515625" style="39" bestFit="1" customWidth="1"/>
    <col min="2312" max="2312" width="10.28515625" style="39" bestFit="1" customWidth="1"/>
    <col min="2313" max="2313" width="45.7109375" style="39" customWidth="1"/>
    <col min="2314" max="2557" width="9.140625" style="39"/>
    <col min="2558" max="2558" width="6.85546875" style="39" customWidth="1"/>
    <col min="2559" max="2559" width="26.28515625" style="39" customWidth="1"/>
    <col min="2560" max="2560" width="94.7109375" style="39" customWidth="1"/>
    <col min="2561" max="2561" width="10.5703125" style="39" customWidth="1"/>
    <col min="2562" max="2562" width="24" style="39" customWidth="1"/>
    <col min="2563" max="2563" width="24.5703125" style="39" bestFit="1" customWidth="1"/>
    <col min="2564" max="2564" width="17.7109375" style="39" bestFit="1" customWidth="1"/>
    <col min="2565" max="2565" width="17.42578125" style="39" bestFit="1" customWidth="1"/>
    <col min="2566" max="2566" width="17.5703125" style="39" bestFit="1" customWidth="1"/>
    <col min="2567" max="2567" width="9.28515625" style="39" bestFit="1" customWidth="1"/>
    <col min="2568" max="2568" width="10.28515625" style="39" bestFit="1" customWidth="1"/>
    <col min="2569" max="2569" width="45.7109375" style="39" customWidth="1"/>
    <col min="2570" max="2813" width="9.140625" style="39"/>
    <col min="2814" max="2814" width="6.85546875" style="39" customWidth="1"/>
    <col min="2815" max="2815" width="26.28515625" style="39" customWidth="1"/>
    <col min="2816" max="2816" width="94.7109375" style="39" customWidth="1"/>
    <col min="2817" max="2817" width="10.5703125" style="39" customWidth="1"/>
    <col min="2818" max="2818" width="24" style="39" customWidth="1"/>
    <col min="2819" max="2819" width="24.5703125" style="39" bestFit="1" customWidth="1"/>
    <col min="2820" max="2820" width="17.7109375" style="39" bestFit="1" customWidth="1"/>
    <col min="2821" max="2821" width="17.42578125" style="39" bestFit="1" customWidth="1"/>
    <col min="2822" max="2822" width="17.5703125" style="39" bestFit="1" customWidth="1"/>
    <col min="2823" max="2823" width="9.28515625" style="39" bestFit="1" customWidth="1"/>
    <col min="2824" max="2824" width="10.28515625" style="39" bestFit="1" customWidth="1"/>
    <col min="2825" max="2825" width="45.7109375" style="39" customWidth="1"/>
    <col min="2826" max="3069" width="9.140625" style="39"/>
    <col min="3070" max="3070" width="6.85546875" style="39" customWidth="1"/>
    <col min="3071" max="3071" width="26.28515625" style="39" customWidth="1"/>
    <col min="3072" max="3072" width="94.7109375" style="39" customWidth="1"/>
    <col min="3073" max="3073" width="10.5703125" style="39" customWidth="1"/>
    <col min="3074" max="3074" width="24" style="39" customWidth="1"/>
    <col min="3075" max="3075" width="24.5703125" style="39" bestFit="1" customWidth="1"/>
    <col min="3076" max="3076" width="17.7109375" style="39" bestFit="1" customWidth="1"/>
    <col min="3077" max="3077" width="17.42578125" style="39" bestFit="1" customWidth="1"/>
    <col min="3078" max="3078" width="17.5703125" style="39" bestFit="1" customWidth="1"/>
    <col min="3079" max="3079" width="9.28515625" style="39" bestFit="1" customWidth="1"/>
    <col min="3080" max="3080" width="10.28515625" style="39" bestFit="1" customWidth="1"/>
    <col min="3081" max="3081" width="45.7109375" style="39" customWidth="1"/>
    <col min="3082" max="3325" width="9.140625" style="39"/>
    <col min="3326" max="3326" width="6.85546875" style="39" customWidth="1"/>
    <col min="3327" max="3327" width="26.28515625" style="39" customWidth="1"/>
    <col min="3328" max="3328" width="94.7109375" style="39" customWidth="1"/>
    <col min="3329" max="3329" width="10.5703125" style="39" customWidth="1"/>
    <col min="3330" max="3330" width="24" style="39" customWidth="1"/>
    <col min="3331" max="3331" width="24.5703125" style="39" bestFit="1" customWidth="1"/>
    <col min="3332" max="3332" width="17.7109375" style="39" bestFit="1" customWidth="1"/>
    <col min="3333" max="3333" width="17.42578125" style="39" bestFit="1" customWidth="1"/>
    <col min="3334" max="3334" width="17.5703125" style="39" bestFit="1" customWidth="1"/>
    <col min="3335" max="3335" width="9.28515625" style="39" bestFit="1" customWidth="1"/>
    <col min="3336" max="3336" width="10.28515625" style="39" bestFit="1" customWidth="1"/>
    <col min="3337" max="3337" width="45.7109375" style="39" customWidth="1"/>
    <col min="3338" max="3581" width="9.140625" style="39"/>
    <col min="3582" max="3582" width="6.85546875" style="39" customWidth="1"/>
    <col min="3583" max="3583" width="26.28515625" style="39" customWidth="1"/>
    <col min="3584" max="3584" width="94.7109375" style="39" customWidth="1"/>
    <col min="3585" max="3585" width="10.5703125" style="39" customWidth="1"/>
    <col min="3586" max="3586" width="24" style="39" customWidth="1"/>
    <col min="3587" max="3587" width="24.5703125" style="39" bestFit="1" customWidth="1"/>
    <col min="3588" max="3588" width="17.7109375" style="39" bestFit="1" customWidth="1"/>
    <col min="3589" max="3589" width="17.42578125" style="39" bestFit="1" customWidth="1"/>
    <col min="3590" max="3590" width="17.5703125" style="39" bestFit="1" customWidth="1"/>
    <col min="3591" max="3591" width="9.28515625" style="39" bestFit="1" customWidth="1"/>
    <col min="3592" max="3592" width="10.28515625" style="39" bestFit="1" customWidth="1"/>
    <col min="3593" max="3593" width="45.7109375" style="39" customWidth="1"/>
    <col min="3594" max="3837" width="9.140625" style="39"/>
    <col min="3838" max="3838" width="6.85546875" style="39" customWidth="1"/>
    <col min="3839" max="3839" width="26.28515625" style="39" customWidth="1"/>
    <col min="3840" max="3840" width="94.7109375" style="39" customWidth="1"/>
    <col min="3841" max="3841" width="10.5703125" style="39" customWidth="1"/>
    <col min="3842" max="3842" width="24" style="39" customWidth="1"/>
    <col min="3843" max="3843" width="24.5703125" style="39" bestFit="1" customWidth="1"/>
    <col min="3844" max="3844" width="17.7109375" style="39" bestFit="1" customWidth="1"/>
    <col min="3845" max="3845" width="17.42578125" style="39" bestFit="1" customWidth="1"/>
    <col min="3846" max="3846" width="17.5703125" style="39" bestFit="1" customWidth="1"/>
    <col min="3847" max="3847" width="9.28515625" style="39" bestFit="1" customWidth="1"/>
    <col min="3848" max="3848" width="10.28515625" style="39" bestFit="1" customWidth="1"/>
    <col min="3849" max="3849" width="45.7109375" style="39" customWidth="1"/>
    <col min="3850" max="4093" width="9.140625" style="39"/>
    <col min="4094" max="4094" width="6.85546875" style="39" customWidth="1"/>
    <col min="4095" max="4095" width="26.28515625" style="39" customWidth="1"/>
    <col min="4096" max="4096" width="94.7109375" style="39" customWidth="1"/>
    <col min="4097" max="4097" width="10.5703125" style="39" customWidth="1"/>
    <col min="4098" max="4098" width="24" style="39" customWidth="1"/>
    <col min="4099" max="4099" width="24.5703125" style="39" bestFit="1" customWidth="1"/>
    <col min="4100" max="4100" width="17.7109375" style="39" bestFit="1" customWidth="1"/>
    <col min="4101" max="4101" width="17.42578125" style="39" bestFit="1" customWidth="1"/>
    <col min="4102" max="4102" width="17.5703125" style="39" bestFit="1" customWidth="1"/>
    <col min="4103" max="4103" width="9.28515625" style="39" bestFit="1" customWidth="1"/>
    <col min="4104" max="4104" width="10.28515625" style="39" bestFit="1" customWidth="1"/>
    <col min="4105" max="4105" width="45.7109375" style="39" customWidth="1"/>
    <col min="4106" max="4349" width="9.140625" style="39"/>
    <col min="4350" max="4350" width="6.85546875" style="39" customWidth="1"/>
    <col min="4351" max="4351" width="26.28515625" style="39" customWidth="1"/>
    <col min="4352" max="4352" width="94.7109375" style="39" customWidth="1"/>
    <col min="4353" max="4353" width="10.5703125" style="39" customWidth="1"/>
    <col min="4354" max="4354" width="24" style="39" customWidth="1"/>
    <col min="4355" max="4355" width="24.5703125" style="39" bestFit="1" customWidth="1"/>
    <col min="4356" max="4356" width="17.7109375" style="39" bestFit="1" customWidth="1"/>
    <col min="4357" max="4357" width="17.42578125" style="39" bestFit="1" customWidth="1"/>
    <col min="4358" max="4358" width="17.5703125" style="39" bestFit="1" customWidth="1"/>
    <col min="4359" max="4359" width="9.28515625" style="39" bestFit="1" customWidth="1"/>
    <col min="4360" max="4360" width="10.28515625" style="39" bestFit="1" customWidth="1"/>
    <col min="4361" max="4361" width="45.7109375" style="39" customWidth="1"/>
    <col min="4362" max="4605" width="9.140625" style="39"/>
    <col min="4606" max="4606" width="6.85546875" style="39" customWidth="1"/>
    <col min="4607" max="4607" width="26.28515625" style="39" customWidth="1"/>
    <col min="4608" max="4608" width="94.7109375" style="39" customWidth="1"/>
    <col min="4609" max="4609" width="10.5703125" style="39" customWidth="1"/>
    <col min="4610" max="4610" width="24" style="39" customWidth="1"/>
    <col min="4611" max="4611" width="24.5703125" style="39" bestFit="1" customWidth="1"/>
    <col min="4612" max="4612" width="17.7109375" style="39" bestFit="1" customWidth="1"/>
    <col min="4613" max="4613" width="17.42578125" style="39" bestFit="1" customWidth="1"/>
    <col min="4614" max="4614" width="17.5703125" style="39" bestFit="1" customWidth="1"/>
    <col min="4615" max="4615" width="9.28515625" style="39" bestFit="1" customWidth="1"/>
    <col min="4616" max="4616" width="10.28515625" style="39" bestFit="1" customWidth="1"/>
    <col min="4617" max="4617" width="45.7109375" style="39" customWidth="1"/>
    <col min="4618" max="4861" width="9.140625" style="39"/>
    <col min="4862" max="4862" width="6.85546875" style="39" customWidth="1"/>
    <col min="4863" max="4863" width="26.28515625" style="39" customWidth="1"/>
    <col min="4864" max="4864" width="94.7109375" style="39" customWidth="1"/>
    <col min="4865" max="4865" width="10.5703125" style="39" customWidth="1"/>
    <col min="4866" max="4866" width="24" style="39" customWidth="1"/>
    <col min="4867" max="4867" width="24.5703125" style="39" bestFit="1" customWidth="1"/>
    <col min="4868" max="4868" width="17.7109375" style="39" bestFit="1" customWidth="1"/>
    <col min="4869" max="4869" width="17.42578125" style="39" bestFit="1" customWidth="1"/>
    <col min="4870" max="4870" width="17.5703125" style="39" bestFit="1" customWidth="1"/>
    <col min="4871" max="4871" width="9.28515625" style="39" bestFit="1" customWidth="1"/>
    <col min="4872" max="4872" width="10.28515625" style="39" bestFit="1" customWidth="1"/>
    <col min="4873" max="4873" width="45.7109375" style="39" customWidth="1"/>
    <col min="4874" max="5117" width="9.140625" style="39"/>
    <col min="5118" max="5118" width="6.85546875" style="39" customWidth="1"/>
    <col min="5119" max="5119" width="26.28515625" style="39" customWidth="1"/>
    <col min="5120" max="5120" width="94.7109375" style="39" customWidth="1"/>
    <col min="5121" max="5121" width="10.5703125" style="39" customWidth="1"/>
    <col min="5122" max="5122" width="24" style="39" customWidth="1"/>
    <col min="5123" max="5123" width="24.5703125" style="39" bestFit="1" customWidth="1"/>
    <col min="5124" max="5124" width="17.7109375" style="39" bestFit="1" customWidth="1"/>
    <col min="5125" max="5125" width="17.42578125" style="39" bestFit="1" customWidth="1"/>
    <col min="5126" max="5126" width="17.5703125" style="39" bestFit="1" customWidth="1"/>
    <col min="5127" max="5127" width="9.28515625" style="39" bestFit="1" customWidth="1"/>
    <col min="5128" max="5128" width="10.28515625" style="39" bestFit="1" customWidth="1"/>
    <col min="5129" max="5129" width="45.7109375" style="39" customWidth="1"/>
    <col min="5130" max="5373" width="9.140625" style="39"/>
    <col min="5374" max="5374" width="6.85546875" style="39" customWidth="1"/>
    <col min="5375" max="5375" width="26.28515625" style="39" customWidth="1"/>
    <col min="5376" max="5376" width="94.7109375" style="39" customWidth="1"/>
    <col min="5377" max="5377" width="10.5703125" style="39" customWidth="1"/>
    <col min="5378" max="5378" width="24" style="39" customWidth="1"/>
    <col min="5379" max="5379" width="24.5703125" style="39" bestFit="1" customWidth="1"/>
    <col min="5380" max="5380" width="17.7109375" style="39" bestFit="1" customWidth="1"/>
    <col min="5381" max="5381" width="17.42578125" style="39" bestFit="1" customWidth="1"/>
    <col min="5382" max="5382" width="17.5703125" style="39" bestFit="1" customWidth="1"/>
    <col min="5383" max="5383" width="9.28515625" style="39" bestFit="1" customWidth="1"/>
    <col min="5384" max="5384" width="10.28515625" style="39" bestFit="1" customWidth="1"/>
    <col min="5385" max="5385" width="45.7109375" style="39" customWidth="1"/>
    <col min="5386" max="5629" width="9.140625" style="39"/>
    <col min="5630" max="5630" width="6.85546875" style="39" customWidth="1"/>
    <col min="5631" max="5631" width="26.28515625" style="39" customWidth="1"/>
    <col min="5632" max="5632" width="94.7109375" style="39" customWidth="1"/>
    <col min="5633" max="5633" width="10.5703125" style="39" customWidth="1"/>
    <col min="5634" max="5634" width="24" style="39" customWidth="1"/>
    <col min="5635" max="5635" width="24.5703125" style="39" bestFit="1" customWidth="1"/>
    <col min="5636" max="5636" width="17.7109375" style="39" bestFit="1" customWidth="1"/>
    <col min="5637" max="5637" width="17.42578125" style="39" bestFit="1" customWidth="1"/>
    <col min="5638" max="5638" width="17.5703125" style="39" bestFit="1" customWidth="1"/>
    <col min="5639" max="5639" width="9.28515625" style="39" bestFit="1" customWidth="1"/>
    <col min="5640" max="5640" width="10.28515625" style="39" bestFit="1" customWidth="1"/>
    <col min="5641" max="5641" width="45.7109375" style="39" customWidth="1"/>
    <col min="5642" max="5885" width="9.140625" style="39"/>
    <col min="5886" max="5886" width="6.85546875" style="39" customWidth="1"/>
    <col min="5887" max="5887" width="26.28515625" style="39" customWidth="1"/>
    <col min="5888" max="5888" width="94.7109375" style="39" customWidth="1"/>
    <col min="5889" max="5889" width="10.5703125" style="39" customWidth="1"/>
    <col min="5890" max="5890" width="24" style="39" customWidth="1"/>
    <col min="5891" max="5891" width="24.5703125" style="39" bestFit="1" customWidth="1"/>
    <col min="5892" max="5892" width="17.7109375" style="39" bestFit="1" customWidth="1"/>
    <col min="5893" max="5893" width="17.42578125" style="39" bestFit="1" customWidth="1"/>
    <col min="5894" max="5894" width="17.5703125" style="39" bestFit="1" customWidth="1"/>
    <col min="5895" max="5895" width="9.28515625" style="39" bestFit="1" customWidth="1"/>
    <col min="5896" max="5896" width="10.28515625" style="39" bestFit="1" customWidth="1"/>
    <col min="5897" max="5897" width="45.7109375" style="39" customWidth="1"/>
    <col min="5898" max="6141" width="9.140625" style="39"/>
    <col min="6142" max="6142" width="6.85546875" style="39" customWidth="1"/>
    <col min="6143" max="6143" width="26.28515625" style="39" customWidth="1"/>
    <col min="6144" max="6144" width="94.7109375" style="39" customWidth="1"/>
    <col min="6145" max="6145" width="10.5703125" style="39" customWidth="1"/>
    <col min="6146" max="6146" width="24" style="39" customWidth="1"/>
    <col min="6147" max="6147" width="24.5703125" style="39" bestFit="1" customWidth="1"/>
    <col min="6148" max="6148" width="17.7109375" style="39" bestFit="1" customWidth="1"/>
    <col min="6149" max="6149" width="17.42578125" style="39" bestFit="1" customWidth="1"/>
    <col min="6150" max="6150" width="17.5703125" style="39" bestFit="1" customWidth="1"/>
    <col min="6151" max="6151" width="9.28515625" style="39" bestFit="1" customWidth="1"/>
    <col min="6152" max="6152" width="10.28515625" style="39" bestFit="1" customWidth="1"/>
    <col min="6153" max="6153" width="45.7109375" style="39" customWidth="1"/>
    <col min="6154" max="6397" width="9.140625" style="39"/>
    <col min="6398" max="6398" width="6.85546875" style="39" customWidth="1"/>
    <col min="6399" max="6399" width="26.28515625" style="39" customWidth="1"/>
    <col min="6400" max="6400" width="94.7109375" style="39" customWidth="1"/>
    <col min="6401" max="6401" width="10.5703125" style="39" customWidth="1"/>
    <col min="6402" max="6402" width="24" style="39" customWidth="1"/>
    <col min="6403" max="6403" width="24.5703125" style="39" bestFit="1" customWidth="1"/>
    <col min="6404" max="6404" width="17.7109375" style="39" bestFit="1" customWidth="1"/>
    <col min="6405" max="6405" width="17.42578125" style="39" bestFit="1" customWidth="1"/>
    <col min="6406" max="6406" width="17.5703125" style="39" bestFit="1" customWidth="1"/>
    <col min="6407" max="6407" width="9.28515625" style="39" bestFit="1" customWidth="1"/>
    <col min="6408" max="6408" width="10.28515625" style="39" bestFit="1" customWidth="1"/>
    <col min="6409" max="6409" width="45.7109375" style="39" customWidth="1"/>
    <col min="6410" max="6653" width="9.140625" style="39"/>
    <col min="6654" max="6654" width="6.85546875" style="39" customWidth="1"/>
    <col min="6655" max="6655" width="26.28515625" style="39" customWidth="1"/>
    <col min="6656" max="6656" width="94.7109375" style="39" customWidth="1"/>
    <col min="6657" max="6657" width="10.5703125" style="39" customWidth="1"/>
    <col min="6658" max="6658" width="24" style="39" customWidth="1"/>
    <col min="6659" max="6659" width="24.5703125" style="39" bestFit="1" customWidth="1"/>
    <col min="6660" max="6660" width="17.7109375" style="39" bestFit="1" customWidth="1"/>
    <col min="6661" max="6661" width="17.42578125" style="39" bestFit="1" customWidth="1"/>
    <col min="6662" max="6662" width="17.5703125" style="39" bestFit="1" customWidth="1"/>
    <col min="6663" max="6663" width="9.28515625" style="39" bestFit="1" customWidth="1"/>
    <col min="6664" max="6664" width="10.28515625" style="39" bestFit="1" customWidth="1"/>
    <col min="6665" max="6665" width="45.7109375" style="39" customWidth="1"/>
    <col min="6666" max="6909" width="9.140625" style="39"/>
    <col min="6910" max="6910" width="6.85546875" style="39" customWidth="1"/>
    <col min="6911" max="6911" width="26.28515625" style="39" customWidth="1"/>
    <col min="6912" max="6912" width="94.7109375" style="39" customWidth="1"/>
    <col min="6913" max="6913" width="10.5703125" style="39" customWidth="1"/>
    <col min="6914" max="6914" width="24" style="39" customWidth="1"/>
    <col min="6915" max="6915" width="24.5703125" style="39" bestFit="1" customWidth="1"/>
    <col min="6916" max="6916" width="17.7109375" style="39" bestFit="1" customWidth="1"/>
    <col min="6917" max="6917" width="17.42578125" style="39" bestFit="1" customWidth="1"/>
    <col min="6918" max="6918" width="17.5703125" style="39" bestFit="1" customWidth="1"/>
    <col min="6919" max="6919" width="9.28515625" style="39" bestFit="1" customWidth="1"/>
    <col min="6920" max="6920" width="10.28515625" style="39" bestFit="1" customWidth="1"/>
    <col min="6921" max="6921" width="45.7109375" style="39" customWidth="1"/>
    <col min="6922" max="7165" width="9.140625" style="39"/>
    <col min="7166" max="7166" width="6.85546875" style="39" customWidth="1"/>
    <col min="7167" max="7167" width="26.28515625" style="39" customWidth="1"/>
    <col min="7168" max="7168" width="94.7109375" style="39" customWidth="1"/>
    <col min="7169" max="7169" width="10.5703125" style="39" customWidth="1"/>
    <col min="7170" max="7170" width="24" style="39" customWidth="1"/>
    <col min="7171" max="7171" width="24.5703125" style="39" bestFit="1" customWidth="1"/>
    <col min="7172" max="7172" width="17.7109375" style="39" bestFit="1" customWidth="1"/>
    <col min="7173" max="7173" width="17.42578125" style="39" bestFit="1" customWidth="1"/>
    <col min="7174" max="7174" width="17.5703125" style="39" bestFit="1" customWidth="1"/>
    <col min="7175" max="7175" width="9.28515625" style="39" bestFit="1" customWidth="1"/>
    <col min="7176" max="7176" width="10.28515625" style="39" bestFit="1" customWidth="1"/>
    <col min="7177" max="7177" width="45.7109375" style="39" customWidth="1"/>
    <col min="7178" max="7421" width="9.140625" style="39"/>
    <col min="7422" max="7422" width="6.85546875" style="39" customWidth="1"/>
    <col min="7423" max="7423" width="26.28515625" style="39" customWidth="1"/>
    <col min="7424" max="7424" width="94.7109375" style="39" customWidth="1"/>
    <col min="7425" max="7425" width="10.5703125" style="39" customWidth="1"/>
    <col min="7426" max="7426" width="24" style="39" customWidth="1"/>
    <col min="7427" max="7427" width="24.5703125" style="39" bestFit="1" customWidth="1"/>
    <col min="7428" max="7428" width="17.7109375" style="39" bestFit="1" customWidth="1"/>
    <col min="7429" max="7429" width="17.42578125" style="39" bestFit="1" customWidth="1"/>
    <col min="7430" max="7430" width="17.5703125" style="39" bestFit="1" customWidth="1"/>
    <col min="7431" max="7431" width="9.28515625" style="39" bestFit="1" customWidth="1"/>
    <col min="7432" max="7432" width="10.28515625" style="39" bestFit="1" customWidth="1"/>
    <col min="7433" max="7433" width="45.7109375" style="39" customWidth="1"/>
    <col min="7434" max="7677" width="9.140625" style="39"/>
    <col min="7678" max="7678" width="6.85546875" style="39" customWidth="1"/>
    <col min="7679" max="7679" width="26.28515625" style="39" customWidth="1"/>
    <col min="7680" max="7680" width="94.7109375" style="39" customWidth="1"/>
    <col min="7681" max="7681" width="10.5703125" style="39" customWidth="1"/>
    <col min="7682" max="7682" width="24" style="39" customWidth="1"/>
    <col min="7683" max="7683" width="24.5703125" style="39" bestFit="1" customWidth="1"/>
    <col min="7684" max="7684" width="17.7109375" style="39" bestFit="1" customWidth="1"/>
    <col min="7685" max="7685" width="17.42578125" style="39" bestFit="1" customWidth="1"/>
    <col min="7686" max="7686" width="17.5703125" style="39" bestFit="1" customWidth="1"/>
    <col min="7687" max="7687" width="9.28515625" style="39" bestFit="1" customWidth="1"/>
    <col min="7688" max="7688" width="10.28515625" style="39" bestFit="1" customWidth="1"/>
    <col min="7689" max="7689" width="45.7109375" style="39" customWidth="1"/>
    <col min="7690" max="7933" width="9.140625" style="39"/>
    <col min="7934" max="7934" width="6.85546875" style="39" customWidth="1"/>
    <col min="7935" max="7935" width="26.28515625" style="39" customWidth="1"/>
    <col min="7936" max="7936" width="94.7109375" style="39" customWidth="1"/>
    <col min="7937" max="7937" width="10.5703125" style="39" customWidth="1"/>
    <col min="7938" max="7938" width="24" style="39" customWidth="1"/>
    <col min="7939" max="7939" width="24.5703125" style="39" bestFit="1" customWidth="1"/>
    <col min="7940" max="7940" width="17.7109375" style="39" bestFit="1" customWidth="1"/>
    <col min="7941" max="7941" width="17.42578125" style="39" bestFit="1" customWidth="1"/>
    <col min="7942" max="7942" width="17.5703125" style="39" bestFit="1" customWidth="1"/>
    <col min="7943" max="7943" width="9.28515625" style="39" bestFit="1" customWidth="1"/>
    <col min="7944" max="7944" width="10.28515625" style="39" bestFit="1" customWidth="1"/>
    <col min="7945" max="7945" width="45.7109375" style="39" customWidth="1"/>
    <col min="7946" max="8189" width="9.140625" style="39"/>
    <col min="8190" max="8190" width="6.85546875" style="39" customWidth="1"/>
    <col min="8191" max="8191" width="26.28515625" style="39" customWidth="1"/>
    <col min="8192" max="8192" width="94.7109375" style="39" customWidth="1"/>
    <col min="8193" max="8193" width="10.5703125" style="39" customWidth="1"/>
    <col min="8194" max="8194" width="24" style="39" customWidth="1"/>
    <col min="8195" max="8195" width="24.5703125" style="39" bestFit="1" customWidth="1"/>
    <col min="8196" max="8196" width="17.7109375" style="39" bestFit="1" customWidth="1"/>
    <col min="8197" max="8197" width="17.42578125" style="39" bestFit="1" customWidth="1"/>
    <col min="8198" max="8198" width="17.5703125" style="39" bestFit="1" customWidth="1"/>
    <col min="8199" max="8199" width="9.28515625" style="39" bestFit="1" customWidth="1"/>
    <col min="8200" max="8200" width="10.28515625" style="39" bestFit="1" customWidth="1"/>
    <col min="8201" max="8201" width="45.7109375" style="39" customWidth="1"/>
    <col min="8202" max="8445" width="9.140625" style="39"/>
    <col min="8446" max="8446" width="6.85546875" style="39" customWidth="1"/>
    <col min="8447" max="8447" width="26.28515625" style="39" customWidth="1"/>
    <col min="8448" max="8448" width="94.7109375" style="39" customWidth="1"/>
    <col min="8449" max="8449" width="10.5703125" style="39" customWidth="1"/>
    <col min="8450" max="8450" width="24" style="39" customWidth="1"/>
    <col min="8451" max="8451" width="24.5703125" style="39" bestFit="1" customWidth="1"/>
    <col min="8452" max="8452" width="17.7109375" style="39" bestFit="1" customWidth="1"/>
    <col min="8453" max="8453" width="17.42578125" style="39" bestFit="1" customWidth="1"/>
    <col min="8454" max="8454" width="17.5703125" style="39" bestFit="1" customWidth="1"/>
    <col min="8455" max="8455" width="9.28515625" style="39" bestFit="1" customWidth="1"/>
    <col min="8456" max="8456" width="10.28515625" style="39" bestFit="1" customWidth="1"/>
    <col min="8457" max="8457" width="45.7109375" style="39" customWidth="1"/>
    <col min="8458" max="8701" width="9.140625" style="39"/>
    <col min="8702" max="8702" width="6.85546875" style="39" customWidth="1"/>
    <col min="8703" max="8703" width="26.28515625" style="39" customWidth="1"/>
    <col min="8704" max="8704" width="94.7109375" style="39" customWidth="1"/>
    <col min="8705" max="8705" width="10.5703125" style="39" customWidth="1"/>
    <col min="8706" max="8706" width="24" style="39" customWidth="1"/>
    <col min="8707" max="8707" width="24.5703125" style="39" bestFit="1" customWidth="1"/>
    <col min="8708" max="8708" width="17.7109375" style="39" bestFit="1" customWidth="1"/>
    <col min="8709" max="8709" width="17.42578125" style="39" bestFit="1" customWidth="1"/>
    <col min="8710" max="8710" width="17.5703125" style="39" bestFit="1" customWidth="1"/>
    <col min="8711" max="8711" width="9.28515625" style="39" bestFit="1" customWidth="1"/>
    <col min="8712" max="8712" width="10.28515625" style="39" bestFit="1" customWidth="1"/>
    <col min="8713" max="8713" width="45.7109375" style="39" customWidth="1"/>
    <col min="8714" max="8957" width="9.140625" style="39"/>
    <col min="8958" max="8958" width="6.85546875" style="39" customWidth="1"/>
    <col min="8959" max="8959" width="26.28515625" style="39" customWidth="1"/>
    <col min="8960" max="8960" width="94.7109375" style="39" customWidth="1"/>
    <col min="8961" max="8961" width="10.5703125" style="39" customWidth="1"/>
    <col min="8962" max="8962" width="24" style="39" customWidth="1"/>
    <col min="8963" max="8963" width="24.5703125" style="39" bestFit="1" customWidth="1"/>
    <col min="8964" max="8964" width="17.7109375" style="39" bestFit="1" customWidth="1"/>
    <col min="8965" max="8965" width="17.42578125" style="39" bestFit="1" customWidth="1"/>
    <col min="8966" max="8966" width="17.5703125" style="39" bestFit="1" customWidth="1"/>
    <col min="8967" max="8967" width="9.28515625" style="39" bestFit="1" customWidth="1"/>
    <col min="8968" max="8968" width="10.28515625" style="39" bestFit="1" customWidth="1"/>
    <col min="8969" max="8969" width="45.7109375" style="39" customWidth="1"/>
    <col min="8970" max="9213" width="9.140625" style="39"/>
    <col min="9214" max="9214" width="6.85546875" style="39" customWidth="1"/>
    <col min="9215" max="9215" width="26.28515625" style="39" customWidth="1"/>
    <col min="9216" max="9216" width="94.7109375" style="39" customWidth="1"/>
    <col min="9217" max="9217" width="10.5703125" style="39" customWidth="1"/>
    <col min="9218" max="9218" width="24" style="39" customWidth="1"/>
    <col min="9219" max="9219" width="24.5703125" style="39" bestFit="1" customWidth="1"/>
    <col min="9220" max="9220" width="17.7109375" style="39" bestFit="1" customWidth="1"/>
    <col min="9221" max="9221" width="17.42578125" style="39" bestFit="1" customWidth="1"/>
    <col min="9222" max="9222" width="17.5703125" style="39" bestFit="1" customWidth="1"/>
    <col min="9223" max="9223" width="9.28515625" style="39" bestFit="1" customWidth="1"/>
    <col min="9224" max="9224" width="10.28515625" style="39" bestFit="1" customWidth="1"/>
    <col min="9225" max="9225" width="45.7109375" style="39" customWidth="1"/>
    <col min="9226" max="9469" width="9.140625" style="39"/>
    <col min="9470" max="9470" width="6.85546875" style="39" customWidth="1"/>
    <col min="9471" max="9471" width="26.28515625" style="39" customWidth="1"/>
    <col min="9472" max="9472" width="94.7109375" style="39" customWidth="1"/>
    <col min="9473" max="9473" width="10.5703125" style="39" customWidth="1"/>
    <col min="9474" max="9474" width="24" style="39" customWidth="1"/>
    <col min="9475" max="9475" width="24.5703125" style="39" bestFit="1" customWidth="1"/>
    <col min="9476" max="9476" width="17.7109375" style="39" bestFit="1" customWidth="1"/>
    <col min="9477" max="9477" width="17.42578125" style="39" bestFit="1" customWidth="1"/>
    <col min="9478" max="9478" width="17.5703125" style="39" bestFit="1" customWidth="1"/>
    <col min="9479" max="9479" width="9.28515625" style="39" bestFit="1" customWidth="1"/>
    <col min="9480" max="9480" width="10.28515625" style="39" bestFit="1" customWidth="1"/>
    <col min="9481" max="9481" width="45.7109375" style="39" customWidth="1"/>
    <col min="9482" max="9725" width="9.140625" style="39"/>
    <col min="9726" max="9726" width="6.85546875" style="39" customWidth="1"/>
    <col min="9727" max="9727" width="26.28515625" style="39" customWidth="1"/>
    <col min="9728" max="9728" width="94.7109375" style="39" customWidth="1"/>
    <col min="9729" max="9729" width="10.5703125" style="39" customWidth="1"/>
    <col min="9730" max="9730" width="24" style="39" customWidth="1"/>
    <col min="9731" max="9731" width="24.5703125" style="39" bestFit="1" customWidth="1"/>
    <col min="9732" max="9732" width="17.7109375" style="39" bestFit="1" customWidth="1"/>
    <col min="9733" max="9733" width="17.42578125" style="39" bestFit="1" customWidth="1"/>
    <col min="9734" max="9734" width="17.5703125" style="39" bestFit="1" customWidth="1"/>
    <col min="9735" max="9735" width="9.28515625" style="39" bestFit="1" customWidth="1"/>
    <col min="9736" max="9736" width="10.28515625" style="39" bestFit="1" customWidth="1"/>
    <col min="9737" max="9737" width="45.7109375" style="39" customWidth="1"/>
    <col min="9738" max="9981" width="9.140625" style="39"/>
    <col min="9982" max="9982" width="6.85546875" style="39" customWidth="1"/>
    <col min="9983" max="9983" width="26.28515625" style="39" customWidth="1"/>
    <col min="9984" max="9984" width="94.7109375" style="39" customWidth="1"/>
    <col min="9985" max="9985" width="10.5703125" style="39" customWidth="1"/>
    <col min="9986" max="9986" width="24" style="39" customWidth="1"/>
    <col min="9987" max="9987" width="24.5703125" style="39" bestFit="1" customWidth="1"/>
    <col min="9988" max="9988" width="17.7109375" style="39" bestFit="1" customWidth="1"/>
    <col min="9989" max="9989" width="17.42578125" style="39" bestFit="1" customWidth="1"/>
    <col min="9990" max="9990" width="17.5703125" style="39" bestFit="1" customWidth="1"/>
    <col min="9991" max="9991" width="9.28515625" style="39" bestFit="1" customWidth="1"/>
    <col min="9992" max="9992" width="10.28515625" style="39" bestFit="1" customWidth="1"/>
    <col min="9993" max="9993" width="45.7109375" style="39" customWidth="1"/>
    <col min="9994" max="10237" width="9.140625" style="39"/>
    <col min="10238" max="10238" width="6.85546875" style="39" customWidth="1"/>
    <col min="10239" max="10239" width="26.28515625" style="39" customWidth="1"/>
    <col min="10240" max="10240" width="94.7109375" style="39" customWidth="1"/>
    <col min="10241" max="10241" width="10.5703125" style="39" customWidth="1"/>
    <col min="10242" max="10242" width="24" style="39" customWidth="1"/>
    <col min="10243" max="10243" width="24.5703125" style="39" bestFit="1" customWidth="1"/>
    <col min="10244" max="10244" width="17.7109375" style="39" bestFit="1" customWidth="1"/>
    <col min="10245" max="10245" width="17.42578125" style="39" bestFit="1" customWidth="1"/>
    <col min="10246" max="10246" width="17.5703125" style="39" bestFit="1" customWidth="1"/>
    <col min="10247" max="10247" width="9.28515625" style="39" bestFit="1" customWidth="1"/>
    <col min="10248" max="10248" width="10.28515625" style="39" bestFit="1" customWidth="1"/>
    <col min="10249" max="10249" width="45.7109375" style="39" customWidth="1"/>
    <col min="10250" max="10493" width="9.140625" style="39"/>
    <col min="10494" max="10494" width="6.85546875" style="39" customWidth="1"/>
    <col min="10495" max="10495" width="26.28515625" style="39" customWidth="1"/>
    <col min="10496" max="10496" width="94.7109375" style="39" customWidth="1"/>
    <col min="10497" max="10497" width="10.5703125" style="39" customWidth="1"/>
    <col min="10498" max="10498" width="24" style="39" customWidth="1"/>
    <col min="10499" max="10499" width="24.5703125" style="39" bestFit="1" customWidth="1"/>
    <col min="10500" max="10500" width="17.7109375" style="39" bestFit="1" customWidth="1"/>
    <col min="10501" max="10501" width="17.42578125" style="39" bestFit="1" customWidth="1"/>
    <col min="10502" max="10502" width="17.5703125" style="39" bestFit="1" customWidth="1"/>
    <col min="10503" max="10503" width="9.28515625" style="39" bestFit="1" customWidth="1"/>
    <col min="10504" max="10504" width="10.28515625" style="39" bestFit="1" customWidth="1"/>
    <col min="10505" max="10505" width="45.7109375" style="39" customWidth="1"/>
    <col min="10506" max="10749" width="9.140625" style="39"/>
    <col min="10750" max="10750" width="6.85546875" style="39" customWidth="1"/>
    <col min="10751" max="10751" width="26.28515625" style="39" customWidth="1"/>
    <col min="10752" max="10752" width="94.7109375" style="39" customWidth="1"/>
    <col min="10753" max="10753" width="10.5703125" style="39" customWidth="1"/>
    <col min="10754" max="10754" width="24" style="39" customWidth="1"/>
    <col min="10755" max="10755" width="24.5703125" style="39" bestFit="1" customWidth="1"/>
    <col min="10756" max="10756" width="17.7109375" style="39" bestFit="1" customWidth="1"/>
    <col min="10757" max="10757" width="17.42578125" style="39" bestFit="1" customWidth="1"/>
    <col min="10758" max="10758" width="17.5703125" style="39" bestFit="1" customWidth="1"/>
    <col min="10759" max="10759" width="9.28515625" style="39" bestFit="1" customWidth="1"/>
    <col min="10760" max="10760" width="10.28515625" style="39" bestFit="1" customWidth="1"/>
    <col min="10761" max="10761" width="45.7109375" style="39" customWidth="1"/>
    <col min="10762" max="11005" width="9.140625" style="39"/>
    <col min="11006" max="11006" width="6.85546875" style="39" customWidth="1"/>
    <col min="11007" max="11007" width="26.28515625" style="39" customWidth="1"/>
    <col min="11008" max="11008" width="94.7109375" style="39" customWidth="1"/>
    <col min="11009" max="11009" width="10.5703125" style="39" customWidth="1"/>
    <col min="11010" max="11010" width="24" style="39" customWidth="1"/>
    <col min="11011" max="11011" width="24.5703125" style="39" bestFit="1" customWidth="1"/>
    <col min="11012" max="11012" width="17.7109375" style="39" bestFit="1" customWidth="1"/>
    <col min="11013" max="11013" width="17.42578125" style="39" bestFit="1" customWidth="1"/>
    <col min="11014" max="11014" width="17.5703125" style="39" bestFit="1" customWidth="1"/>
    <col min="11015" max="11015" width="9.28515625" style="39" bestFit="1" customWidth="1"/>
    <col min="11016" max="11016" width="10.28515625" style="39" bestFit="1" customWidth="1"/>
    <col min="11017" max="11017" width="45.7109375" style="39" customWidth="1"/>
    <col min="11018" max="11261" width="9.140625" style="39"/>
    <col min="11262" max="11262" width="6.85546875" style="39" customWidth="1"/>
    <col min="11263" max="11263" width="26.28515625" style="39" customWidth="1"/>
    <col min="11264" max="11264" width="94.7109375" style="39" customWidth="1"/>
    <col min="11265" max="11265" width="10.5703125" style="39" customWidth="1"/>
    <col min="11266" max="11266" width="24" style="39" customWidth="1"/>
    <col min="11267" max="11267" width="24.5703125" style="39" bestFit="1" customWidth="1"/>
    <col min="11268" max="11268" width="17.7109375" style="39" bestFit="1" customWidth="1"/>
    <col min="11269" max="11269" width="17.42578125" style="39" bestFit="1" customWidth="1"/>
    <col min="11270" max="11270" width="17.5703125" style="39" bestFit="1" customWidth="1"/>
    <col min="11271" max="11271" width="9.28515625" style="39" bestFit="1" customWidth="1"/>
    <col min="11272" max="11272" width="10.28515625" style="39" bestFit="1" customWidth="1"/>
    <col min="11273" max="11273" width="45.7109375" style="39" customWidth="1"/>
    <col min="11274" max="11517" width="9.140625" style="39"/>
    <col min="11518" max="11518" width="6.85546875" style="39" customWidth="1"/>
    <col min="11519" max="11519" width="26.28515625" style="39" customWidth="1"/>
    <col min="11520" max="11520" width="94.7109375" style="39" customWidth="1"/>
    <col min="11521" max="11521" width="10.5703125" style="39" customWidth="1"/>
    <col min="11522" max="11522" width="24" style="39" customWidth="1"/>
    <col min="11523" max="11523" width="24.5703125" style="39" bestFit="1" customWidth="1"/>
    <col min="11524" max="11524" width="17.7109375" style="39" bestFit="1" customWidth="1"/>
    <col min="11525" max="11525" width="17.42578125" style="39" bestFit="1" customWidth="1"/>
    <col min="11526" max="11526" width="17.5703125" style="39" bestFit="1" customWidth="1"/>
    <col min="11527" max="11527" width="9.28515625" style="39" bestFit="1" customWidth="1"/>
    <col min="11528" max="11528" width="10.28515625" style="39" bestFit="1" customWidth="1"/>
    <col min="11529" max="11529" width="45.7109375" style="39" customWidth="1"/>
    <col min="11530" max="11773" width="9.140625" style="39"/>
    <col min="11774" max="11774" width="6.85546875" style="39" customWidth="1"/>
    <col min="11775" max="11775" width="26.28515625" style="39" customWidth="1"/>
    <col min="11776" max="11776" width="94.7109375" style="39" customWidth="1"/>
    <col min="11777" max="11777" width="10.5703125" style="39" customWidth="1"/>
    <col min="11778" max="11778" width="24" style="39" customWidth="1"/>
    <col min="11779" max="11779" width="24.5703125" style="39" bestFit="1" customWidth="1"/>
    <col min="11780" max="11780" width="17.7109375" style="39" bestFit="1" customWidth="1"/>
    <col min="11781" max="11781" width="17.42578125" style="39" bestFit="1" customWidth="1"/>
    <col min="11782" max="11782" width="17.5703125" style="39" bestFit="1" customWidth="1"/>
    <col min="11783" max="11783" width="9.28515625" style="39" bestFit="1" customWidth="1"/>
    <col min="11784" max="11784" width="10.28515625" style="39" bestFit="1" customWidth="1"/>
    <col min="11785" max="11785" width="45.7109375" style="39" customWidth="1"/>
    <col min="11786" max="12029" width="9.140625" style="39"/>
    <col min="12030" max="12030" width="6.85546875" style="39" customWidth="1"/>
    <col min="12031" max="12031" width="26.28515625" style="39" customWidth="1"/>
    <col min="12032" max="12032" width="94.7109375" style="39" customWidth="1"/>
    <col min="12033" max="12033" width="10.5703125" style="39" customWidth="1"/>
    <col min="12034" max="12034" width="24" style="39" customWidth="1"/>
    <col min="12035" max="12035" width="24.5703125" style="39" bestFit="1" customWidth="1"/>
    <col min="12036" max="12036" width="17.7109375" style="39" bestFit="1" customWidth="1"/>
    <col min="12037" max="12037" width="17.42578125" style="39" bestFit="1" customWidth="1"/>
    <col min="12038" max="12038" width="17.5703125" style="39" bestFit="1" customWidth="1"/>
    <col min="12039" max="12039" width="9.28515625" style="39" bestFit="1" customWidth="1"/>
    <col min="12040" max="12040" width="10.28515625" style="39" bestFit="1" customWidth="1"/>
    <col min="12041" max="12041" width="45.7109375" style="39" customWidth="1"/>
    <col min="12042" max="12285" width="9.140625" style="39"/>
    <col min="12286" max="12286" width="6.85546875" style="39" customWidth="1"/>
    <col min="12287" max="12287" width="26.28515625" style="39" customWidth="1"/>
    <col min="12288" max="12288" width="94.7109375" style="39" customWidth="1"/>
    <col min="12289" max="12289" width="10.5703125" style="39" customWidth="1"/>
    <col min="12290" max="12290" width="24" style="39" customWidth="1"/>
    <col min="12291" max="12291" width="24.5703125" style="39" bestFit="1" customWidth="1"/>
    <col min="12292" max="12292" width="17.7109375" style="39" bestFit="1" customWidth="1"/>
    <col min="12293" max="12293" width="17.42578125" style="39" bestFit="1" customWidth="1"/>
    <col min="12294" max="12294" width="17.5703125" style="39" bestFit="1" customWidth="1"/>
    <col min="12295" max="12295" width="9.28515625" style="39" bestFit="1" customWidth="1"/>
    <col min="12296" max="12296" width="10.28515625" style="39" bestFit="1" customWidth="1"/>
    <col min="12297" max="12297" width="45.7109375" style="39" customWidth="1"/>
    <col min="12298" max="12541" width="9.140625" style="39"/>
    <col min="12542" max="12542" width="6.85546875" style="39" customWidth="1"/>
    <col min="12543" max="12543" width="26.28515625" style="39" customWidth="1"/>
    <col min="12544" max="12544" width="94.7109375" style="39" customWidth="1"/>
    <col min="12545" max="12545" width="10.5703125" style="39" customWidth="1"/>
    <col min="12546" max="12546" width="24" style="39" customWidth="1"/>
    <col min="12547" max="12547" width="24.5703125" style="39" bestFit="1" customWidth="1"/>
    <col min="12548" max="12548" width="17.7109375" style="39" bestFit="1" customWidth="1"/>
    <col min="12549" max="12549" width="17.42578125" style="39" bestFit="1" customWidth="1"/>
    <col min="12550" max="12550" width="17.5703125" style="39" bestFit="1" customWidth="1"/>
    <col min="12551" max="12551" width="9.28515625" style="39" bestFit="1" customWidth="1"/>
    <col min="12552" max="12552" width="10.28515625" style="39" bestFit="1" customWidth="1"/>
    <col min="12553" max="12553" width="45.7109375" style="39" customWidth="1"/>
    <col min="12554" max="12797" width="9.140625" style="39"/>
    <col min="12798" max="12798" width="6.85546875" style="39" customWidth="1"/>
    <col min="12799" max="12799" width="26.28515625" style="39" customWidth="1"/>
    <col min="12800" max="12800" width="94.7109375" style="39" customWidth="1"/>
    <col min="12801" max="12801" width="10.5703125" style="39" customWidth="1"/>
    <col min="12802" max="12802" width="24" style="39" customWidth="1"/>
    <col min="12803" max="12803" width="24.5703125" style="39" bestFit="1" customWidth="1"/>
    <col min="12804" max="12804" width="17.7109375" style="39" bestFit="1" customWidth="1"/>
    <col min="12805" max="12805" width="17.42578125" style="39" bestFit="1" customWidth="1"/>
    <col min="12806" max="12806" width="17.5703125" style="39" bestFit="1" customWidth="1"/>
    <col min="12807" max="12807" width="9.28515625" style="39" bestFit="1" customWidth="1"/>
    <col min="12808" max="12808" width="10.28515625" style="39" bestFit="1" customWidth="1"/>
    <col min="12809" max="12809" width="45.7109375" style="39" customWidth="1"/>
    <col min="12810" max="13053" width="9.140625" style="39"/>
    <col min="13054" max="13054" width="6.85546875" style="39" customWidth="1"/>
    <col min="13055" max="13055" width="26.28515625" style="39" customWidth="1"/>
    <col min="13056" max="13056" width="94.7109375" style="39" customWidth="1"/>
    <col min="13057" max="13057" width="10.5703125" style="39" customWidth="1"/>
    <col min="13058" max="13058" width="24" style="39" customWidth="1"/>
    <col min="13059" max="13059" width="24.5703125" style="39" bestFit="1" customWidth="1"/>
    <col min="13060" max="13060" width="17.7109375" style="39" bestFit="1" customWidth="1"/>
    <col min="13061" max="13061" width="17.42578125" style="39" bestFit="1" customWidth="1"/>
    <col min="13062" max="13062" width="17.5703125" style="39" bestFit="1" customWidth="1"/>
    <col min="13063" max="13063" width="9.28515625" style="39" bestFit="1" customWidth="1"/>
    <col min="13064" max="13064" width="10.28515625" style="39" bestFit="1" customWidth="1"/>
    <col min="13065" max="13065" width="45.7109375" style="39" customWidth="1"/>
    <col min="13066" max="13309" width="9.140625" style="39"/>
    <col min="13310" max="13310" width="6.85546875" style="39" customWidth="1"/>
    <col min="13311" max="13311" width="26.28515625" style="39" customWidth="1"/>
    <col min="13312" max="13312" width="94.7109375" style="39" customWidth="1"/>
    <col min="13313" max="13313" width="10.5703125" style="39" customWidth="1"/>
    <col min="13314" max="13314" width="24" style="39" customWidth="1"/>
    <col min="13315" max="13315" width="24.5703125" style="39" bestFit="1" customWidth="1"/>
    <col min="13316" max="13316" width="17.7109375" style="39" bestFit="1" customWidth="1"/>
    <col min="13317" max="13317" width="17.42578125" style="39" bestFit="1" customWidth="1"/>
    <col min="13318" max="13318" width="17.5703125" style="39" bestFit="1" customWidth="1"/>
    <col min="13319" max="13319" width="9.28515625" style="39" bestFit="1" customWidth="1"/>
    <col min="13320" max="13320" width="10.28515625" style="39" bestFit="1" customWidth="1"/>
    <col min="13321" max="13321" width="45.7109375" style="39" customWidth="1"/>
    <col min="13322" max="13565" width="9.140625" style="39"/>
    <col min="13566" max="13566" width="6.85546875" style="39" customWidth="1"/>
    <col min="13567" max="13567" width="26.28515625" style="39" customWidth="1"/>
    <col min="13568" max="13568" width="94.7109375" style="39" customWidth="1"/>
    <col min="13569" max="13569" width="10.5703125" style="39" customWidth="1"/>
    <col min="13570" max="13570" width="24" style="39" customWidth="1"/>
    <col min="13571" max="13571" width="24.5703125" style="39" bestFit="1" customWidth="1"/>
    <col min="13572" max="13572" width="17.7109375" style="39" bestFit="1" customWidth="1"/>
    <col min="13573" max="13573" width="17.42578125" style="39" bestFit="1" customWidth="1"/>
    <col min="13574" max="13574" width="17.5703125" style="39" bestFit="1" customWidth="1"/>
    <col min="13575" max="13575" width="9.28515625" style="39" bestFit="1" customWidth="1"/>
    <col min="13576" max="13576" width="10.28515625" style="39" bestFit="1" customWidth="1"/>
    <col min="13577" max="13577" width="45.7109375" style="39" customWidth="1"/>
    <col min="13578" max="13821" width="9.140625" style="39"/>
    <col min="13822" max="13822" width="6.85546875" style="39" customWidth="1"/>
    <col min="13823" max="13823" width="26.28515625" style="39" customWidth="1"/>
    <col min="13824" max="13824" width="94.7109375" style="39" customWidth="1"/>
    <col min="13825" max="13825" width="10.5703125" style="39" customWidth="1"/>
    <col min="13826" max="13826" width="24" style="39" customWidth="1"/>
    <col min="13827" max="13827" width="24.5703125" style="39" bestFit="1" customWidth="1"/>
    <col min="13828" max="13828" width="17.7109375" style="39" bestFit="1" customWidth="1"/>
    <col min="13829" max="13829" width="17.42578125" style="39" bestFit="1" customWidth="1"/>
    <col min="13830" max="13830" width="17.5703125" style="39" bestFit="1" customWidth="1"/>
    <col min="13831" max="13831" width="9.28515625" style="39" bestFit="1" customWidth="1"/>
    <col min="13832" max="13832" width="10.28515625" style="39" bestFit="1" customWidth="1"/>
    <col min="13833" max="13833" width="45.7109375" style="39" customWidth="1"/>
    <col min="13834" max="14077" width="9.140625" style="39"/>
    <col min="14078" max="14078" width="6.85546875" style="39" customWidth="1"/>
    <col min="14079" max="14079" width="26.28515625" style="39" customWidth="1"/>
    <col min="14080" max="14080" width="94.7109375" style="39" customWidth="1"/>
    <col min="14081" max="14081" width="10.5703125" style="39" customWidth="1"/>
    <col min="14082" max="14082" width="24" style="39" customWidth="1"/>
    <col min="14083" max="14083" width="24.5703125" style="39" bestFit="1" customWidth="1"/>
    <col min="14084" max="14084" width="17.7109375" style="39" bestFit="1" customWidth="1"/>
    <col min="14085" max="14085" width="17.42578125" style="39" bestFit="1" customWidth="1"/>
    <col min="14086" max="14086" width="17.5703125" style="39" bestFit="1" customWidth="1"/>
    <col min="14087" max="14087" width="9.28515625" style="39" bestFit="1" customWidth="1"/>
    <col min="14088" max="14088" width="10.28515625" style="39" bestFit="1" customWidth="1"/>
    <col min="14089" max="14089" width="45.7109375" style="39" customWidth="1"/>
    <col min="14090" max="14333" width="9.140625" style="39"/>
    <col min="14334" max="14334" width="6.85546875" style="39" customWidth="1"/>
    <col min="14335" max="14335" width="26.28515625" style="39" customWidth="1"/>
    <col min="14336" max="14336" width="94.7109375" style="39" customWidth="1"/>
    <col min="14337" max="14337" width="10.5703125" style="39" customWidth="1"/>
    <col min="14338" max="14338" width="24" style="39" customWidth="1"/>
    <col min="14339" max="14339" width="24.5703125" style="39" bestFit="1" customWidth="1"/>
    <col min="14340" max="14340" width="17.7109375" style="39" bestFit="1" customWidth="1"/>
    <col min="14341" max="14341" width="17.42578125" style="39" bestFit="1" customWidth="1"/>
    <col min="14342" max="14342" width="17.5703125" style="39" bestFit="1" customWidth="1"/>
    <col min="14343" max="14343" width="9.28515625" style="39" bestFit="1" customWidth="1"/>
    <col min="14344" max="14344" width="10.28515625" style="39" bestFit="1" customWidth="1"/>
    <col min="14345" max="14345" width="45.7109375" style="39" customWidth="1"/>
    <col min="14346" max="14589" width="9.140625" style="39"/>
    <col min="14590" max="14590" width="6.85546875" style="39" customWidth="1"/>
    <col min="14591" max="14591" width="26.28515625" style="39" customWidth="1"/>
    <col min="14592" max="14592" width="94.7109375" style="39" customWidth="1"/>
    <col min="14593" max="14593" width="10.5703125" style="39" customWidth="1"/>
    <col min="14594" max="14594" width="24" style="39" customWidth="1"/>
    <col min="14595" max="14595" width="24.5703125" style="39" bestFit="1" customWidth="1"/>
    <col min="14596" max="14596" width="17.7109375" style="39" bestFit="1" customWidth="1"/>
    <col min="14597" max="14597" width="17.42578125" style="39" bestFit="1" customWidth="1"/>
    <col min="14598" max="14598" width="17.5703125" style="39" bestFit="1" customWidth="1"/>
    <col min="14599" max="14599" width="9.28515625" style="39" bestFit="1" customWidth="1"/>
    <col min="14600" max="14600" width="10.28515625" style="39" bestFit="1" customWidth="1"/>
    <col min="14601" max="14601" width="45.7109375" style="39" customWidth="1"/>
    <col min="14602" max="14845" width="9.140625" style="39"/>
    <col min="14846" max="14846" width="6.85546875" style="39" customWidth="1"/>
    <col min="14847" max="14847" width="26.28515625" style="39" customWidth="1"/>
    <col min="14848" max="14848" width="94.7109375" style="39" customWidth="1"/>
    <col min="14849" max="14849" width="10.5703125" style="39" customWidth="1"/>
    <col min="14850" max="14850" width="24" style="39" customWidth="1"/>
    <col min="14851" max="14851" width="24.5703125" style="39" bestFit="1" customWidth="1"/>
    <col min="14852" max="14852" width="17.7109375" style="39" bestFit="1" customWidth="1"/>
    <col min="14853" max="14853" width="17.42578125" style="39" bestFit="1" customWidth="1"/>
    <col min="14854" max="14854" width="17.5703125" style="39" bestFit="1" customWidth="1"/>
    <col min="14855" max="14855" width="9.28515625" style="39" bestFit="1" customWidth="1"/>
    <col min="14856" max="14856" width="10.28515625" style="39" bestFit="1" customWidth="1"/>
    <col min="14857" max="14857" width="45.7109375" style="39" customWidth="1"/>
    <col min="14858" max="15101" width="9.140625" style="39"/>
    <col min="15102" max="15102" width="6.85546875" style="39" customWidth="1"/>
    <col min="15103" max="15103" width="26.28515625" style="39" customWidth="1"/>
    <col min="15104" max="15104" width="94.7109375" style="39" customWidth="1"/>
    <col min="15105" max="15105" width="10.5703125" style="39" customWidth="1"/>
    <col min="15106" max="15106" width="24" style="39" customWidth="1"/>
    <col min="15107" max="15107" width="24.5703125" style="39" bestFit="1" customWidth="1"/>
    <col min="15108" max="15108" width="17.7109375" style="39" bestFit="1" customWidth="1"/>
    <col min="15109" max="15109" width="17.42578125" style="39" bestFit="1" customWidth="1"/>
    <col min="15110" max="15110" width="17.5703125" style="39" bestFit="1" customWidth="1"/>
    <col min="15111" max="15111" width="9.28515625" style="39" bestFit="1" customWidth="1"/>
    <col min="15112" max="15112" width="10.28515625" style="39" bestFit="1" customWidth="1"/>
    <col min="15113" max="15113" width="45.7109375" style="39" customWidth="1"/>
    <col min="15114" max="15357" width="9.140625" style="39"/>
    <col min="15358" max="15358" width="6.85546875" style="39" customWidth="1"/>
    <col min="15359" max="15359" width="26.28515625" style="39" customWidth="1"/>
    <col min="15360" max="15360" width="94.7109375" style="39" customWidth="1"/>
    <col min="15361" max="15361" width="10.5703125" style="39" customWidth="1"/>
    <col min="15362" max="15362" width="24" style="39" customWidth="1"/>
    <col min="15363" max="15363" width="24.5703125" style="39" bestFit="1" customWidth="1"/>
    <col min="15364" max="15364" width="17.7109375" style="39" bestFit="1" customWidth="1"/>
    <col min="15365" max="15365" width="17.42578125" style="39" bestFit="1" customWidth="1"/>
    <col min="15366" max="15366" width="17.5703125" style="39" bestFit="1" customWidth="1"/>
    <col min="15367" max="15367" width="9.28515625" style="39" bestFit="1" customWidth="1"/>
    <col min="15368" max="15368" width="10.28515625" style="39" bestFit="1" customWidth="1"/>
    <col min="15369" max="15369" width="45.7109375" style="39" customWidth="1"/>
    <col min="15370" max="15613" width="9.140625" style="39"/>
    <col min="15614" max="15614" width="6.85546875" style="39" customWidth="1"/>
    <col min="15615" max="15615" width="26.28515625" style="39" customWidth="1"/>
    <col min="15616" max="15616" width="94.7109375" style="39" customWidth="1"/>
    <col min="15617" max="15617" width="10.5703125" style="39" customWidth="1"/>
    <col min="15618" max="15618" width="24" style="39" customWidth="1"/>
    <col min="15619" max="15619" width="24.5703125" style="39" bestFit="1" customWidth="1"/>
    <col min="15620" max="15620" width="17.7109375" style="39" bestFit="1" customWidth="1"/>
    <col min="15621" max="15621" width="17.42578125" style="39" bestFit="1" customWidth="1"/>
    <col min="15622" max="15622" width="17.5703125" style="39" bestFit="1" customWidth="1"/>
    <col min="15623" max="15623" width="9.28515625" style="39" bestFit="1" customWidth="1"/>
    <col min="15624" max="15624" width="10.28515625" style="39" bestFit="1" customWidth="1"/>
    <col min="15625" max="15625" width="45.7109375" style="39" customWidth="1"/>
    <col min="15626" max="15869" width="9.140625" style="39"/>
    <col min="15870" max="15870" width="6.85546875" style="39" customWidth="1"/>
    <col min="15871" max="15871" width="26.28515625" style="39" customWidth="1"/>
    <col min="15872" max="15872" width="94.7109375" style="39" customWidth="1"/>
    <col min="15873" max="15873" width="10.5703125" style="39" customWidth="1"/>
    <col min="15874" max="15874" width="24" style="39" customWidth="1"/>
    <col min="15875" max="15875" width="24.5703125" style="39" bestFit="1" customWidth="1"/>
    <col min="15876" max="15876" width="17.7109375" style="39" bestFit="1" customWidth="1"/>
    <col min="15877" max="15877" width="17.42578125" style="39" bestFit="1" customWidth="1"/>
    <col min="15878" max="15878" width="17.5703125" style="39" bestFit="1" customWidth="1"/>
    <col min="15879" max="15879" width="9.28515625" style="39" bestFit="1" customWidth="1"/>
    <col min="15880" max="15880" width="10.28515625" style="39" bestFit="1" customWidth="1"/>
    <col min="15881" max="15881" width="45.7109375" style="39" customWidth="1"/>
    <col min="15882" max="16125" width="9.140625" style="39"/>
    <col min="16126" max="16126" width="6.85546875" style="39" customWidth="1"/>
    <col min="16127" max="16127" width="26.28515625" style="39" customWidth="1"/>
    <col min="16128" max="16128" width="94.7109375" style="39" customWidth="1"/>
    <col min="16129" max="16129" width="10.5703125" style="39" customWidth="1"/>
    <col min="16130" max="16130" width="24" style="39" customWidth="1"/>
    <col min="16131" max="16131" width="24.5703125" style="39" bestFit="1" customWidth="1"/>
    <col min="16132" max="16132" width="17.7109375" style="39" bestFit="1" customWidth="1"/>
    <col min="16133" max="16133" width="17.42578125" style="39" bestFit="1" customWidth="1"/>
    <col min="16134" max="16134" width="17.5703125" style="39" bestFit="1" customWidth="1"/>
    <col min="16135" max="16135" width="9.28515625" style="39" bestFit="1" customWidth="1"/>
    <col min="16136" max="16136" width="10.28515625" style="39" bestFit="1" customWidth="1"/>
    <col min="16137" max="16137" width="45.7109375" style="39" customWidth="1"/>
    <col min="16138" max="16384" width="9.140625" style="39"/>
  </cols>
  <sheetData>
    <row r="1" spans="1:9" s="31" customFormat="1" ht="26.25">
      <c r="A1" s="1"/>
      <c r="B1" s="2"/>
      <c r="C1" s="111" t="s">
        <v>0</v>
      </c>
      <c r="D1" s="111"/>
      <c r="E1" s="112"/>
      <c r="F1" s="3"/>
      <c r="G1" s="4"/>
      <c r="H1" s="29"/>
      <c r="I1" s="30"/>
    </row>
    <row r="2" spans="1:9" s="31" customFormat="1" ht="26.25">
      <c r="A2" s="5"/>
      <c r="B2" s="6"/>
      <c r="C2" s="113" t="s">
        <v>1</v>
      </c>
      <c r="D2" s="113"/>
      <c r="E2" s="114"/>
      <c r="F2" s="7"/>
      <c r="G2" s="8"/>
      <c r="H2" s="32"/>
      <c r="I2" s="33"/>
    </row>
    <row r="3" spans="1:9" s="31" customFormat="1" ht="26.25">
      <c r="A3" s="5"/>
      <c r="B3" s="6"/>
      <c r="C3" s="113" t="s">
        <v>2</v>
      </c>
      <c r="D3" s="113"/>
      <c r="E3" s="114"/>
      <c r="F3" s="115"/>
      <c r="G3" s="116"/>
      <c r="H3" s="116"/>
      <c r="I3" s="117"/>
    </row>
    <row r="4" spans="1:9" s="31" customFormat="1" ht="39.75" customHeight="1">
      <c r="A4" s="5"/>
      <c r="B4" s="6"/>
      <c r="C4" s="99" t="s">
        <v>188</v>
      </c>
      <c r="D4" s="99"/>
      <c r="E4" s="100"/>
      <c r="F4" s="118" t="s">
        <v>367</v>
      </c>
      <c r="G4" s="119"/>
      <c r="H4" s="119"/>
      <c r="I4" s="120"/>
    </row>
    <row r="5" spans="1:9" s="31" customFormat="1" ht="23.25" customHeight="1">
      <c r="A5" s="5"/>
      <c r="B5" s="6"/>
      <c r="C5" s="99" t="s">
        <v>368</v>
      </c>
      <c r="D5" s="99"/>
      <c r="E5" s="100"/>
      <c r="F5" s="101" t="s">
        <v>189</v>
      </c>
      <c r="G5" s="102"/>
      <c r="H5" s="102"/>
      <c r="I5" s="103"/>
    </row>
    <row r="6" spans="1:9" s="31" customFormat="1" ht="23.25">
      <c r="A6" s="5"/>
      <c r="B6" s="6"/>
      <c r="C6" s="104" t="s">
        <v>186</v>
      </c>
      <c r="D6" s="104"/>
      <c r="E6" s="105"/>
      <c r="F6" s="106" t="s">
        <v>190</v>
      </c>
      <c r="G6" s="107"/>
      <c r="H6" s="107"/>
      <c r="I6" s="108"/>
    </row>
    <row r="7" spans="1:9" s="31" customFormat="1" ht="23.25">
      <c r="A7" s="5"/>
      <c r="B7" s="6"/>
      <c r="C7" s="109"/>
      <c r="D7" s="109"/>
      <c r="E7" s="110"/>
      <c r="F7" s="106" t="s">
        <v>31</v>
      </c>
      <c r="G7" s="107"/>
      <c r="H7" s="107"/>
      <c r="I7" s="108"/>
    </row>
    <row r="8" spans="1:9" s="31" customFormat="1" ht="20.25">
      <c r="A8" s="9"/>
      <c r="B8" s="10"/>
      <c r="C8" s="11"/>
      <c r="D8" s="34"/>
      <c r="E8" s="12"/>
      <c r="F8" s="121" t="s">
        <v>3</v>
      </c>
      <c r="G8" s="122"/>
      <c r="H8" s="122"/>
      <c r="I8" s="123"/>
    </row>
    <row r="9" spans="1:9" s="31" customFormat="1" ht="18" customHeight="1">
      <c r="A9" s="124" t="s">
        <v>187</v>
      </c>
      <c r="B9" s="125"/>
      <c r="C9" s="125"/>
      <c r="D9" s="125"/>
      <c r="E9" s="125"/>
      <c r="F9" s="125"/>
      <c r="G9" s="125"/>
      <c r="H9" s="125"/>
      <c r="I9" s="125"/>
    </row>
    <row r="10" spans="1:9" s="31" customFormat="1" ht="18.75">
      <c r="A10" s="126" t="s">
        <v>4</v>
      </c>
      <c r="B10" s="127" t="s">
        <v>5</v>
      </c>
      <c r="C10" s="128" t="s">
        <v>6</v>
      </c>
      <c r="D10" s="126" t="s">
        <v>7</v>
      </c>
      <c r="E10" s="129" t="s">
        <v>8</v>
      </c>
      <c r="F10" s="130" t="s">
        <v>9</v>
      </c>
      <c r="G10" s="130"/>
      <c r="H10" s="130"/>
      <c r="I10" s="130"/>
    </row>
    <row r="11" spans="1:9" s="31" customFormat="1" ht="18.75">
      <c r="A11" s="126"/>
      <c r="B11" s="127"/>
      <c r="C11" s="128"/>
      <c r="D11" s="126"/>
      <c r="E11" s="129"/>
      <c r="F11" s="35" t="s">
        <v>10</v>
      </c>
      <c r="G11" s="35" t="s">
        <v>11</v>
      </c>
      <c r="H11" s="35" t="s">
        <v>12</v>
      </c>
      <c r="I11" s="36" t="s">
        <v>13</v>
      </c>
    </row>
    <row r="12" spans="1:9" ht="14.25" customHeight="1">
      <c r="A12" s="37" t="s">
        <v>14</v>
      </c>
      <c r="B12" s="38"/>
      <c r="C12" s="96" t="s">
        <v>66</v>
      </c>
      <c r="D12" s="96"/>
      <c r="E12" s="96"/>
      <c r="F12" s="96"/>
      <c r="G12" s="96"/>
      <c r="H12" s="96"/>
      <c r="I12" s="96"/>
    </row>
    <row r="13" spans="1:9" s="75" customFormat="1" ht="60">
      <c r="A13" s="41" t="s">
        <v>15</v>
      </c>
      <c r="B13" s="46" t="s">
        <v>242</v>
      </c>
      <c r="C13" s="13" t="s">
        <v>241</v>
      </c>
      <c r="D13" s="41" t="s">
        <v>7</v>
      </c>
      <c r="E13" s="14">
        <v>5</v>
      </c>
      <c r="F13" s="14">
        <f>TRUNC(F14+F19,2)</f>
        <v>84.66</v>
      </c>
      <c r="G13" s="14">
        <f>TRUNC(F13*1.2882,2)</f>
        <v>109.05</v>
      </c>
      <c r="H13" s="14">
        <f>TRUNC(F13*E13,2)</f>
        <v>423.3</v>
      </c>
      <c r="I13" s="14">
        <f>TRUNC(E13*G13,2)</f>
        <v>545.25</v>
      </c>
    </row>
    <row r="14" spans="1:9" s="75" customFormat="1" ht="30">
      <c r="A14" s="42"/>
      <c r="B14" s="44" t="s">
        <v>231</v>
      </c>
      <c r="C14" s="45" t="s">
        <v>232</v>
      </c>
      <c r="D14" s="42" t="s">
        <v>7</v>
      </c>
      <c r="E14" s="43">
        <v>1</v>
      </c>
      <c r="F14" s="63">
        <f>TRUNC(67.473,2)</f>
        <v>67.47</v>
      </c>
      <c r="G14" s="40">
        <f>TRUNC(E14*F14,2)</f>
        <v>67.47</v>
      </c>
      <c r="H14" s="40"/>
      <c r="I14" s="43"/>
    </row>
    <row r="15" spans="1:9" s="75" customFormat="1" ht="15">
      <c r="A15" s="42"/>
      <c r="B15" s="44" t="s">
        <v>233</v>
      </c>
      <c r="C15" s="45" t="s">
        <v>234</v>
      </c>
      <c r="D15" s="42" t="s">
        <v>7</v>
      </c>
      <c r="E15" s="43">
        <v>1</v>
      </c>
      <c r="F15" s="40">
        <f>TRUNC(48.83,2)</f>
        <v>48.83</v>
      </c>
      <c r="G15" s="40">
        <f>TRUNC(E15*F15,2)</f>
        <v>48.83</v>
      </c>
      <c r="H15" s="40"/>
      <c r="I15" s="43"/>
    </row>
    <row r="16" spans="1:9" s="75" customFormat="1" ht="30">
      <c r="A16" s="42"/>
      <c r="B16" s="44" t="s">
        <v>33</v>
      </c>
      <c r="C16" s="45" t="s">
        <v>34</v>
      </c>
      <c r="D16" s="42" t="s">
        <v>35</v>
      </c>
      <c r="E16" s="43">
        <v>0.51500000000000001</v>
      </c>
      <c r="F16" s="40">
        <f>TRUNC(15.2,2)</f>
        <v>15.2</v>
      </c>
      <c r="G16" s="40">
        <f>TRUNC(E16*F16,2)</f>
        <v>7.82</v>
      </c>
      <c r="H16" s="40"/>
      <c r="I16" s="43"/>
    </row>
    <row r="17" spans="1:9" s="75" customFormat="1" ht="30">
      <c r="A17" s="42"/>
      <c r="B17" s="44" t="s">
        <v>55</v>
      </c>
      <c r="C17" s="45" t="s">
        <v>56</v>
      </c>
      <c r="D17" s="42" t="s">
        <v>35</v>
      </c>
      <c r="E17" s="43">
        <v>0.51500000000000001</v>
      </c>
      <c r="F17" s="40">
        <f>TRUNC(21,2)</f>
        <v>21</v>
      </c>
      <c r="G17" s="40">
        <f>TRUNC(E17*F17,2)</f>
        <v>10.81</v>
      </c>
      <c r="H17" s="40"/>
      <c r="I17" s="43"/>
    </row>
    <row r="18" spans="1:9" s="75" customFormat="1" ht="15">
      <c r="A18" s="42"/>
      <c r="B18" s="44"/>
      <c r="C18" s="45"/>
      <c r="D18" s="42"/>
      <c r="E18" s="43" t="s">
        <v>24</v>
      </c>
      <c r="F18" s="40"/>
      <c r="G18" s="40">
        <f>TRUNC(SUM(G15:G17),2)</f>
        <v>67.459999999999994</v>
      </c>
      <c r="H18" s="40"/>
      <c r="I18" s="43"/>
    </row>
    <row r="19" spans="1:9" s="75" customFormat="1" ht="30">
      <c r="A19" s="42"/>
      <c r="B19" s="44" t="s">
        <v>235</v>
      </c>
      <c r="C19" s="45" t="s">
        <v>236</v>
      </c>
      <c r="D19" s="42" t="s">
        <v>7</v>
      </c>
      <c r="E19" s="43">
        <v>1</v>
      </c>
      <c r="F19" s="63">
        <f>G24</f>
        <v>17.190000000000001</v>
      </c>
      <c r="G19" s="40">
        <f>TRUNC(E19*F19,2)</f>
        <v>17.190000000000001</v>
      </c>
      <c r="H19" s="40"/>
      <c r="I19" s="43"/>
    </row>
    <row r="20" spans="1:9" s="75" customFormat="1" ht="15">
      <c r="A20" s="42"/>
      <c r="B20" s="44" t="s">
        <v>237</v>
      </c>
      <c r="C20" s="45" t="s">
        <v>238</v>
      </c>
      <c r="D20" s="42" t="s">
        <v>7</v>
      </c>
      <c r="E20" s="43">
        <v>1</v>
      </c>
      <c r="F20" s="40">
        <f>TRUNC(7.95,2)</f>
        <v>7.95</v>
      </c>
      <c r="G20" s="40">
        <f>TRUNC(E20*F20,2)</f>
        <v>7.95</v>
      </c>
      <c r="H20" s="40"/>
      <c r="I20" s="43"/>
    </row>
    <row r="21" spans="1:9" s="75" customFormat="1" ht="15">
      <c r="A21" s="42"/>
      <c r="B21" s="44" t="s">
        <v>239</v>
      </c>
      <c r="C21" s="45" t="s">
        <v>240</v>
      </c>
      <c r="D21" s="42" t="s">
        <v>7</v>
      </c>
      <c r="E21" s="43">
        <v>1</v>
      </c>
      <c r="F21" s="40">
        <f>TRUNC(2.69,2)</f>
        <v>2.69</v>
      </c>
      <c r="G21" s="40">
        <f>TRUNC(E21*F21,2)</f>
        <v>2.69</v>
      </c>
      <c r="H21" s="40"/>
      <c r="I21" s="43"/>
    </row>
    <row r="22" spans="1:9" s="75" customFormat="1" ht="15">
      <c r="A22" s="42"/>
      <c r="B22" s="44" t="s">
        <v>53</v>
      </c>
      <c r="C22" s="45" t="s">
        <v>54</v>
      </c>
      <c r="D22" s="42" t="s">
        <v>35</v>
      </c>
      <c r="E22" s="43">
        <v>0.16550000000000001</v>
      </c>
      <c r="F22" s="40">
        <f>TRUNC(29.54,2)</f>
        <v>29.54</v>
      </c>
      <c r="G22" s="40">
        <f>TRUNC(E22*F22,2)</f>
        <v>4.88</v>
      </c>
      <c r="H22" s="40"/>
      <c r="I22" s="43"/>
    </row>
    <row r="23" spans="1:9" s="75" customFormat="1" ht="15">
      <c r="A23" s="42"/>
      <c r="B23" s="44" t="s">
        <v>83</v>
      </c>
      <c r="C23" s="45" t="s">
        <v>84</v>
      </c>
      <c r="D23" s="42" t="s">
        <v>35</v>
      </c>
      <c r="E23" s="43">
        <v>6.9000000000000006E-2</v>
      </c>
      <c r="F23" s="40">
        <f>TRUNC(24.33,2)</f>
        <v>24.33</v>
      </c>
      <c r="G23" s="40">
        <f>TRUNC(E23*F23,2)</f>
        <v>1.67</v>
      </c>
      <c r="H23" s="40"/>
      <c r="I23" s="43"/>
    </row>
    <row r="24" spans="1:9" s="75" customFormat="1" ht="15">
      <c r="A24" s="42"/>
      <c r="B24" s="44"/>
      <c r="C24" s="45"/>
      <c r="D24" s="42"/>
      <c r="E24" s="43" t="s">
        <v>24</v>
      </c>
      <c r="F24" s="40"/>
      <c r="G24" s="40">
        <f>TRUNC(SUM(G20:G23),2)</f>
        <v>17.190000000000001</v>
      </c>
      <c r="H24" s="40"/>
      <c r="I24" s="43"/>
    </row>
    <row r="25" spans="1:9" ht="30">
      <c r="A25" s="41" t="s">
        <v>41</v>
      </c>
      <c r="B25" s="46" t="s">
        <v>68</v>
      </c>
      <c r="C25" s="13" t="s">
        <v>69</v>
      </c>
      <c r="D25" s="41" t="s">
        <v>7</v>
      </c>
      <c r="E25" s="14">
        <v>4</v>
      </c>
      <c r="F25" s="14">
        <f>TRUNC(F26,2)</f>
        <v>50.14</v>
      </c>
      <c r="G25" s="14">
        <f>TRUNC(F25*1.2882,2)</f>
        <v>64.59</v>
      </c>
      <c r="H25" s="14">
        <f>TRUNC(F25*E25,2)</f>
        <v>200.56</v>
      </c>
      <c r="I25" s="14">
        <f>TRUNC(E25*G25,2)</f>
        <v>258.36</v>
      </c>
    </row>
    <row r="26" spans="1:9" ht="30">
      <c r="A26" s="42"/>
      <c r="B26" s="44" t="s">
        <v>68</v>
      </c>
      <c r="C26" s="45" t="s">
        <v>69</v>
      </c>
      <c r="D26" s="42" t="s">
        <v>7</v>
      </c>
      <c r="E26" s="43">
        <v>1</v>
      </c>
      <c r="F26" s="40">
        <f>G29</f>
        <v>50.14</v>
      </c>
      <c r="G26" s="40">
        <f>TRUNC(E26*F26,2)</f>
        <v>50.14</v>
      </c>
      <c r="H26" s="40"/>
      <c r="I26" s="43"/>
    </row>
    <row r="27" spans="1:9" ht="30">
      <c r="A27" s="42"/>
      <c r="B27" s="44" t="s">
        <v>70</v>
      </c>
      <c r="C27" s="45" t="s">
        <v>181</v>
      </c>
      <c r="D27" s="42" t="s">
        <v>7</v>
      </c>
      <c r="E27" s="43">
        <v>1</v>
      </c>
      <c r="F27" s="40">
        <f>TRUNC(41.6843,2)</f>
        <v>41.68</v>
      </c>
      <c r="G27" s="40">
        <f>TRUNC(E27*F27,2)</f>
        <v>41.68</v>
      </c>
      <c r="H27" s="40"/>
      <c r="I27" s="43"/>
    </row>
    <row r="28" spans="1:9" ht="30">
      <c r="A28" s="42"/>
      <c r="B28" s="44" t="s">
        <v>67</v>
      </c>
      <c r="C28" s="45" t="s">
        <v>180</v>
      </c>
      <c r="D28" s="42" t="s">
        <v>7</v>
      </c>
      <c r="E28" s="43">
        <v>1</v>
      </c>
      <c r="F28" s="40">
        <f>TRUNC(8.46892,2)</f>
        <v>8.4600000000000009</v>
      </c>
      <c r="G28" s="40">
        <f>TRUNC(E28*F28,2)</f>
        <v>8.4600000000000009</v>
      </c>
      <c r="H28" s="40"/>
      <c r="I28" s="43"/>
    </row>
    <row r="29" spans="1:9" ht="15">
      <c r="A29" s="42"/>
      <c r="B29" s="44"/>
      <c r="C29" s="45"/>
      <c r="D29" s="42"/>
      <c r="E29" s="43" t="s">
        <v>24</v>
      </c>
      <c r="F29" s="40"/>
      <c r="G29" s="40">
        <f>TRUNC(SUM(G27:G28),2)</f>
        <v>50.14</v>
      </c>
      <c r="H29" s="40"/>
      <c r="I29" s="43"/>
    </row>
    <row r="30" spans="1:9" ht="30">
      <c r="A30" s="41" t="s">
        <v>42</v>
      </c>
      <c r="B30" s="46" t="s">
        <v>71</v>
      </c>
      <c r="C30" s="13" t="s">
        <v>72</v>
      </c>
      <c r="D30" s="41" t="s">
        <v>7</v>
      </c>
      <c r="E30" s="14">
        <v>14</v>
      </c>
      <c r="F30" s="14">
        <f>TRUNC(F31,2)</f>
        <v>29.65</v>
      </c>
      <c r="G30" s="14">
        <f>TRUNC(F30*1.2882,2)</f>
        <v>38.19</v>
      </c>
      <c r="H30" s="14">
        <f>TRUNC(F30*E30,2)</f>
        <v>415.1</v>
      </c>
      <c r="I30" s="14">
        <f>TRUNC(E30*G30,2)</f>
        <v>534.66</v>
      </c>
    </row>
    <row r="31" spans="1:9" ht="30">
      <c r="A31" s="42"/>
      <c r="B31" s="44" t="s">
        <v>71</v>
      </c>
      <c r="C31" s="45" t="s">
        <v>72</v>
      </c>
      <c r="D31" s="42" t="s">
        <v>7</v>
      </c>
      <c r="E31" s="43">
        <v>1</v>
      </c>
      <c r="F31" s="40">
        <f>G34</f>
        <v>29.65</v>
      </c>
      <c r="G31" s="40">
        <f>TRUNC(E31*F31,2)</f>
        <v>29.65</v>
      </c>
      <c r="H31" s="40"/>
      <c r="I31" s="43"/>
    </row>
    <row r="32" spans="1:9" ht="30">
      <c r="A32" s="42"/>
      <c r="B32" s="44" t="s">
        <v>73</v>
      </c>
      <c r="C32" s="45" t="s">
        <v>182</v>
      </c>
      <c r="D32" s="42" t="s">
        <v>7</v>
      </c>
      <c r="E32" s="43">
        <v>1</v>
      </c>
      <c r="F32" s="40">
        <f>TRUNC(21.19695,2)</f>
        <v>21.19</v>
      </c>
      <c r="G32" s="40">
        <f>TRUNC(E32*F32,2)</f>
        <v>21.19</v>
      </c>
      <c r="H32" s="40"/>
      <c r="I32" s="43"/>
    </row>
    <row r="33" spans="1:9" ht="30">
      <c r="A33" s="42"/>
      <c r="B33" s="44" t="s">
        <v>67</v>
      </c>
      <c r="C33" s="45" t="s">
        <v>180</v>
      </c>
      <c r="D33" s="42" t="s">
        <v>7</v>
      </c>
      <c r="E33" s="43">
        <v>1</v>
      </c>
      <c r="F33" s="40">
        <f>TRUNC(8.46892,2)</f>
        <v>8.4600000000000009</v>
      </c>
      <c r="G33" s="40">
        <f>TRUNC(E33*F33,2)</f>
        <v>8.4600000000000009</v>
      </c>
      <c r="H33" s="40"/>
      <c r="I33" s="43"/>
    </row>
    <row r="34" spans="1:9" ht="15">
      <c r="A34" s="42"/>
      <c r="B34" s="44"/>
      <c r="C34" s="45"/>
      <c r="D34" s="42"/>
      <c r="E34" s="43" t="s">
        <v>24</v>
      </c>
      <c r="F34" s="40"/>
      <c r="G34" s="40">
        <f>TRUNC(SUM(G32:G33),2)</f>
        <v>29.65</v>
      </c>
      <c r="H34" s="40"/>
      <c r="I34" s="43"/>
    </row>
    <row r="35" spans="1:9" ht="30">
      <c r="A35" s="41" t="s">
        <v>43</v>
      </c>
      <c r="B35" s="46" t="s">
        <v>74</v>
      </c>
      <c r="C35" s="13" t="s">
        <v>75</v>
      </c>
      <c r="D35" s="41" t="s">
        <v>7</v>
      </c>
      <c r="E35" s="14">
        <v>5</v>
      </c>
      <c r="F35" s="14">
        <f>TRUNC(F36,2)</f>
        <v>32.01</v>
      </c>
      <c r="G35" s="14">
        <f>TRUNC(F35*1.2882,2)</f>
        <v>41.23</v>
      </c>
      <c r="H35" s="14">
        <f>TRUNC(F35*E35,2)</f>
        <v>160.05000000000001</v>
      </c>
      <c r="I35" s="14">
        <f>TRUNC(E35*G35,2)</f>
        <v>206.15</v>
      </c>
    </row>
    <row r="36" spans="1:9" ht="30">
      <c r="A36" s="42"/>
      <c r="B36" s="44" t="s">
        <v>74</v>
      </c>
      <c r="C36" s="45" t="s">
        <v>75</v>
      </c>
      <c r="D36" s="42" t="s">
        <v>7</v>
      </c>
      <c r="E36" s="43">
        <v>1</v>
      </c>
      <c r="F36" s="40">
        <f>G39</f>
        <v>32.01</v>
      </c>
      <c r="G36" s="40">
        <f>TRUNC(E36*F36,2)</f>
        <v>32.01</v>
      </c>
      <c r="H36" s="40"/>
      <c r="I36" s="43"/>
    </row>
    <row r="37" spans="1:9" ht="30">
      <c r="A37" s="42"/>
      <c r="B37" s="44" t="s">
        <v>76</v>
      </c>
      <c r="C37" s="45" t="s">
        <v>183</v>
      </c>
      <c r="D37" s="42" t="s">
        <v>7</v>
      </c>
      <c r="E37" s="43">
        <v>1</v>
      </c>
      <c r="F37" s="40">
        <f>TRUNC(23.55695,2)</f>
        <v>23.55</v>
      </c>
      <c r="G37" s="40">
        <f>TRUNC(E37*F37,2)</f>
        <v>23.55</v>
      </c>
      <c r="H37" s="40"/>
      <c r="I37" s="43"/>
    </row>
    <row r="38" spans="1:9" ht="30">
      <c r="A38" s="42"/>
      <c r="B38" s="44" t="s">
        <v>67</v>
      </c>
      <c r="C38" s="45" t="s">
        <v>180</v>
      </c>
      <c r="D38" s="42" t="s">
        <v>7</v>
      </c>
      <c r="E38" s="43">
        <v>1</v>
      </c>
      <c r="F38" s="40">
        <f>TRUNC(8.46892,2)</f>
        <v>8.4600000000000009</v>
      </c>
      <c r="G38" s="40">
        <f>TRUNC(E38*F38,2)</f>
        <v>8.4600000000000009</v>
      </c>
      <c r="H38" s="40"/>
      <c r="I38" s="43"/>
    </row>
    <row r="39" spans="1:9" ht="15">
      <c r="A39" s="42"/>
      <c r="B39" s="44"/>
      <c r="C39" s="45"/>
      <c r="D39" s="42"/>
      <c r="E39" s="43" t="s">
        <v>24</v>
      </c>
      <c r="F39" s="40"/>
      <c r="G39" s="40">
        <f>TRUNC(SUM(G37:G38),2)</f>
        <v>32.01</v>
      </c>
      <c r="H39" s="40"/>
      <c r="I39" s="43"/>
    </row>
    <row r="40" spans="1:9" ht="30">
      <c r="A40" s="41" t="s">
        <v>44</v>
      </c>
      <c r="B40" s="46" t="s">
        <v>77</v>
      </c>
      <c r="C40" s="13" t="s">
        <v>78</v>
      </c>
      <c r="D40" s="41" t="s">
        <v>7</v>
      </c>
      <c r="E40" s="14">
        <v>1</v>
      </c>
      <c r="F40" s="14">
        <f>TRUNC(F41,2)</f>
        <v>13.31</v>
      </c>
      <c r="G40" s="14">
        <f>TRUNC(F40*1.2882,2)</f>
        <v>17.14</v>
      </c>
      <c r="H40" s="14">
        <f>TRUNC(F40*E40,2)</f>
        <v>13.31</v>
      </c>
      <c r="I40" s="14">
        <f>TRUNC(E40*G40,2)</f>
        <v>17.14</v>
      </c>
    </row>
    <row r="41" spans="1:9" ht="30">
      <c r="A41" s="42"/>
      <c r="B41" s="44" t="s">
        <v>77</v>
      </c>
      <c r="C41" s="45" t="s">
        <v>78</v>
      </c>
      <c r="D41" s="42" t="s">
        <v>7</v>
      </c>
      <c r="E41" s="43">
        <v>1</v>
      </c>
      <c r="F41" s="40">
        <f>G46</f>
        <v>13.31</v>
      </c>
      <c r="G41" s="40">
        <f>TRUNC(E41*F41,2)</f>
        <v>13.31</v>
      </c>
      <c r="H41" s="40"/>
      <c r="I41" s="43"/>
    </row>
    <row r="42" spans="1:9" ht="15">
      <c r="A42" s="42"/>
      <c r="B42" s="44" t="s">
        <v>79</v>
      </c>
      <c r="C42" s="45" t="s">
        <v>80</v>
      </c>
      <c r="D42" s="42" t="s">
        <v>7</v>
      </c>
      <c r="E42" s="43">
        <v>1</v>
      </c>
      <c r="F42" s="40">
        <f>TRUNC(8.41,2)</f>
        <v>8.41</v>
      </c>
      <c r="G42" s="40">
        <f>TRUNC(E42*F42,2)</f>
        <v>8.41</v>
      </c>
      <c r="H42" s="40"/>
      <c r="I42" s="43"/>
    </row>
    <row r="43" spans="1:9" ht="30">
      <c r="A43" s="42"/>
      <c r="B43" s="44" t="s">
        <v>81</v>
      </c>
      <c r="C43" s="45" t="s">
        <v>82</v>
      </c>
      <c r="D43" s="42" t="s">
        <v>7</v>
      </c>
      <c r="E43" s="43">
        <v>1</v>
      </c>
      <c r="F43" s="40">
        <f>TRUNC(1.34,2)</f>
        <v>1.34</v>
      </c>
      <c r="G43" s="40">
        <f>TRUNC(E43*F43,2)</f>
        <v>1.34</v>
      </c>
      <c r="H43" s="40"/>
      <c r="I43" s="43"/>
    </row>
    <row r="44" spans="1:9" ht="15">
      <c r="A44" s="42"/>
      <c r="B44" s="44" t="s">
        <v>53</v>
      </c>
      <c r="C44" s="45" t="s">
        <v>54</v>
      </c>
      <c r="D44" s="42" t="s">
        <v>35</v>
      </c>
      <c r="E44" s="43">
        <v>6.6299999999999998E-2</v>
      </c>
      <c r="F44" s="40">
        <f>TRUNC(29.54,2)</f>
        <v>29.54</v>
      </c>
      <c r="G44" s="40">
        <f>TRUNC(E44*F44,2)</f>
        <v>1.95</v>
      </c>
      <c r="H44" s="40"/>
      <c r="I44" s="43"/>
    </row>
    <row r="45" spans="1:9" ht="15">
      <c r="A45" s="42"/>
      <c r="B45" s="44" t="s">
        <v>83</v>
      </c>
      <c r="C45" s="45" t="s">
        <v>84</v>
      </c>
      <c r="D45" s="42" t="s">
        <v>35</v>
      </c>
      <c r="E45" s="43">
        <v>6.6299999999999998E-2</v>
      </c>
      <c r="F45" s="40">
        <f>TRUNC(24.33,2)</f>
        <v>24.33</v>
      </c>
      <c r="G45" s="40">
        <f>TRUNC(E45*F45,2)</f>
        <v>1.61</v>
      </c>
      <c r="H45" s="40"/>
      <c r="I45" s="43"/>
    </row>
    <row r="46" spans="1:9" ht="15">
      <c r="A46" s="42"/>
      <c r="B46" s="44"/>
      <c r="C46" s="45"/>
      <c r="D46" s="42"/>
      <c r="E46" s="43" t="s">
        <v>24</v>
      </c>
      <c r="F46" s="40"/>
      <c r="G46" s="40">
        <f>TRUNC(SUM(G42:G45),2)</f>
        <v>13.31</v>
      </c>
      <c r="H46" s="40"/>
      <c r="I46" s="43"/>
    </row>
    <row r="47" spans="1:9" ht="30">
      <c r="A47" s="41" t="s">
        <v>45</v>
      </c>
      <c r="B47" s="46" t="s">
        <v>87</v>
      </c>
      <c r="C47" s="13" t="s">
        <v>88</v>
      </c>
      <c r="D47" s="41" t="s">
        <v>7</v>
      </c>
      <c r="E47" s="14">
        <v>3</v>
      </c>
      <c r="F47" s="14">
        <f>TRUNC(F48,2)</f>
        <v>55.42</v>
      </c>
      <c r="G47" s="14">
        <f>TRUNC(F47*1.2882,2)</f>
        <v>71.39</v>
      </c>
      <c r="H47" s="14">
        <f>TRUNC(F47*E47,2)</f>
        <v>166.26</v>
      </c>
      <c r="I47" s="14">
        <f>TRUNC(E47*G47,2)</f>
        <v>214.17</v>
      </c>
    </row>
    <row r="48" spans="1:9" ht="30">
      <c r="A48" s="42"/>
      <c r="B48" s="44" t="s">
        <v>87</v>
      </c>
      <c r="C48" s="45" t="s">
        <v>88</v>
      </c>
      <c r="D48" s="42" t="s">
        <v>7</v>
      </c>
      <c r="E48" s="43">
        <v>1</v>
      </c>
      <c r="F48" s="40">
        <f>G53</f>
        <v>55.42</v>
      </c>
      <c r="G48" s="40">
        <f>TRUNC(E48*F48,2)</f>
        <v>55.42</v>
      </c>
      <c r="H48" s="40"/>
      <c r="I48" s="43"/>
    </row>
    <row r="49" spans="1:9" ht="15">
      <c r="A49" s="42"/>
      <c r="B49" s="44" t="s">
        <v>89</v>
      </c>
      <c r="C49" s="45" t="s">
        <v>90</v>
      </c>
      <c r="D49" s="42" t="s">
        <v>7</v>
      </c>
      <c r="E49" s="43">
        <v>1</v>
      </c>
      <c r="F49" s="40">
        <f>TRUNC(48.24,2)</f>
        <v>48.24</v>
      </c>
      <c r="G49" s="40">
        <f>TRUNC(E49*F49,2)</f>
        <v>48.24</v>
      </c>
      <c r="H49" s="40"/>
      <c r="I49" s="43"/>
    </row>
    <row r="50" spans="1:9" ht="30">
      <c r="A50" s="42"/>
      <c r="B50" s="44" t="s">
        <v>91</v>
      </c>
      <c r="C50" s="45" t="s">
        <v>92</v>
      </c>
      <c r="D50" s="42" t="s">
        <v>7</v>
      </c>
      <c r="E50" s="43">
        <v>2</v>
      </c>
      <c r="F50" s="40">
        <f>TRUNC(1.03,2)</f>
        <v>1.03</v>
      </c>
      <c r="G50" s="40">
        <f>TRUNC(E50*F50,2)</f>
        <v>2.06</v>
      </c>
      <c r="H50" s="40"/>
      <c r="I50" s="43"/>
    </row>
    <row r="51" spans="1:9" ht="15">
      <c r="A51" s="42"/>
      <c r="B51" s="44" t="s">
        <v>53</v>
      </c>
      <c r="C51" s="45" t="s">
        <v>54</v>
      </c>
      <c r="D51" s="42" t="s">
        <v>35</v>
      </c>
      <c r="E51" s="43">
        <v>9.5200000000000007E-2</v>
      </c>
      <c r="F51" s="40">
        <f>TRUNC(29.54,2)</f>
        <v>29.54</v>
      </c>
      <c r="G51" s="40">
        <f>TRUNC(E51*F51,2)</f>
        <v>2.81</v>
      </c>
      <c r="H51" s="40"/>
      <c r="I51" s="43"/>
    </row>
    <row r="52" spans="1:9" ht="15">
      <c r="A52" s="42"/>
      <c r="B52" s="44" t="s">
        <v>83</v>
      </c>
      <c r="C52" s="45" t="s">
        <v>84</v>
      </c>
      <c r="D52" s="42" t="s">
        <v>35</v>
      </c>
      <c r="E52" s="43">
        <v>9.5200000000000007E-2</v>
      </c>
      <c r="F52" s="40">
        <f>TRUNC(24.33,2)</f>
        <v>24.33</v>
      </c>
      <c r="G52" s="40">
        <f>TRUNC(E52*F52,2)</f>
        <v>2.31</v>
      </c>
      <c r="H52" s="40"/>
      <c r="I52" s="43"/>
    </row>
    <row r="53" spans="1:9" ht="15">
      <c r="A53" s="42"/>
      <c r="B53" s="44"/>
      <c r="C53" s="45"/>
      <c r="D53" s="42"/>
      <c r="E53" s="43" t="s">
        <v>24</v>
      </c>
      <c r="F53" s="40"/>
      <c r="G53" s="40">
        <f>TRUNC(SUM(G49:G52),2)</f>
        <v>55.42</v>
      </c>
      <c r="H53" s="40"/>
      <c r="I53" s="43"/>
    </row>
    <row r="54" spans="1:9" ht="30">
      <c r="A54" s="41" t="s">
        <v>46</v>
      </c>
      <c r="B54" s="46" t="s">
        <v>93</v>
      </c>
      <c r="C54" s="13" t="s">
        <v>94</v>
      </c>
      <c r="D54" s="41" t="s">
        <v>7</v>
      </c>
      <c r="E54" s="14">
        <v>8</v>
      </c>
      <c r="F54" s="14">
        <f>TRUNC(F55,2)</f>
        <v>58.05</v>
      </c>
      <c r="G54" s="14">
        <f>TRUNC(F54*1.2882,2)</f>
        <v>74.78</v>
      </c>
      <c r="H54" s="14">
        <f>TRUNC(F54*E54,2)</f>
        <v>464.4</v>
      </c>
      <c r="I54" s="14">
        <f>TRUNC(E54*G54,2)</f>
        <v>598.24</v>
      </c>
    </row>
    <row r="55" spans="1:9" ht="30">
      <c r="A55" s="42"/>
      <c r="B55" s="44" t="s">
        <v>93</v>
      </c>
      <c r="C55" s="45" t="s">
        <v>94</v>
      </c>
      <c r="D55" s="42" t="s">
        <v>7</v>
      </c>
      <c r="E55" s="43">
        <v>1</v>
      </c>
      <c r="F55" s="40">
        <f>G60</f>
        <v>58.05</v>
      </c>
      <c r="G55" s="40">
        <f>TRUNC(E55*F55,2)</f>
        <v>58.05</v>
      </c>
      <c r="H55" s="40"/>
      <c r="I55" s="43"/>
    </row>
    <row r="56" spans="1:9" ht="15">
      <c r="A56" s="42"/>
      <c r="B56" s="44" t="s">
        <v>89</v>
      </c>
      <c r="C56" s="45" t="s">
        <v>90</v>
      </c>
      <c r="D56" s="42" t="s">
        <v>7</v>
      </c>
      <c r="E56" s="43">
        <v>1</v>
      </c>
      <c r="F56" s="40">
        <f>TRUNC(48.24,2)</f>
        <v>48.24</v>
      </c>
      <c r="G56" s="40">
        <f>TRUNC(E56*F56,2)</f>
        <v>48.24</v>
      </c>
      <c r="H56" s="40"/>
      <c r="I56" s="43"/>
    </row>
    <row r="57" spans="1:9" ht="30">
      <c r="A57" s="42"/>
      <c r="B57" s="44" t="s">
        <v>81</v>
      </c>
      <c r="C57" s="45" t="s">
        <v>82</v>
      </c>
      <c r="D57" s="42" t="s">
        <v>7</v>
      </c>
      <c r="E57" s="43">
        <v>2</v>
      </c>
      <c r="F57" s="40">
        <f>TRUNC(1.34,2)</f>
        <v>1.34</v>
      </c>
      <c r="G57" s="40">
        <f>TRUNC(E57*F57,2)</f>
        <v>2.68</v>
      </c>
      <c r="H57" s="40"/>
      <c r="I57" s="43"/>
    </row>
    <row r="58" spans="1:9" ht="15">
      <c r="A58" s="42"/>
      <c r="B58" s="44" t="s">
        <v>53</v>
      </c>
      <c r="C58" s="45" t="s">
        <v>54</v>
      </c>
      <c r="D58" s="42" t="s">
        <v>35</v>
      </c>
      <c r="E58" s="43">
        <v>0.13250000000000001</v>
      </c>
      <c r="F58" s="40">
        <f>TRUNC(29.54,2)</f>
        <v>29.54</v>
      </c>
      <c r="G58" s="40">
        <f>TRUNC(E58*F58,2)</f>
        <v>3.91</v>
      </c>
      <c r="H58" s="40"/>
      <c r="I58" s="43"/>
    </row>
    <row r="59" spans="1:9" ht="15">
      <c r="A59" s="42"/>
      <c r="B59" s="44" t="s">
        <v>83</v>
      </c>
      <c r="C59" s="45" t="s">
        <v>84</v>
      </c>
      <c r="D59" s="42" t="s">
        <v>35</v>
      </c>
      <c r="E59" s="43">
        <v>0.13250000000000001</v>
      </c>
      <c r="F59" s="40">
        <f>TRUNC(24.33,2)</f>
        <v>24.33</v>
      </c>
      <c r="G59" s="40">
        <f>TRUNC(E59*F59,2)</f>
        <v>3.22</v>
      </c>
      <c r="H59" s="40"/>
      <c r="I59" s="43"/>
    </row>
    <row r="60" spans="1:9" ht="15">
      <c r="A60" s="42"/>
      <c r="B60" s="44"/>
      <c r="C60" s="45"/>
      <c r="D60" s="42"/>
      <c r="E60" s="43" t="s">
        <v>24</v>
      </c>
      <c r="F60" s="40"/>
      <c r="G60" s="40">
        <f>TRUNC(SUM(G56:G59),2)</f>
        <v>58.05</v>
      </c>
      <c r="H60" s="40"/>
      <c r="I60" s="43"/>
    </row>
    <row r="61" spans="1:9" ht="30">
      <c r="A61" s="41" t="s">
        <v>47</v>
      </c>
      <c r="B61" s="46" t="s">
        <v>191</v>
      </c>
      <c r="C61" s="13" t="s">
        <v>192</v>
      </c>
      <c r="D61" s="41" t="s">
        <v>7</v>
      </c>
      <c r="E61" s="14">
        <v>5</v>
      </c>
      <c r="F61" s="14">
        <f>TRUNC(F62,2)</f>
        <v>61.25</v>
      </c>
      <c r="G61" s="14">
        <f>TRUNC(F61*1.2882,2)</f>
        <v>78.900000000000006</v>
      </c>
      <c r="H61" s="14">
        <f>TRUNC(F61*E61,2)</f>
        <v>306.25</v>
      </c>
      <c r="I61" s="14">
        <f>TRUNC(E61*G61,2)</f>
        <v>394.5</v>
      </c>
    </row>
    <row r="62" spans="1:9" ht="30">
      <c r="A62" s="42"/>
      <c r="B62" s="44" t="s">
        <v>191</v>
      </c>
      <c r="C62" s="45" t="s">
        <v>192</v>
      </c>
      <c r="D62" s="42" t="s">
        <v>7</v>
      </c>
      <c r="E62" s="43">
        <v>1</v>
      </c>
      <c r="F62" s="40">
        <f>G67</f>
        <v>61.25</v>
      </c>
      <c r="G62" s="40">
        <f>TRUNC(E62*F62,2)</f>
        <v>61.25</v>
      </c>
      <c r="H62" s="40"/>
      <c r="I62" s="43"/>
    </row>
    <row r="63" spans="1:9" ht="15">
      <c r="A63" s="42"/>
      <c r="B63" s="44" t="s">
        <v>89</v>
      </c>
      <c r="C63" s="45" t="s">
        <v>90</v>
      </c>
      <c r="D63" s="42" t="s">
        <v>7</v>
      </c>
      <c r="E63" s="43">
        <v>1</v>
      </c>
      <c r="F63" s="40">
        <f>TRUNC(48.24,2)</f>
        <v>48.24</v>
      </c>
      <c r="G63" s="40">
        <f>TRUNC(E63*F63,2)</f>
        <v>48.24</v>
      </c>
      <c r="H63" s="40"/>
      <c r="I63" s="43"/>
    </row>
    <row r="64" spans="1:9" ht="30">
      <c r="A64" s="42"/>
      <c r="B64" s="44" t="s">
        <v>85</v>
      </c>
      <c r="C64" s="45" t="s">
        <v>86</v>
      </c>
      <c r="D64" s="42" t="s">
        <v>7</v>
      </c>
      <c r="E64" s="43">
        <v>2</v>
      </c>
      <c r="F64" s="40">
        <f>TRUNC(1.6,2)</f>
        <v>1.6</v>
      </c>
      <c r="G64" s="40">
        <f>TRUNC(E64*F64,2)</f>
        <v>3.2</v>
      </c>
      <c r="H64" s="40"/>
      <c r="I64" s="43"/>
    </row>
    <row r="65" spans="1:9" ht="15">
      <c r="A65" s="42"/>
      <c r="B65" s="44" t="s">
        <v>53</v>
      </c>
      <c r="C65" s="45" t="s">
        <v>54</v>
      </c>
      <c r="D65" s="42" t="s">
        <v>35</v>
      </c>
      <c r="E65" s="43">
        <v>0.18229999999999999</v>
      </c>
      <c r="F65" s="40">
        <f>TRUNC(29.54,2)</f>
        <v>29.54</v>
      </c>
      <c r="G65" s="40">
        <f>TRUNC(E65*F65,2)</f>
        <v>5.38</v>
      </c>
      <c r="H65" s="40"/>
      <c r="I65" s="43"/>
    </row>
    <row r="66" spans="1:9" ht="15">
      <c r="A66" s="42"/>
      <c r="B66" s="44" t="s">
        <v>83</v>
      </c>
      <c r="C66" s="45" t="s">
        <v>84</v>
      </c>
      <c r="D66" s="42" t="s">
        <v>35</v>
      </c>
      <c r="E66" s="43">
        <v>0.18229999999999999</v>
      </c>
      <c r="F66" s="40">
        <f>TRUNC(24.33,2)</f>
        <v>24.33</v>
      </c>
      <c r="G66" s="40">
        <f>TRUNC(E66*F66,2)</f>
        <v>4.43</v>
      </c>
      <c r="H66" s="40"/>
      <c r="I66" s="43"/>
    </row>
    <row r="67" spans="1:9" ht="15">
      <c r="A67" s="42"/>
      <c r="B67" s="44"/>
      <c r="C67" s="45"/>
      <c r="D67" s="42"/>
      <c r="E67" s="43" t="s">
        <v>24</v>
      </c>
      <c r="F67" s="40"/>
      <c r="G67" s="40">
        <f>TRUNC(SUM(G63:G66),2)</f>
        <v>61.25</v>
      </c>
      <c r="H67" s="40"/>
      <c r="I67" s="43"/>
    </row>
    <row r="68" spans="1:9" ht="30">
      <c r="A68" s="41" t="s">
        <v>48</v>
      </c>
      <c r="B68" s="46" t="s">
        <v>97</v>
      </c>
      <c r="C68" s="13" t="s">
        <v>98</v>
      </c>
      <c r="D68" s="41" t="s">
        <v>7</v>
      </c>
      <c r="E68" s="14">
        <v>2</v>
      </c>
      <c r="F68" s="14">
        <f>TRUNC(F69,2)</f>
        <v>80.260000000000005</v>
      </c>
      <c r="G68" s="14">
        <f>TRUNC(F68*1.2882,2)</f>
        <v>103.39</v>
      </c>
      <c r="H68" s="14">
        <f>TRUNC(F68*E68,2)</f>
        <v>160.52000000000001</v>
      </c>
      <c r="I68" s="14">
        <f>TRUNC(E68*G68,2)</f>
        <v>206.78</v>
      </c>
    </row>
    <row r="69" spans="1:9" ht="30">
      <c r="A69" s="42"/>
      <c r="B69" s="44" t="s">
        <v>97</v>
      </c>
      <c r="C69" s="45" t="s">
        <v>98</v>
      </c>
      <c r="D69" s="42" t="s">
        <v>7</v>
      </c>
      <c r="E69" s="43">
        <v>1</v>
      </c>
      <c r="F69" s="40">
        <f>TRUNC(80.262343,2)</f>
        <v>80.260000000000005</v>
      </c>
      <c r="G69" s="40">
        <f>TRUNC(E69*F69,2)</f>
        <v>80.260000000000005</v>
      </c>
      <c r="H69" s="40"/>
      <c r="I69" s="43"/>
    </row>
    <row r="70" spans="1:9" ht="15">
      <c r="A70" s="42"/>
      <c r="B70" s="44" t="s">
        <v>95</v>
      </c>
      <c r="C70" s="45" t="s">
        <v>96</v>
      </c>
      <c r="D70" s="42" t="s">
        <v>7</v>
      </c>
      <c r="E70" s="43">
        <v>1</v>
      </c>
      <c r="F70" s="40">
        <v>59.1</v>
      </c>
      <c r="G70" s="40">
        <f>TRUNC(E70*F70,2)</f>
        <v>59.1</v>
      </c>
      <c r="H70" s="40"/>
      <c r="I70" s="43"/>
    </row>
    <row r="71" spans="1:9" ht="30">
      <c r="A71" s="42"/>
      <c r="B71" s="44" t="s">
        <v>99</v>
      </c>
      <c r="C71" s="45" t="s">
        <v>100</v>
      </c>
      <c r="D71" s="42" t="s">
        <v>7</v>
      </c>
      <c r="E71" s="43">
        <v>3</v>
      </c>
      <c r="F71" s="40">
        <v>1.73</v>
      </c>
      <c r="G71" s="40">
        <f>TRUNC(E71*F71,2)</f>
        <v>5.19</v>
      </c>
      <c r="H71" s="40"/>
      <c r="I71" s="43"/>
    </row>
    <row r="72" spans="1:9" ht="15">
      <c r="A72" s="42"/>
      <c r="B72" s="44" t="s">
        <v>53</v>
      </c>
      <c r="C72" s="45" t="s">
        <v>54</v>
      </c>
      <c r="D72" s="42" t="s">
        <v>35</v>
      </c>
      <c r="E72" s="43">
        <v>0.40570000000000001</v>
      </c>
      <c r="F72" s="40">
        <f>TRUNC(29.54,2)</f>
        <v>29.54</v>
      </c>
      <c r="G72" s="40">
        <f>TRUNC(E72*F72,2)</f>
        <v>11.98</v>
      </c>
      <c r="H72" s="40"/>
      <c r="I72" s="43"/>
    </row>
    <row r="73" spans="1:9" ht="15">
      <c r="A73" s="42"/>
      <c r="B73" s="44" t="s">
        <v>83</v>
      </c>
      <c r="C73" s="45" t="s">
        <v>84</v>
      </c>
      <c r="D73" s="42" t="s">
        <v>35</v>
      </c>
      <c r="E73" s="43">
        <v>0.40570000000000001</v>
      </c>
      <c r="F73" s="40">
        <f>TRUNC(24.33,2)</f>
        <v>24.33</v>
      </c>
      <c r="G73" s="40">
        <f>TRUNC(E73*F73,2)</f>
        <v>9.8699999999999992</v>
      </c>
      <c r="H73" s="40"/>
      <c r="I73" s="43"/>
    </row>
    <row r="74" spans="1:9" ht="15">
      <c r="A74" s="42"/>
      <c r="B74" s="44"/>
      <c r="C74" s="45"/>
      <c r="D74" s="42"/>
      <c r="E74" s="43" t="s">
        <v>24</v>
      </c>
      <c r="F74" s="40"/>
      <c r="G74" s="40">
        <f>TRUNC(SUM(G70:G73),2)</f>
        <v>86.14</v>
      </c>
      <c r="H74" s="40"/>
      <c r="I74" s="43"/>
    </row>
    <row r="75" spans="1:9" ht="30">
      <c r="A75" s="41" t="s">
        <v>49</v>
      </c>
      <c r="B75" s="46" t="s">
        <v>101</v>
      </c>
      <c r="C75" s="13" t="s">
        <v>102</v>
      </c>
      <c r="D75" s="41" t="s">
        <v>7</v>
      </c>
      <c r="E75" s="14">
        <v>2</v>
      </c>
      <c r="F75" s="14">
        <f>TRUNC(F76,2)</f>
        <v>51.56</v>
      </c>
      <c r="G75" s="14">
        <f>TRUNC(F75*1.2882,2)</f>
        <v>66.41</v>
      </c>
      <c r="H75" s="14">
        <f>TRUNC(F75*E75,2)</f>
        <v>103.12</v>
      </c>
      <c r="I75" s="14">
        <f>TRUNC(E75*G75,2)</f>
        <v>132.82</v>
      </c>
    </row>
    <row r="76" spans="1:9" ht="30">
      <c r="A76" s="42"/>
      <c r="B76" s="44" t="s">
        <v>101</v>
      </c>
      <c r="C76" s="45" t="s">
        <v>102</v>
      </c>
      <c r="D76" s="42" t="s">
        <v>7</v>
      </c>
      <c r="E76" s="43">
        <v>1</v>
      </c>
      <c r="F76" s="40">
        <f>G80</f>
        <v>51.56</v>
      </c>
      <c r="G76" s="40">
        <f>TRUNC(E76*F76,2)</f>
        <v>51.56</v>
      </c>
      <c r="H76" s="40"/>
      <c r="I76" s="43"/>
    </row>
    <row r="77" spans="1:9" ht="15">
      <c r="A77" s="42"/>
      <c r="B77" s="44" t="s">
        <v>103</v>
      </c>
      <c r="C77" s="45" t="s">
        <v>104</v>
      </c>
      <c r="D77" s="42" t="s">
        <v>7</v>
      </c>
      <c r="E77" s="43">
        <v>1</v>
      </c>
      <c r="F77" s="40">
        <f>TRUNC(45.98,2)</f>
        <v>45.98</v>
      </c>
      <c r="G77" s="40">
        <f>TRUNC(E77*F77,2)</f>
        <v>45.98</v>
      </c>
      <c r="H77" s="40"/>
      <c r="I77" s="43"/>
    </row>
    <row r="78" spans="1:9" ht="30">
      <c r="A78" s="42"/>
      <c r="B78" s="44" t="s">
        <v>33</v>
      </c>
      <c r="C78" s="45" t="s">
        <v>34</v>
      </c>
      <c r="D78" s="42" t="s">
        <v>35</v>
      </c>
      <c r="E78" s="43">
        <v>0.1545</v>
      </c>
      <c r="F78" s="40">
        <f>TRUNC(15.2,2)</f>
        <v>15.2</v>
      </c>
      <c r="G78" s="40">
        <f>TRUNC(E78*F78,2)</f>
        <v>2.34</v>
      </c>
      <c r="H78" s="40"/>
      <c r="I78" s="43"/>
    </row>
    <row r="79" spans="1:9" ht="30">
      <c r="A79" s="42"/>
      <c r="B79" s="44" t="s">
        <v>55</v>
      </c>
      <c r="C79" s="45" t="s">
        <v>56</v>
      </c>
      <c r="D79" s="42" t="s">
        <v>35</v>
      </c>
      <c r="E79" s="43">
        <v>0.1545</v>
      </c>
      <c r="F79" s="40">
        <f>TRUNC(21,2)</f>
        <v>21</v>
      </c>
      <c r="G79" s="40">
        <f>TRUNC(E79*F79,2)</f>
        <v>3.24</v>
      </c>
      <c r="H79" s="40"/>
      <c r="I79" s="43"/>
    </row>
    <row r="80" spans="1:9" ht="15">
      <c r="A80" s="42"/>
      <c r="B80" s="44"/>
      <c r="C80" s="45"/>
      <c r="D80" s="42"/>
      <c r="E80" s="43" t="s">
        <v>24</v>
      </c>
      <c r="F80" s="40"/>
      <c r="G80" s="40">
        <f>TRUNC(SUM(G77:G79),2)</f>
        <v>51.56</v>
      </c>
      <c r="H80" s="40"/>
      <c r="I80" s="43"/>
    </row>
    <row r="81" spans="1:9" ht="60">
      <c r="A81" s="41" t="s">
        <v>50</v>
      </c>
      <c r="B81" s="46" t="s">
        <v>193</v>
      </c>
      <c r="C81" s="13" t="s">
        <v>194</v>
      </c>
      <c r="D81" s="41" t="s">
        <v>7</v>
      </c>
      <c r="E81" s="14">
        <v>1</v>
      </c>
      <c r="F81" s="14">
        <f>TRUNC(F82,2)</f>
        <v>687.22</v>
      </c>
      <c r="G81" s="14">
        <f>TRUNC(F81*1.2882,2)</f>
        <v>885.27</v>
      </c>
      <c r="H81" s="14">
        <f>TRUNC(F81*E81,2)</f>
        <v>687.22</v>
      </c>
      <c r="I81" s="14">
        <f>TRUNC(E81*G81,2)</f>
        <v>885.27</v>
      </c>
    </row>
    <row r="82" spans="1:9" ht="60">
      <c r="A82" s="42"/>
      <c r="B82" s="44" t="s">
        <v>193</v>
      </c>
      <c r="C82" s="45" t="s">
        <v>194</v>
      </c>
      <c r="D82" s="42" t="s">
        <v>7</v>
      </c>
      <c r="E82" s="43">
        <v>1</v>
      </c>
      <c r="F82" s="40">
        <f>G86</f>
        <v>687.22</v>
      </c>
      <c r="G82" s="40">
        <f>TRUNC(E82*F82,2)</f>
        <v>687.22</v>
      </c>
      <c r="H82" s="40"/>
      <c r="I82" s="43"/>
    </row>
    <row r="83" spans="1:9" ht="30">
      <c r="A83" s="42"/>
      <c r="B83" s="44" t="s">
        <v>195</v>
      </c>
      <c r="C83" s="45" t="s">
        <v>196</v>
      </c>
      <c r="D83" s="42" t="s">
        <v>7</v>
      </c>
      <c r="E83" s="43">
        <v>1</v>
      </c>
      <c r="F83" s="40">
        <f>TRUNC(500.79,2)</f>
        <v>500.79</v>
      </c>
      <c r="G83" s="40">
        <f>TRUNC(E83*F83,2)</f>
        <v>500.79</v>
      </c>
      <c r="H83" s="40"/>
      <c r="I83" s="43"/>
    </row>
    <row r="84" spans="1:9" ht="30">
      <c r="A84" s="42"/>
      <c r="B84" s="44" t="s">
        <v>33</v>
      </c>
      <c r="C84" s="45" t="s">
        <v>34</v>
      </c>
      <c r="D84" s="42" t="s">
        <v>35</v>
      </c>
      <c r="E84" s="43">
        <v>5.15</v>
      </c>
      <c r="F84" s="40">
        <f>TRUNC(15.2,2)</f>
        <v>15.2</v>
      </c>
      <c r="G84" s="40">
        <f>TRUNC(E84*F84,2)</f>
        <v>78.28</v>
      </c>
      <c r="H84" s="40"/>
      <c r="I84" s="43"/>
    </row>
    <row r="85" spans="1:9" ht="30">
      <c r="A85" s="42"/>
      <c r="B85" s="44" t="s">
        <v>55</v>
      </c>
      <c r="C85" s="45" t="s">
        <v>56</v>
      </c>
      <c r="D85" s="42" t="s">
        <v>35</v>
      </c>
      <c r="E85" s="43">
        <v>5.15</v>
      </c>
      <c r="F85" s="40">
        <f>TRUNC(21,2)</f>
        <v>21</v>
      </c>
      <c r="G85" s="40">
        <f>TRUNC(E85*F85,2)</f>
        <v>108.15</v>
      </c>
      <c r="H85" s="40"/>
      <c r="I85" s="43"/>
    </row>
    <row r="86" spans="1:9" ht="15">
      <c r="A86" s="42"/>
      <c r="B86" s="44"/>
      <c r="C86" s="45"/>
      <c r="D86" s="42"/>
      <c r="E86" s="43" t="s">
        <v>24</v>
      </c>
      <c r="F86" s="40"/>
      <c r="G86" s="40">
        <f>TRUNC(SUM(G83:G85),2)</f>
        <v>687.22</v>
      </c>
      <c r="H86" s="40"/>
      <c r="I86" s="43"/>
    </row>
    <row r="87" spans="1:9" ht="60">
      <c r="A87" s="41" t="s">
        <v>51</v>
      </c>
      <c r="B87" s="46" t="s">
        <v>105</v>
      </c>
      <c r="C87" s="13" t="s">
        <v>106</v>
      </c>
      <c r="D87" s="41" t="s">
        <v>7</v>
      </c>
      <c r="E87" s="14">
        <v>2</v>
      </c>
      <c r="F87" s="14">
        <f>TRUNC(F88,2)</f>
        <v>453.29</v>
      </c>
      <c r="G87" s="14">
        <f>TRUNC(F87*1.2882,2)</f>
        <v>583.91999999999996</v>
      </c>
      <c r="H87" s="14">
        <f>TRUNC(F87*E87,2)</f>
        <v>906.58</v>
      </c>
      <c r="I87" s="14">
        <f>TRUNC(E87*G87,2)</f>
        <v>1167.8399999999999</v>
      </c>
    </row>
    <row r="88" spans="1:9" ht="60">
      <c r="A88" s="42"/>
      <c r="B88" s="44" t="s">
        <v>105</v>
      </c>
      <c r="C88" s="45" t="s">
        <v>106</v>
      </c>
      <c r="D88" s="42" t="s">
        <v>7</v>
      </c>
      <c r="E88" s="43">
        <v>1</v>
      </c>
      <c r="F88" s="40">
        <f>G92</f>
        <v>453.29</v>
      </c>
      <c r="G88" s="40">
        <f>TRUNC(E88*F88,2)</f>
        <v>453.29</v>
      </c>
      <c r="H88" s="40"/>
      <c r="I88" s="43"/>
    </row>
    <row r="89" spans="1:9" ht="30">
      <c r="A89" s="42"/>
      <c r="B89" s="44" t="s">
        <v>107</v>
      </c>
      <c r="C89" s="45" t="s">
        <v>108</v>
      </c>
      <c r="D89" s="42" t="s">
        <v>7</v>
      </c>
      <c r="E89" s="43">
        <v>1</v>
      </c>
      <c r="F89" s="40">
        <v>341.44</v>
      </c>
      <c r="G89" s="40">
        <f>TRUNC(E89*F89,2)</f>
        <v>341.44</v>
      </c>
      <c r="H89" s="40"/>
      <c r="I89" s="43"/>
    </row>
    <row r="90" spans="1:9" ht="30">
      <c r="A90" s="42"/>
      <c r="B90" s="44" t="s">
        <v>33</v>
      </c>
      <c r="C90" s="45" t="s">
        <v>34</v>
      </c>
      <c r="D90" s="42" t="s">
        <v>35</v>
      </c>
      <c r="E90" s="43">
        <v>3.09</v>
      </c>
      <c r="F90" s="40">
        <f>TRUNC(15.2,2)</f>
        <v>15.2</v>
      </c>
      <c r="G90" s="40">
        <f>TRUNC(E90*F90,2)</f>
        <v>46.96</v>
      </c>
      <c r="H90" s="40"/>
      <c r="I90" s="43"/>
    </row>
    <row r="91" spans="1:9" ht="30">
      <c r="A91" s="42"/>
      <c r="B91" s="44" t="s">
        <v>55</v>
      </c>
      <c r="C91" s="45" t="s">
        <v>56</v>
      </c>
      <c r="D91" s="42" t="s">
        <v>35</v>
      </c>
      <c r="E91" s="43">
        <v>3.09</v>
      </c>
      <c r="F91" s="40">
        <f>TRUNC(21,2)</f>
        <v>21</v>
      </c>
      <c r="G91" s="40">
        <f>TRUNC(E91*F91,2)</f>
        <v>64.89</v>
      </c>
      <c r="H91" s="40"/>
      <c r="I91" s="43"/>
    </row>
    <row r="92" spans="1:9" ht="15">
      <c r="A92" s="42"/>
      <c r="B92" s="44"/>
      <c r="C92" s="45"/>
      <c r="D92" s="42"/>
      <c r="E92" s="43" t="s">
        <v>24</v>
      </c>
      <c r="F92" s="40"/>
      <c r="G92" s="40">
        <f>TRUNC(SUM(G89:G91),2)</f>
        <v>453.29</v>
      </c>
      <c r="H92" s="40"/>
      <c r="I92" s="43"/>
    </row>
    <row r="93" spans="1:9" ht="75">
      <c r="A93" s="41" t="s">
        <v>52</v>
      </c>
      <c r="B93" s="46" t="s">
        <v>143</v>
      </c>
      <c r="C93" s="13" t="s">
        <v>144</v>
      </c>
      <c r="D93" s="41" t="s">
        <v>7</v>
      </c>
      <c r="E93" s="14">
        <v>1</v>
      </c>
      <c r="F93" s="14">
        <f>TRUNC(F94,2)</f>
        <v>3553.56</v>
      </c>
      <c r="G93" s="14">
        <f>TRUNC(F93*1.2882,2)</f>
        <v>4577.6899999999996</v>
      </c>
      <c r="H93" s="14">
        <f>TRUNC(F93*E93,2)</f>
        <v>3553.56</v>
      </c>
      <c r="I93" s="14">
        <f>TRUNC(E93*G93,2)</f>
        <v>4577.6899999999996</v>
      </c>
    </row>
    <row r="94" spans="1:9" ht="75">
      <c r="A94" s="42"/>
      <c r="B94" s="44" t="s">
        <v>143</v>
      </c>
      <c r="C94" s="45" t="s">
        <v>144</v>
      </c>
      <c r="D94" s="42" t="s">
        <v>7</v>
      </c>
      <c r="E94" s="43">
        <v>1</v>
      </c>
      <c r="F94" s="40">
        <f>G115</f>
        <v>3553.56</v>
      </c>
      <c r="G94" s="40">
        <f t="shared" ref="G94:G114" si="0">TRUNC(E94*F94,2)</f>
        <v>3553.56</v>
      </c>
      <c r="H94" s="40"/>
      <c r="I94" s="43"/>
    </row>
    <row r="95" spans="1:9" ht="15">
      <c r="A95" s="42"/>
      <c r="B95" s="44" t="s">
        <v>145</v>
      </c>
      <c r="C95" s="45" t="s">
        <v>146</v>
      </c>
      <c r="D95" s="42" t="s">
        <v>7</v>
      </c>
      <c r="E95" s="43">
        <v>2</v>
      </c>
      <c r="F95" s="40">
        <f>TRUNC(6.85,2)</f>
        <v>6.85</v>
      </c>
      <c r="G95" s="40">
        <f t="shared" si="0"/>
        <v>13.7</v>
      </c>
      <c r="H95" s="40"/>
      <c r="I95" s="43"/>
    </row>
    <row r="96" spans="1:9" ht="30">
      <c r="A96" s="42"/>
      <c r="B96" s="44" t="s">
        <v>60</v>
      </c>
      <c r="C96" s="45" t="s">
        <v>61</v>
      </c>
      <c r="D96" s="42" t="s">
        <v>32</v>
      </c>
      <c r="E96" s="43">
        <v>0.5</v>
      </c>
      <c r="F96" s="40">
        <f>TRUNC(74.0654,2)</f>
        <v>74.06</v>
      </c>
      <c r="G96" s="40">
        <f t="shared" si="0"/>
        <v>37.03</v>
      </c>
      <c r="H96" s="40"/>
      <c r="I96" s="43"/>
    </row>
    <row r="97" spans="1:9" ht="30">
      <c r="A97" s="42"/>
      <c r="B97" s="44" t="s">
        <v>127</v>
      </c>
      <c r="C97" s="45" t="s">
        <v>128</v>
      </c>
      <c r="D97" s="42" t="s">
        <v>7</v>
      </c>
      <c r="E97" s="43">
        <v>1</v>
      </c>
      <c r="F97" s="40">
        <f>TRUNC(12.3,2)</f>
        <v>12.3</v>
      </c>
      <c r="G97" s="40">
        <f t="shared" si="0"/>
        <v>12.3</v>
      </c>
      <c r="H97" s="40"/>
      <c r="I97" s="43"/>
    </row>
    <row r="98" spans="1:9" ht="30">
      <c r="A98" s="42"/>
      <c r="B98" s="44" t="s">
        <v>123</v>
      </c>
      <c r="C98" s="45" t="s">
        <v>124</v>
      </c>
      <c r="D98" s="42" t="s">
        <v>7</v>
      </c>
      <c r="E98" s="43">
        <v>1</v>
      </c>
      <c r="F98" s="40">
        <f>TRUNC(54.52,2)</f>
        <v>54.52</v>
      </c>
      <c r="G98" s="40">
        <f t="shared" si="0"/>
        <v>54.52</v>
      </c>
      <c r="H98" s="40"/>
      <c r="I98" s="43"/>
    </row>
    <row r="99" spans="1:9" ht="15">
      <c r="A99" s="42"/>
      <c r="B99" s="44" t="s">
        <v>147</v>
      </c>
      <c r="C99" s="45" t="s">
        <v>148</v>
      </c>
      <c r="D99" s="42" t="s">
        <v>7</v>
      </c>
      <c r="E99" s="43">
        <v>2</v>
      </c>
      <c r="F99" s="40">
        <f>TRUNC(14.29,2)</f>
        <v>14.29</v>
      </c>
      <c r="G99" s="40">
        <f t="shared" si="0"/>
        <v>28.58</v>
      </c>
      <c r="H99" s="40"/>
      <c r="I99" s="43"/>
    </row>
    <row r="100" spans="1:9" ht="15">
      <c r="A100" s="42"/>
      <c r="B100" s="44" t="s">
        <v>149</v>
      </c>
      <c r="C100" s="45" t="s">
        <v>150</v>
      </c>
      <c r="D100" s="42" t="s">
        <v>7</v>
      </c>
      <c r="E100" s="43">
        <v>2</v>
      </c>
      <c r="F100" s="40">
        <f>TRUNC(6.4,2)</f>
        <v>6.4</v>
      </c>
      <c r="G100" s="40">
        <f t="shared" si="0"/>
        <v>12.8</v>
      </c>
      <c r="H100" s="40"/>
      <c r="I100" s="43"/>
    </row>
    <row r="101" spans="1:9" ht="15">
      <c r="A101" s="42"/>
      <c r="B101" s="44" t="s">
        <v>151</v>
      </c>
      <c r="C101" s="45" t="s">
        <v>152</v>
      </c>
      <c r="D101" s="42" t="s">
        <v>7</v>
      </c>
      <c r="E101" s="43">
        <v>1</v>
      </c>
      <c r="F101" s="40">
        <f>TRUNC(52.53,2)</f>
        <v>52.53</v>
      </c>
      <c r="G101" s="40">
        <f t="shared" si="0"/>
        <v>52.53</v>
      </c>
      <c r="H101" s="40"/>
      <c r="I101" s="43"/>
    </row>
    <row r="102" spans="1:9" ht="30">
      <c r="A102" s="42"/>
      <c r="B102" s="44" t="s">
        <v>153</v>
      </c>
      <c r="C102" s="45" t="s">
        <v>154</v>
      </c>
      <c r="D102" s="42" t="s">
        <v>7</v>
      </c>
      <c r="E102" s="43">
        <v>1</v>
      </c>
      <c r="F102" s="40">
        <f>TRUNC(46.04,2)</f>
        <v>46.04</v>
      </c>
      <c r="G102" s="40">
        <f t="shared" si="0"/>
        <v>46.04</v>
      </c>
      <c r="H102" s="40"/>
      <c r="I102" s="43"/>
    </row>
    <row r="103" spans="1:9" ht="15">
      <c r="A103" s="42"/>
      <c r="B103" s="44" t="s">
        <v>155</v>
      </c>
      <c r="C103" s="45" t="s">
        <v>156</v>
      </c>
      <c r="D103" s="42" t="s">
        <v>7</v>
      </c>
      <c r="E103" s="43">
        <v>1</v>
      </c>
      <c r="F103" s="40">
        <f>TRUNC(1,2)</f>
        <v>1</v>
      </c>
      <c r="G103" s="40">
        <f t="shared" si="0"/>
        <v>1</v>
      </c>
      <c r="H103" s="40"/>
      <c r="I103" s="43"/>
    </row>
    <row r="104" spans="1:9" ht="15">
      <c r="A104" s="42"/>
      <c r="B104" s="44" t="s">
        <v>157</v>
      </c>
      <c r="C104" s="45" t="s">
        <v>158</v>
      </c>
      <c r="D104" s="42" t="s">
        <v>7</v>
      </c>
      <c r="E104" s="43">
        <v>4</v>
      </c>
      <c r="F104" s="40">
        <f>TRUNC(6.01,2)</f>
        <v>6.01</v>
      </c>
      <c r="G104" s="40">
        <f t="shared" si="0"/>
        <v>24.04</v>
      </c>
      <c r="H104" s="40"/>
      <c r="I104" s="43"/>
    </row>
    <row r="105" spans="1:9" ht="15">
      <c r="A105" s="42"/>
      <c r="B105" s="44" t="s">
        <v>159</v>
      </c>
      <c r="C105" s="45" t="s">
        <v>160</v>
      </c>
      <c r="D105" s="42" t="s">
        <v>7</v>
      </c>
      <c r="E105" s="43">
        <v>1</v>
      </c>
      <c r="F105" s="40">
        <f>TRUNC(90.14,2)</f>
        <v>90.14</v>
      </c>
      <c r="G105" s="40">
        <f t="shared" si="0"/>
        <v>90.14</v>
      </c>
      <c r="H105" s="40"/>
      <c r="I105" s="43"/>
    </row>
    <row r="106" spans="1:9" ht="30">
      <c r="A106" s="42"/>
      <c r="B106" s="44" t="s">
        <v>161</v>
      </c>
      <c r="C106" s="45" t="s">
        <v>162</v>
      </c>
      <c r="D106" s="42" t="s">
        <v>7</v>
      </c>
      <c r="E106" s="43">
        <v>1</v>
      </c>
      <c r="F106" s="40">
        <f>TRUNC(13.07,2)</f>
        <v>13.07</v>
      </c>
      <c r="G106" s="40">
        <f t="shared" si="0"/>
        <v>13.07</v>
      </c>
      <c r="H106" s="40"/>
      <c r="I106" s="43"/>
    </row>
    <row r="107" spans="1:9" ht="30">
      <c r="A107" s="42"/>
      <c r="B107" s="44" t="s">
        <v>163</v>
      </c>
      <c r="C107" s="45" t="s">
        <v>184</v>
      </c>
      <c r="D107" s="42" t="s">
        <v>7</v>
      </c>
      <c r="E107" s="43">
        <v>1</v>
      </c>
      <c r="F107" s="40">
        <f>TRUNC(80.86,2)</f>
        <v>80.86</v>
      </c>
      <c r="G107" s="40">
        <f t="shared" si="0"/>
        <v>80.86</v>
      </c>
      <c r="H107" s="40"/>
      <c r="I107" s="43"/>
    </row>
    <row r="108" spans="1:9" ht="30">
      <c r="A108" s="42"/>
      <c r="B108" s="44" t="s">
        <v>164</v>
      </c>
      <c r="C108" s="45" t="s">
        <v>165</v>
      </c>
      <c r="D108" s="42" t="s">
        <v>7</v>
      </c>
      <c r="E108" s="43">
        <v>1</v>
      </c>
      <c r="F108" s="40">
        <f>TRUNC(870,2)</f>
        <v>870</v>
      </c>
      <c r="G108" s="40">
        <f t="shared" si="0"/>
        <v>870</v>
      </c>
      <c r="H108" s="40"/>
      <c r="I108" s="43"/>
    </row>
    <row r="109" spans="1:9" ht="30">
      <c r="A109" s="42"/>
      <c r="B109" s="44" t="s">
        <v>166</v>
      </c>
      <c r="C109" s="45" t="s">
        <v>167</v>
      </c>
      <c r="D109" s="42" t="s">
        <v>7</v>
      </c>
      <c r="E109" s="43">
        <v>1</v>
      </c>
      <c r="F109" s="40">
        <f>TRUNC(315,2)</f>
        <v>315</v>
      </c>
      <c r="G109" s="40">
        <f t="shared" si="0"/>
        <v>315</v>
      </c>
      <c r="H109" s="40"/>
      <c r="I109" s="43"/>
    </row>
    <row r="110" spans="1:9" ht="15">
      <c r="A110" s="42"/>
      <c r="B110" s="44" t="s">
        <v>168</v>
      </c>
      <c r="C110" s="45" t="s">
        <v>169</v>
      </c>
      <c r="D110" s="42" t="s">
        <v>7</v>
      </c>
      <c r="E110" s="43">
        <v>1</v>
      </c>
      <c r="F110" s="40">
        <f>TRUNC(62.19,2)</f>
        <v>62.19</v>
      </c>
      <c r="G110" s="40">
        <f t="shared" si="0"/>
        <v>62.19</v>
      </c>
      <c r="H110" s="40"/>
      <c r="I110" s="43"/>
    </row>
    <row r="111" spans="1:9" ht="30">
      <c r="A111" s="42"/>
      <c r="B111" s="44" t="s">
        <v>55</v>
      </c>
      <c r="C111" s="45" t="s">
        <v>56</v>
      </c>
      <c r="D111" s="42" t="s">
        <v>35</v>
      </c>
      <c r="E111" s="43">
        <v>32.96</v>
      </c>
      <c r="F111" s="40">
        <f>TRUNC(21,2)</f>
        <v>21</v>
      </c>
      <c r="G111" s="40">
        <f t="shared" si="0"/>
        <v>692.16</v>
      </c>
      <c r="H111" s="40"/>
      <c r="I111" s="43"/>
    </row>
    <row r="112" spans="1:9" ht="30">
      <c r="A112" s="42"/>
      <c r="B112" s="44" t="s">
        <v>33</v>
      </c>
      <c r="C112" s="45" t="s">
        <v>34</v>
      </c>
      <c r="D112" s="42" t="s">
        <v>35</v>
      </c>
      <c r="E112" s="43">
        <v>32.96</v>
      </c>
      <c r="F112" s="40">
        <f>TRUNC(15.2,2)</f>
        <v>15.2</v>
      </c>
      <c r="G112" s="40">
        <f t="shared" si="0"/>
        <v>500.99</v>
      </c>
      <c r="H112" s="40"/>
      <c r="I112" s="43"/>
    </row>
    <row r="113" spans="1:9" ht="15">
      <c r="A113" s="42"/>
      <c r="B113" s="44" t="s">
        <v>62</v>
      </c>
      <c r="C113" s="45" t="s">
        <v>63</v>
      </c>
      <c r="D113" s="42" t="s">
        <v>16</v>
      </c>
      <c r="E113" s="43">
        <v>8.8000000000000007</v>
      </c>
      <c r="F113" s="40">
        <f>TRUNC(57.0345,2)</f>
        <v>57.03</v>
      </c>
      <c r="G113" s="40">
        <f t="shared" si="0"/>
        <v>501.86</v>
      </c>
      <c r="H113" s="40"/>
      <c r="I113" s="43"/>
    </row>
    <row r="114" spans="1:9" ht="15">
      <c r="A114" s="42"/>
      <c r="B114" s="44" t="s">
        <v>58</v>
      </c>
      <c r="C114" s="45" t="s">
        <v>59</v>
      </c>
      <c r="D114" s="42" t="s">
        <v>36</v>
      </c>
      <c r="E114" s="43">
        <v>0.32</v>
      </c>
      <c r="F114" s="40">
        <f>TRUNC(452.36,2)</f>
        <v>452.36</v>
      </c>
      <c r="G114" s="40">
        <f t="shared" si="0"/>
        <v>144.75</v>
      </c>
      <c r="H114" s="40"/>
      <c r="I114" s="43"/>
    </row>
    <row r="115" spans="1:9" ht="15">
      <c r="A115" s="42"/>
      <c r="B115" s="44"/>
      <c r="C115" s="45"/>
      <c r="D115" s="42"/>
      <c r="E115" s="43" t="s">
        <v>24</v>
      </c>
      <c r="F115" s="40"/>
      <c r="G115" s="40">
        <f>TRUNC(SUM(G95:G114),2)</f>
        <v>3553.56</v>
      </c>
      <c r="H115" s="40"/>
      <c r="I115" s="43"/>
    </row>
    <row r="116" spans="1:9" ht="45">
      <c r="A116" s="41" t="s">
        <v>243</v>
      </c>
      <c r="B116" s="46" t="s">
        <v>170</v>
      </c>
      <c r="C116" s="13" t="s">
        <v>171</v>
      </c>
      <c r="D116" s="41" t="s">
        <v>7</v>
      </c>
      <c r="E116" s="14">
        <v>1</v>
      </c>
      <c r="F116" s="14">
        <f>TRUNC(F117,2)</f>
        <v>921.85</v>
      </c>
      <c r="G116" s="14">
        <f>TRUNC(F116*1.2882,2)</f>
        <v>1187.52</v>
      </c>
      <c r="H116" s="14">
        <f>TRUNC(F116*E116,2)</f>
        <v>921.85</v>
      </c>
      <c r="I116" s="14">
        <f>TRUNC(E116*G116,2)</f>
        <v>1187.52</v>
      </c>
    </row>
    <row r="117" spans="1:9" ht="45">
      <c r="A117" s="42"/>
      <c r="B117" s="44" t="s">
        <v>170</v>
      </c>
      <c r="C117" s="45" t="s">
        <v>171</v>
      </c>
      <c r="D117" s="42" t="s">
        <v>7</v>
      </c>
      <c r="E117" s="43">
        <v>1</v>
      </c>
      <c r="F117" s="40">
        <f>G124</f>
        <v>921.85</v>
      </c>
      <c r="G117" s="40">
        <f t="shared" ref="G117:G123" si="1">TRUNC(E117*F117,2)</f>
        <v>921.85</v>
      </c>
      <c r="H117" s="40"/>
      <c r="I117" s="43"/>
    </row>
    <row r="118" spans="1:9" ht="30">
      <c r="A118" s="42"/>
      <c r="B118" s="44" t="s">
        <v>172</v>
      </c>
      <c r="C118" s="45" t="s">
        <v>173</v>
      </c>
      <c r="D118" s="42" t="s">
        <v>7</v>
      </c>
      <c r="E118" s="43">
        <v>1</v>
      </c>
      <c r="F118" s="40">
        <f>TRUNC(671.9,2)</f>
        <v>671.9</v>
      </c>
      <c r="G118" s="40">
        <f t="shared" si="1"/>
        <v>671.9</v>
      </c>
      <c r="H118" s="40"/>
      <c r="I118" s="43"/>
    </row>
    <row r="119" spans="1:9" ht="30">
      <c r="A119" s="42"/>
      <c r="B119" s="44" t="s">
        <v>33</v>
      </c>
      <c r="C119" s="45" t="s">
        <v>34</v>
      </c>
      <c r="D119" s="42" t="s">
        <v>35</v>
      </c>
      <c r="E119" s="43">
        <v>5.665</v>
      </c>
      <c r="F119" s="40">
        <f>TRUNC(15.2,2)</f>
        <v>15.2</v>
      </c>
      <c r="G119" s="40">
        <f t="shared" si="1"/>
        <v>86.1</v>
      </c>
      <c r="H119" s="40"/>
      <c r="I119" s="43"/>
    </row>
    <row r="120" spans="1:9" ht="15">
      <c r="A120" s="42"/>
      <c r="B120" s="44" t="s">
        <v>174</v>
      </c>
      <c r="C120" s="45" t="s">
        <v>175</v>
      </c>
      <c r="D120" s="42" t="s">
        <v>35</v>
      </c>
      <c r="E120" s="43">
        <v>1</v>
      </c>
      <c r="F120" s="40">
        <f>TRUNC(48.5683,2)</f>
        <v>48.56</v>
      </c>
      <c r="G120" s="40">
        <f t="shared" si="1"/>
        <v>48.56</v>
      </c>
      <c r="H120" s="40"/>
      <c r="I120" s="43"/>
    </row>
    <row r="121" spans="1:9" ht="15">
      <c r="A121" s="42"/>
      <c r="B121" s="44" t="s">
        <v>176</v>
      </c>
      <c r="C121" s="45" t="s">
        <v>177</v>
      </c>
      <c r="D121" s="42" t="s">
        <v>35</v>
      </c>
      <c r="E121" s="43">
        <v>1</v>
      </c>
      <c r="F121" s="40">
        <f>TRUNC(71.2888,2)</f>
        <v>71.28</v>
      </c>
      <c r="G121" s="40">
        <f t="shared" si="1"/>
        <v>71.28</v>
      </c>
      <c r="H121" s="40"/>
      <c r="I121" s="43"/>
    </row>
    <row r="122" spans="1:9" ht="15">
      <c r="A122" s="42"/>
      <c r="B122" s="44" t="s">
        <v>178</v>
      </c>
      <c r="C122" s="45" t="s">
        <v>179</v>
      </c>
      <c r="D122" s="42" t="s">
        <v>36</v>
      </c>
      <c r="E122" s="43">
        <v>0.1</v>
      </c>
      <c r="F122" s="40">
        <f>TRUNC(68.661,2)</f>
        <v>68.66</v>
      </c>
      <c r="G122" s="40">
        <f t="shared" si="1"/>
        <v>6.86</v>
      </c>
      <c r="H122" s="40"/>
      <c r="I122" s="43"/>
    </row>
    <row r="123" spans="1:9" ht="15">
      <c r="A123" s="42"/>
      <c r="B123" s="44" t="s">
        <v>64</v>
      </c>
      <c r="C123" s="45" t="s">
        <v>65</v>
      </c>
      <c r="D123" s="42" t="s">
        <v>36</v>
      </c>
      <c r="E123" s="43">
        <v>0.1</v>
      </c>
      <c r="F123" s="40">
        <f>TRUNC(371.5672,2)</f>
        <v>371.56</v>
      </c>
      <c r="G123" s="40">
        <f t="shared" si="1"/>
        <v>37.15</v>
      </c>
      <c r="H123" s="40"/>
      <c r="I123" s="43"/>
    </row>
    <row r="124" spans="1:9" ht="15">
      <c r="A124" s="42"/>
      <c r="B124" s="44"/>
      <c r="C124" s="45"/>
      <c r="D124" s="42"/>
      <c r="E124" s="43" t="s">
        <v>24</v>
      </c>
      <c r="F124" s="40"/>
      <c r="G124" s="40">
        <f>TRUNC(SUM(G118:G123),2)</f>
        <v>921.85</v>
      </c>
      <c r="H124" s="40"/>
      <c r="I124" s="43"/>
    </row>
    <row r="125" spans="1:9" ht="30">
      <c r="A125" s="41" t="s">
        <v>244</v>
      </c>
      <c r="B125" s="46" t="s">
        <v>139</v>
      </c>
      <c r="C125" s="13" t="s">
        <v>140</v>
      </c>
      <c r="D125" s="41" t="s">
        <v>7</v>
      </c>
      <c r="E125" s="14">
        <v>5</v>
      </c>
      <c r="F125" s="14">
        <f>TRUNC(F126,2)</f>
        <v>75.959999999999994</v>
      </c>
      <c r="G125" s="14">
        <f>TRUNC(F125*1.2882,2)</f>
        <v>97.85</v>
      </c>
      <c r="H125" s="14">
        <f>TRUNC(F125*E125,2)</f>
        <v>379.8</v>
      </c>
      <c r="I125" s="14">
        <f>TRUNC(E125*G125,2)</f>
        <v>489.25</v>
      </c>
    </row>
    <row r="126" spans="1:9" ht="30">
      <c r="A126" s="42"/>
      <c r="B126" s="44" t="s">
        <v>139</v>
      </c>
      <c r="C126" s="45" t="s">
        <v>140</v>
      </c>
      <c r="D126" s="42" t="s">
        <v>7</v>
      </c>
      <c r="E126" s="43">
        <v>1</v>
      </c>
      <c r="F126" s="40">
        <f>G130</f>
        <v>75.959999999999994</v>
      </c>
      <c r="G126" s="40">
        <f>TRUNC(E126*F126,2)</f>
        <v>75.959999999999994</v>
      </c>
      <c r="H126" s="40"/>
      <c r="I126" s="43"/>
    </row>
    <row r="127" spans="1:9" ht="30">
      <c r="A127" s="42"/>
      <c r="B127" s="44" t="s">
        <v>141</v>
      </c>
      <c r="C127" s="45" t="s">
        <v>142</v>
      </c>
      <c r="D127" s="42" t="s">
        <v>7</v>
      </c>
      <c r="E127" s="43">
        <v>1</v>
      </c>
      <c r="F127" s="40">
        <v>62.34</v>
      </c>
      <c r="G127" s="40">
        <f>TRUNC(E127*F127,2)</f>
        <v>62.34</v>
      </c>
      <c r="H127" s="40"/>
      <c r="I127" s="43"/>
    </row>
    <row r="128" spans="1:9" ht="15">
      <c r="A128" s="42"/>
      <c r="B128" s="44" t="s">
        <v>53</v>
      </c>
      <c r="C128" s="45" t="s">
        <v>54</v>
      </c>
      <c r="D128" s="42" t="s">
        <v>35</v>
      </c>
      <c r="E128" s="43">
        <v>0.25309999999999999</v>
      </c>
      <c r="F128" s="40">
        <f>TRUNC(29.54,2)</f>
        <v>29.54</v>
      </c>
      <c r="G128" s="40">
        <f>TRUNC(E128*F128,2)</f>
        <v>7.47</v>
      </c>
      <c r="H128" s="40"/>
      <c r="I128" s="43"/>
    </row>
    <row r="129" spans="1:9" ht="15">
      <c r="A129" s="42"/>
      <c r="B129" s="44" t="s">
        <v>83</v>
      </c>
      <c r="C129" s="45" t="s">
        <v>84</v>
      </c>
      <c r="D129" s="42" t="s">
        <v>35</v>
      </c>
      <c r="E129" s="43">
        <v>0.25309999999999999</v>
      </c>
      <c r="F129" s="40">
        <f>TRUNC(24.33,2)</f>
        <v>24.33</v>
      </c>
      <c r="G129" s="40">
        <f>TRUNC(E129*F129,2)</f>
        <v>6.15</v>
      </c>
      <c r="H129" s="40"/>
      <c r="I129" s="43"/>
    </row>
    <row r="130" spans="1:9" ht="15">
      <c r="A130" s="42"/>
      <c r="B130" s="44"/>
      <c r="C130" s="45"/>
      <c r="D130" s="42"/>
      <c r="E130" s="43" t="s">
        <v>24</v>
      </c>
      <c r="F130" s="40"/>
      <c r="G130" s="40">
        <f>TRUNC(SUM(G127:G129),2)</f>
        <v>75.959999999999994</v>
      </c>
      <c r="H130" s="40"/>
      <c r="I130" s="43"/>
    </row>
    <row r="131" spans="1:9" s="75" customFormat="1" ht="45">
      <c r="A131" s="41" t="s">
        <v>245</v>
      </c>
      <c r="B131" s="46" t="s">
        <v>197</v>
      </c>
      <c r="C131" s="13" t="s">
        <v>198</v>
      </c>
      <c r="D131" s="41" t="s">
        <v>18</v>
      </c>
      <c r="E131" s="14">
        <v>22</v>
      </c>
      <c r="F131" s="14">
        <f>TRUNC(F132,2)</f>
        <v>150.31</v>
      </c>
      <c r="G131" s="14">
        <f>TRUNC(F131*1.2882,2)</f>
        <v>193.62</v>
      </c>
      <c r="H131" s="14">
        <f>TRUNC(F131*E131,2)</f>
        <v>3306.82</v>
      </c>
      <c r="I131" s="14">
        <f>TRUNC(E131*G131,2)</f>
        <v>4259.6400000000003</v>
      </c>
    </row>
    <row r="132" spans="1:9" s="75" customFormat="1" ht="45">
      <c r="A132" s="42"/>
      <c r="B132" s="44" t="s">
        <v>197</v>
      </c>
      <c r="C132" s="45" t="s">
        <v>198</v>
      </c>
      <c r="D132" s="42" t="s">
        <v>18</v>
      </c>
      <c r="E132" s="43">
        <v>1</v>
      </c>
      <c r="F132" s="40">
        <f>TRUNC(150.31605,2)</f>
        <v>150.31</v>
      </c>
      <c r="G132" s="40">
        <f>TRUNC(E132*F132,2)</f>
        <v>150.31</v>
      </c>
      <c r="H132" s="40"/>
      <c r="I132" s="43"/>
    </row>
    <row r="133" spans="1:9" s="75" customFormat="1" ht="30">
      <c r="A133" s="42"/>
      <c r="B133" s="44" t="s">
        <v>199</v>
      </c>
      <c r="C133" s="45" t="s">
        <v>200</v>
      </c>
      <c r="D133" s="42" t="s">
        <v>18</v>
      </c>
      <c r="E133" s="43">
        <v>1</v>
      </c>
      <c r="F133" s="40">
        <f>TRUNC(133.53,2)</f>
        <v>133.53</v>
      </c>
      <c r="G133" s="40">
        <f>TRUNC(E133*F133,2)</f>
        <v>133.53</v>
      </c>
      <c r="H133" s="40"/>
      <c r="I133" s="43"/>
    </row>
    <row r="134" spans="1:9" s="75" customFormat="1" ht="15">
      <c r="A134" s="42"/>
      <c r="B134" s="44" t="s">
        <v>109</v>
      </c>
      <c r="C134" s="45" t="s">
        <v>110</v>
      </c>
      <c r="D134" s="42" t="s">
        <v>7</v>
      </c>
      <c r="E134" s="43">
        <v>1.4E-3</v>
      </c>
      <c r="F134" s="40">
        <f>TRUNC(5.25,2)</f>
        <v>5.25</v>
      </c>
      <c r="G134" s="40">
        <f>TRUNC(E134*F134,2)</f>
        <v>0</v>
      </c>
      <c r="H134" s="40"/>
      <c r="I134" s="43"/>
    </row>
    <row r="135" spans="1:9" s="75" customFormat="1" ht="30">
      <c r="A135" s="42"/>
      <c r="B135" s="44" t="s">
        <v>33</v>
      </c>
      <c r="C135" s="45" t="s">
        <v>34</v>
      </c>
      <c r="D135" s="42" t="s">
        <v>35</v>
      </c>
      <c r="E135" s="43">
        <v>0.46350000000000002</v>
      </c>
      <c r="F135" s="40">
        <f>TRUNC(15.2,2)</f>
        <v>15.2</v>
      </c>
      <c r="G135" s="40">
        <f>TRUNC(E135*F135,2)</f>
        <v>7.04</v>
      </c>
      <c r="H135" s="40"/>
      <c r="I135" s="43"/>
    </row>
    <row r="136" spans="1:9" s="75" customFormat="1" ht="30">
      <c r="A136" s="42"/>
      <c r="B136" s="44" t="s">
        <v>55</v>
      </c>
      <c r="C136" s="45" t="s">
        <v>56</v>
      </c>
      <c r="D136" s="42" t="s">
        <v>35</v>
      </c>
      <c r="E136" s="43">
        <v>0.46350000000000002</v>
      </c>
      <c r="F136" s="40">
        <f>TRUNC(21,2)</f>
        <v>21</v>
      </c>
      <c r="G136" s="40">
        <f>TRUNC(E136*F136,2)</f>
        <v>9.73</v>
      </c>
      <c r="H136" s="40"/>
      <c r="I136" s="43"/>
    </row>
    <row r="137" spans="1:9" s="75" customFormat="1" ht="15">
      <c r="A137" s="42"/>
      <c r="B137" s="44"/>
      <c r="C137" s="45"/>
      <c r="D137" s="42"/>
      <c r="E137" s="43" t="s">
        <v>24</v>
      </c>
      <c r="F137" s="40"/>
      <c r="G137" s="40">
        <f>TRUNC(SUM(G133:G136),2)</f>
        <v>150.30000000000001</v>
      </c>
      <c r="H137" s="40"/>
      <c r="I137" s="43"/>
    </row>
    <row r="138" spans="1:9" s="75" customFormat="1" ht="45">
      <c r="A138" s="41" t="s">
        <v>246</v>
      </c>
      <c r="B138" s="46" t="s">
        <v>201</v>
      </c>
      <c r="C138" s="13" t="s">
        <v>202</v>
      </c>
      <c r="D138" s="41" t="s">
        <v>18</v>
      </c>
      <c r="E138" s="14">
        <v>36</v>
      </c>
      <c r="F138" s="14">
        <f>TRUNC(F139,2)</f>
        <v>88.53</v>
      </c>
      <c r="G138" s="14">
        <f>TRUNC(F138*1.2882,2)</f>
        <v>114.04</v>
      </c>
      <c r="H138" s="14">
        <f>TRUNC(F138*E138,2)</f>
        <v>3187.08</v>
      </c>
      <c r="I138" s="14">
        <f>TRUNC(E138*G138,2)</f>
        <v>4105.4399999999996</v>
      </c>
    </row>
    <row r="139" spans="1:9" s="75" customFormat="1" ht="45">
      <c r="A139" s="42"/>
      <c r="B139" s="44" t="s">
        <v>201</v>
      </c>
      <c r="C139" s="45" t="s">
        <v>202</v>
      </c>
      <c r="D139" s="42" t="s">
        <v>18</v>
      </c>
      <c r="E139" s="43">
        <v>1</v>
      </c>
      <c r="F139" s="40">
        <f>TRUNC(88.53575,2)</f>
        <v>88.53</v>
      </c>
      <c r="G139" s="40">
        <f>TRUNC(E139*F139,2)</f>
        <v>88.53</v>
      </c>
      <c r="H139" s="40"/>
      <c r="I139" s="43"/>
    </row>
    <row r="140" spans="1:9" s="75" customFormat="1" ht="30">
      <c r="A140" s="42"/>
      <c r="B140" s="44" t="s">
        <v>203</v>
      </c>
      <c r="C140" s="45" t="s">
        <v>204</v>
      </c>
      <c r="D140" s="42" t="s">
        <v>18</v>
      </c>
      <c r="E140" s="43">
        <v>1</v>
      </c>
      <c r="F140" s="40">
        <f>TRUNC(75.4783,2)</f>
        <v>75.47</v>
      </c>
      <c r="G140" s="40">
        <f>TRUNC(E140*F140,2)</f>
        <v>75.47</v>
      </c>
      <c r="H140" s="40"/>
      <c r="I140" s="43"/>
    </row>
    <row r="141" spans="1:9" s="75" customFormat="1" ht="15">
      <c r="A141" s="42"/>
      <c r="B141" s="44" t="s">
        <v>109</v>
      </c>
      <c r="C141" s="45" t="s">
        <v>110</v>
      </c>
      <c r="D141" s="42" t="s">
        <v>7</v>
      </c>
      <c r="E141" s="43">
        <v>1.4E-3</v>
      </c>
      <c r="F141" s="40">
        <f>TRUNC(5.25,2)</f>
        <v>5.25</v>
      </c>
      <c r="G141" s="40">
        <f>TRUNC(E141*F141,2)</f>
        <v>0</v>
      </c>
      <c r="H141" s="40"/>
      <c r="I141" s="43"/>
    </row>
    <row r="142" spans="1:9" s="75" customFormat="1" ht="30">
      <c r="A142" s="42"/>
      <c r="B142" s="44" t="s">
        <v>33</v>
      </c>
      <c r="C142" s="45" t="s">
        <v>34</v>
      </c>
      <c r="D142" s="42" t="s">
        <v>35</v>
      </c>
      <c r="E142" s="43">
        <v>0.36049999999999999</v>
      </c>
      <c r="F142" s="40">
        <f>TRUNC(15.2,2)</f>
        <v>15.2</v>
      </c>
      <c r="G142" s="40">
        <f>TRUNC(E142*F142,2)</f>
        <v>5.47</v>
      </c>
      <c r="H142" s="40"/>
      <c r="I142" s="43"/>
    </row>
    <row r="143" spans="1:9" s="75" customFormat="1" ht="30">
      <c r="A143" s="42"/>
      <c r="B143" s="44" t="s">
        <v>55</v>
      </c>
      <c r="C143" s="45" t="s">
        <v>56</v>
      </c>
      <c r="D143" s="42" t="s">
        <v>35</v>
      </c>
      <c r="E143" s="43">
        <v>0.36049999999999999</v>
      </c>
      <c r="F143" s="40">
        <f>TRUNC(21,2)</f>
        <v>21</v>
      </c>
      <c r="G143" s="40">
        <f>TRUNC(E143*F143,2)</f>
        <v>7.57</v>
      </c>
      <c r="H143" s="40"/>
      <c r="I143" s="43"/>
    </row>
    <row r="144" spans="1:9" s="75" customFormat="1" ht="15">
      <c r="A144" s="42"/>
      <c r="B144" s="44"/>
      <c r="C144" s="45"/>
      <c r="D144" s="42"/>
      <c r="E144" s="43" t="s">
        <v>24</v>
      </c>
      <c r="F144" s="40"/>
      <c r="G144" s="40">
        <f>TRUNC(SUM(G140:G143),2)</f>
        <v>88.51</v>
      </c>
      <c r="H144" s="40"/>
      <c r="I144" s="43"/>
    </row>
    <row r="145" spans="1:9" s="75" customFormat="1" ht="45">
      <c r="A145" s="41" t="s">
        <v>247</v>
      </c>
      <c r="B145" s="46" t="s">
        <v>205</v>
      </c>
      <c r="C145" s="13" t="s">
        <v>206</v>
      </c>
      <c r="D145" s="41" t="s">
        <v>18</v>
      </c>
      <c r="E145" s="14">
        <v>9</v>
      </c>
      <c r="F145" s="14">
        <f>TRUNC(F146,2)</f>
        <v>54.85</v>
      </c>
      <c r="G145" s="14">
        <f>TRUNC(F145*1.2882,2)</f>
        <v>70.650000000000006</v>
      </c>
      <c r="H145" s="14">
        <f>TRUNC(F145*E145,2)</f>
        <v>493.65</v>
      </c>
      <c r="I145" s="14">
        <f>TRUNC(E145*G145,2)</f>
        <v>635.85</v>
      </c>
    </row>
    <row r="146" spans="1:9" s="75" customFormat="1" ht="45">
      <c r="A146" s="42"/>
      <c r="B146" s="44" t="s">
        <v>205</v>
      </c>
      <c r="C146" s="45" t="s">
        <v>206</v>
      </c>
      <c r="D146" s="42" t="s">
        <v>18</v>
      </c>
      <c r="E146" s="43">
        <v>1</v>
      </c>
      <c r="F146" s="40">
        <f>TRUNC(54.85655,2)</f>
        <v>54.85</v>
      </c>
      <c r="G146" s="40">
        <f>TRUNC(E146*F146,2)</f>
        <v>54.85</v>
      </c>
      <c r="H146" s="40"/>
      <c r="I146" s="43"/>
    </row>
    <row r="147" spans="1:9" s="75" customFormat="1" ht="30">
      <c r="A147" s="42"/>
      <c r="B147" s="44" t="s">
        <v>207</v>
      </c>
      <c r="C147" s="45" t="s">
        <v>208</v>
      </c>
      <c r="D147" s="42" t="s">
        <v>18</v>
      </c>
      <c r="E147" s="43">
        <v>1</v>
      </c>
      <c r="F147" s="40">
        <f>TRUNC(45.5277,2)</f>
        <v>45.52</v>
      </c>
      <c r="G147" s="40">
        <f>TRUNC(E147*F147,2)</f>
        <v>45.52</v>
      </c>
      <c r="H147" s="40"/>
      <c r="I147" s="43"/>
    </row>
    <row r="148" spans="1:9" s="75" customFormat="1" ht="15">
      <c r="A148" s="42"/>
      <c r="B148" s="44" t="s">
        <v>109</v>
      </c>
      <c r="C148" s="45" t="s">
        <v>110</v>
      </c>
      <c r="D148" s="42" t="s">
        <v>7</v>
      </c>
      <c r="E148" s="43">
        <v>1.4E-3</v>
      </c>
      <c r="F148" s="40">
        <f>TRUNC(5.25,2)</f>
        <v>5.25</v>
      </c>
      <c r="G148" s="40">
        <f>TRUNC(E148*F148,2)</f>
        <v>0</v>
      </c>
      <c r="H148" s="40"/>
      <c r="I148" s="43"/>
    </row>
    <row r="149" spans="1:9" s="75" customFormat="1" ht="30">
      <c r="A149" s="42"/>
      <c r="B149" s="44" t="s">
        <v>33</v>
      </c>
      <c r="C149" s="45" t="s">
        <v>34</v>
      </c>
      <c r="D149" s="42" t="s">
        <v>35</v>
      </c>
      <c r="E149" s="43">
        <v>0.25750000000000001</v>
      </c>
      <c r="F149" s="40">
        <f>TRUNC(15.2,2)</f>
        <v>15.2</v>
      </c>
      <c r="G149" s="40">
        <f>TRUNC(E149*F149,2)</f>
        <v>3.91</v>
      </c>
      <c r="H149" s="40"/>
      <c r="I149" s="43"/>
    </row>
    <row r="150" spans="1:9" s="75" customFormat="1" ht="30">
      <c r="A150" s="42"/>
      <c r="B150" s="44" t="s">
        <v>55</v>
      </c>
      <c r="C150" s="45" t="s">
        <v>56</v>
      </c>
      <c r="D150" s="42" t="s">
        <v>35</v>
      </c>
      <c r="E150" s="43">
        <v>0.25750000000000001</v>
      </c>
      <c r="F150" s="40">
        <f>TRUNC(21,2)</f>
        <v>21</v>
      </c>
      <c r="G150" s="40">
        <f>TRUNC(E150*F150,2)</f>
        <v>5.4</v>
      </c>
      <c r="H150" s="40"/>
      <c r="I150" s="43"/>
    </row>
    <row r="151" spans="1:9" s="75" customFormat="1" ht="15">
      <c r="A151" s="42"/>
      <c r="B151" s="44"/>
      <c r="C151" s="45"/>
      <c r="D151" s="42"/>
      <c r="E151" s="43" t="s">
        <v>24</v>
      </c>
      <c r="F151" s="40"/>
      <c r="G151" s="40">
        <f>TRUNC(SUM(G147:G150),2)</f>
        <v>54.83</v>
      </c>
      <c r="H151" s="40"/>
      <c r="I151" s="43"/>
    </row>
    <row r="152" spans="1:9" s="75" customFormat="1" ht="45">
      <c r="A152" s="41" t="s">
        <v>248</v>
      </c>
      <c r="B152" s="46" t="s">
        <v>209</v>
      </c>
      <c r="C152" s="13" t="s">
        <v>210</v>
      </c>
      <c r="D152" s="41" t="s">
        <v>18</v>
      </c>
      <c r="E152" s="14">
        <v>240</v>
      </c>
      <c r="F152" s="14">
        <f>TRUNC(F153,2)</f>
        <v>27.21</v>
      </c>
      <c r="G152" s="14">
        <f>TRUNC(F152*1.2882,2)</f>
        <v>35.049999999999997</v>
      </c>
      <c r="H152" s="14">
        <f>TRUNC(F152*E152,2)</f>
        <v>6530.4</v>
      </c>
      <c r="I152" s="14">
        <f>TRUNC(E152*G152,2)</f>
        <v>8412</v>
      </c>
    </row>
    <row r="153" spans="1:9" s="75" customFormat="1" ht="45">
      <c r="A153" s="42"/>
      <c r="B153" s="44" t="s">
        <v>209</v>
      </c>
      <c r="C153" s="45" t="s">
        <v>210</v>
      </c>
      <c r="D153" s="42" t="s">
        <v>18</v>
      </c>
      <c r="E153" s="43">
        <v>1</v>
      </c>
      <c r="F153" s="40">
        <f>TRUNC(27.21795,2)</f>
        <v>27.21</v>
      </c>
      <c r="G153" s="40">
        <f>TRUNC(E153*F153,2)</f>
        <v>27.21</v>
      </c>
      <c r="H153" s="40"/>
      <c r="I153" s="43"/>
    </row>
    <row r="154" spans="1:9" s="75" customFormat="1" ht="30">
      <c r="A154" s="42"/>
      <c r="B154" s="44" t="s">
        <v>211</v>
      </c>
      <c r="C154" s="45" t="s">
        <v>212</v>
      </c>
      <c r="D154" s="42" t="s">
        <v>18</v>
      </c>
      <c r="E154" s="43">
        <v>1</v>
      </c>
      <c r="F154" s="40">
        <f>TRUNC(21.6177,2)</f>
        <v>21.61</v>
      </c>
      <c r="G154" s="40">
        <f>TRUNC(E154*F154,2)</f>
        <v>21.61</v>
      </c>
      <c r="H154" s="40"/>
      <c r="I154" s="43"/>
    </row>
    <row r="155" spans="1:9" s="75" customFormat="1" ht="15">
      <c r="A155" s="42"/>
      <c r="B155" s="44" t="s">
        <v>109</v>
      </c>
      <c r="C155" s="45" t="s">
        <v>110</v>
      </c>
      <c r="D155" s="42" t="s">
        <v>7</v>
      </c>
      <c r="E155" s="43">
        <v>1.4E-3</v>
      </c>
      <c r="F155" s="40">
        <f>TRUNC(5.25,2)</f>
        <v>5.25</v>
      </c>
      <c r="G155" s="40">
        <f>TRUNC(E155*F155,2)</f>
        <v>0</v>
      </c>
      <c r="H155" s="40"/>
      <c r="I155" s="43"/>
    </row>
    <row r="156" spans="1:9" s="75" customFormat="1" ht="30">
      <c r="A156" s="42"/>
      <c r="B156" s="44" t="s">
        <v>33</v>
      </c>
      <c r="C156" s="45" t="s">
        <v>34</v>
      </c>
      <c r="D156" s="42" t="s">
        <v>35</v>
      </c>
      <c r="E156" s="43">
        <v>0.1545</v>
      </c>
      <c r="F156" s="40">
        <f>TRUNC(15.2,2)</f>
        <v>15.2</v>
      </c>
      <c r="G156" s="40">
        <f>TRUNC(E156*F156,2)</f>
        <v>2.34</v>
      </c>
      <c r="H156" s="40"/>
      <c r="I156" s="43"/>
    </row>
    <row r="157" spans="1:9" s="75" customFormat="1" ht="30">
      <c r="A157" s="42"/>
      <c r="B157" s="44" t="s">
        <v>55</v>
      </c>
      <c r="C157" s="45" t="s">
        <v>56</v>
      </c>
      <c r="D157" s="42" t="s">
        <v>35</v>
      </c>
      <c r="E157" s="43">
        <v>0.1545</v>
      </c>
      <c r="F157" s="40">
        <f>TRUNC(21,2)</f>
        <v>21</v>
      </c>
      <c r="G157" s="40">
        <f>TRUNC(E157*F157,2)</f>
        <v>3.24</v>
      </c>
      <c r="H157" s="40"/>
      <c r="I157" s="43"/>
    </row>
    <row r="158" spans="1:9" s="75" customFormat="1" ht="15">
      <c r="A158" s="42"/>
      <c r="B158" s="44"/>
      <c r="C158" s="45"/>
      <c r="D158" s="42"/>
      <c r="E158" s="43" t="s">
        <v>24</v>
      </c>
      <c r="F158" s="40"/>
      <c r="G158" s="40">
        <f>TRUNC(SUM(G154:G157),2)</f>
        <v>27.19</v>
      </c>
      <c r="H158" s="40"/>
      <c r="I158" s="43"/>
    </row>
    <row r="159" spans="1:9" s="75" customFormat="1" ht="45">
      <c r="A159" s="41" t="s">
        <v>249</v>
      </c>
      <c r="B159" s="46" t="s">
        <v>213</v>
      </c>
      <c r="C159" s="13" t="s">
        <v>214</v>
      </c>
      <c r="D159" s="41" t="s">
        <v>18</v>
      </c>
      <c r="E159" s="14">
        <v>28</v>
      </c>
      <c r="F159" s="14">
        <f>TRUNC(F160,2)</f>
        <v>13.3</v>
      </c>
      <c r="G159" s="14">
        <f>TRUNC(F159*1.2882,2)</f>
        <v>17.13</v>
      </c>
      <c r="H159" s="14">
        <f>TRUNC(F159*E159,2)</f>
        <v>372.4</v>
      </c>
      <c r="I159" s="14">
        <f>TRUNC(E159*G159,2)</f>
        <v>479.64</v>
      </c>
    </row>
    <row r="160" spans="1:9" s="75" customFormat="1" ht="45">
      <c r="A160" s="42"/>
      <c r="B160" s="44" t="s">
        <v>213</v>
      </c>
      <c r="C160" s="45" t="s">
        <v>214</v>
      </c>
      <c r="D160" s="42" t="s">
        <v>18</v>
      </c>
      <c r="E160" s="43">
        <v>1</v>
      </c>
      <c r="F160" s="40">
        <f>G165</f>
        <v>13.3</v>
      </c>
      <c r="G160" s="40">
        <f>TRUNC(E160*F160,2)</f>
        <v>13.3</v>
      </c>
      <c r="H160" s="40"/>
      <c r="I160" s="43"/>
    </row>
    <row r="161" spans="1:9" s="75" customFormat="1" ht="15">
      <c r="A161" s="42"/>
      <c r="B161" s="44" t="s">
        <v>109</v>
      </c>
      <c r="C161" s="45" t="s">
        <v>110</v>
      </c>
      <c r="D161" s="42" t="s">
        <v>7</v>
      </c>
      <c r="E161" s="43">
        <v>1.4E-3</v>
      </c>
      <c r="F161" s="40">
        <f>TRUNC(5.25,2)</f>
        <v>5.25</v>
      </c>
      <c r="G161" s="40">
        <f>TRUNC(E161*F161,2)</f>
        <v>0</v>
      </c>
      <c r="H161" s="40"/>
      <c r="I161" s="43"/>
    </row>
    <row r="162" spans="1:9" s="75" customFormat="1" ht="30">
      <c r="A162" s="42"/>
      <c r="B162" s="44" t="s">
        <v>215</v>
      </c>
      <c r="C162" s="45" t="s">
        <v>216</v>
      </c>
      <c r="D162" s="42" t="s">
        <v>18</v>
      </c>
      <c r="E162" s="43">
        <v>1</v>
      </c>
      <c r="F162" s="40">
        <f>TRUNC(9.9622,2)</f>
        <v>9.9600000000000009</v>
      </c>
      <c r="G162" s="40">
        <f>TRUNC(E162*F162,2)</f>
        <v>9.9600000000000009</v>
      </c>
      <c r="H162" s="40"/>
      <c r="I162" s="43"/>
    </row>
    <row r="163" spans="1:9" s="75" customFormat="1" ht="30">
      <c r="A163" s="42"/>
      <c r="B163" s="44" t="s">
        <v>33</v>
      </c>
      <c r="C163" s="45" t="s">
        <v>34</v>
      </c>
      <c r="D163" s="42" t="s">
        <v>35</v>
      </c>
      <c r="E163" s="43">
        <v>9.2700000000000005E-2</v>
      </c>
      <c r="F163" s="40">
        <f>TRUNC(15.2,2)</f>
        <v>15.2</v>
      </c>
      <c r="G163" s="40">
        <f>TRUNC(E163*F163,2)</f>
        <v>1.4</v>
      </c>
      <c r="H163" s="40"/>
      <c r="I163" s="43"/>
    </row>
    <row r="164" spans="1:9" s="75" customFormat="1" ht="30">
      <c r="A164" s="42"/>
      <c r="B164" s="44" t="s">
        <v>55</v>
      </c>
      <c r="C164" s="45" t="s">
        <v>56</v>
      </c>
      <c r="D164" s="42" t="s">
        <v>35</v>
      </c>
      <c r="E164" s="43">
        <v>9.2700000000000005E-2</v>
      </c>
      <c r="F164" s="40">
        <f>TRUNC(21,2)</f>
        <v>21</v>
      </c>
      <c r="G164" s="40">
        <f>TRUNC(E164*F164,2)</f>
        <v>1.94</v>
      </c>
      <c r="H164" s="40"/>
      <c r="I164" s="43"/>
    </row>
    <row r="165" spans="1:9" s="75" customFormat="1" ht="15">
      <c r="A165" s="42"/>
      <c r="B165" s="44"/>
      <c r="C165" s="45"/>
      <c r="D165" s="42"/>
      <c r="E165" s="43" t="s">
        <v>24</v>
      </c>
      <c r="F165" s="40"/>
      <c r="G165" s="40">
        <f>TRUNC(SUM(G161:G164),2)</f>
        <v>13.3</v>
      </c>
      <c r="H165" s="40"/>
      <c r="I165" s="43"/>
    </row>
    <row r="166" spans="1:9" s="75" customFormat="1" ht="45">
      <c r="A166" s="41" t="s">
        <v>250</v>
      </c>
      <c r="B166" s="46" t="s">
        <v>111</v>
      </c>
      <c r="C166" s="13" t="s">
        <v>112</v>
      </c>
      <c r="D166" s="41" t="s">
        <v>18</v>
      </c>
      <c r="E166" s="14">
        <v>6</v>
      </c>
      <c r="F166" s="14">
        <f>TRUNC(F167,2)</f>
        <v>9.48</v>
      </c>
      <c r="G166" s="14">
        <f>TRUNC(F166*1.2882,2)</f>
        <v>12.21</v>
      </c>
      <c r="H166" s="14">
        <f>TRUNC(F166*E166,2)</f>
        <v>56.88</v>
      </c>
      <c r="I166" s="14">
        <f>TRUNC(E166*G166,2)</f>
        <v>73.260000000000005</v>
      </c>
    </row>
    <row r="167" spans="1:9" s="75" customFormat="1" ht="45">
      <c r="A167" s="42"/>
      <c r="B167" s="44" t="s">
        <v>111</v>
      </c>
      <c r="C167" s="45" t="s">
        <v>112</v>
      </c>
      <c r="D167" s="42" t="s">
        <v>18</v>
      </c>
      <c r="E167" s="43">
        <v>1</v>
      </c>
      <c r="F167" s="40">
        <f>G172</f>
        <v>9.48</v>
      </c>
      <c r="G167" s="40">
        <f>TRUNC(E167*F167,2)</f>
        <v>9.48</v>
      </c>
      <c r="H167" s="40"/>
      <c r="I167" s="43"/>
    </row>
    <row r="168" spans="1:9" s="75" customFormat="1" ht="30">
      <c r="A168" s="42"/>
      <c r="B168" s="44" t="s">
        <v>113</v>
      </c>
      <c r="C168" s="45" t="s">
        <v>114</v>
      </c>
      <c r="D168" s="42" t="s">
        <v>18</v>
      </c>
      <c r="E168" s="43">
        <v>1</v>
      </c>
      <c r="F168" s="40">
        <v>6.5056000000000003</v>
      </c>
      <c r="G168" s="40">
        <f>TRUNC(E168*F168,2)</f>
        <v>6.5</v>
      </c>
      <c r="H168" s="40"/>
      <c r="I168" s="43"/>
    </row>
    <row r="169" spans="1:9" s="75" customFormat="1" ht="15">
      <c r="A169" s="42"/>
      <c r="B169" s="44" t="s">
        <v>109</v>
      </c>
      <c r="C169" s="45" t="s">
        <v>110</v>
      </c>
      <c r="D169" s="42" t="s">
        <v>7</v>
      </c>
      <c r="E169" s="43">
        <v>1.4E-3</v>
      </c>
      <c r="F169" s="40">
        <v>6</v>
      </c>
      <c r="G169" s="40">
        <f>TRUNC(E169*F169,2)</f>
        <v>0</v>
      </c>
      <c r="H169" s="40"/>
      <c r="I169" s="43"/>
    </row>
    <row r="170" spans="1:9" s="75" customFormat="1" ht="30">
      <c r="A170" s="42"/>
      <c r="B170" s="44" t="s">
        <v>33</v>
      </c>
      <c r="C170" s="45" t="s">
        <v>34</v>
      </c>
      <c r="D170" s="42" t="s">
        <v>35</v>
      </c>
      <c r="E170" s="43">
        <v>8.2400000000000001E-2</v>
      </c>
      <c r="F170" s="40">
        <f>TRUNC(15.2,2)</f>
        <v>15.2</v>
      </c>
      <c r="G170" s="40">
        <f>TRUNC(E170*F170,2)</f>
        <v>1.25</v>
      </c>
      <c r="H170" s="40"/>
      <c r="I170" s="43"/>
    </row>
    <row r="171" spans="1:9" s="75" customFormat="1" ht="30">
      <c r="A171" s="42"/>
      <c r="B171" s="44" t="s">
        <v>55</v>
      </c>
      <c r="C171" s="45" t="s">
        <v>56</v>
      </c>
      <c r="D171" s="42" t="s">
        <v>35</v>
      </c>
      <c r="E171" s="43">
        <v>8.2400000000000001E-2</v>
      </c>
      <c r="F171" s="40">
        <f>TRUNC(21,2)</f>
        <v>21</v>
      </c>
      <c r="G171" s="40">
        <f>TRUNC(E171*F171,2)</f>
        <v>1.73</v>
      </c>
      <c r="H171" s="40"/>
      <c r="I171" s="43"/>
    </row>
    <row r="172" spans="1:9" s="75" customFormat="1" ht="15">
      <c r="A172" s="42"/>
      <c r="B172" s="44"/>
      <c r="C172" s="45"/>
      <c r="D172" s="42"/>
      <c r="E172" s="43" t="s">
        <v>24</v>
      </c>
      <c r="F172" s="40"/>
      <c r="G172" s="40">
        <f>TRUNC(SUM(G168:G171),2)</f>
        <v>9.48</v>
      </c>
      <c r="H172" s="40"/>
      <c r="I172" s="43"/>
    </row>
    <row r="173" spans="1:9" s="75" customFormat="1" ht="45">
      <c r="A173" s="41" t="s">
        <v>251</v>
      </c>
      <c r="B173" s="46" t="s">
        <v>115</v>
      </c>
      <c r="C173" s="13" t="s">
        <v>116</v>
      </c>
      <c r="D173" s="41" t="s">
        <v>18</v>
      </c>
      <c r="E173" s="14">
        <v>239</v>
      </c>
      <c r="F173" s="14">
        <f>TRUNC(F174,2)</f>
        <v>4.8</v>
      </c>
      <c r="G173" s="14">
        <f>TRUNC(F173*1.2882,2)</f>
        <v>6.18</v>
      </c>
      <c r="H173" s="14">
        <f>TRUNC(F173*E173,2)</f>
        <v>1147.2</v>
      </c>
      <c r="I173" s="14">
        <f>TRUNC(E173*G173,2)</f>
        <v>1477.02</v>
      </c>
    </row>
    <row r="174" spans="1:9" s="75" customFormat="1" ht="45">
      <c r="A174" s="42"/>
      <c r="B174" s="44" t="s">
        <v>115</v>
      </c>
      <c r="C174" s="45" t="s">
        <v>116</v>
      </c>
      <c r="D174" s="42" t="s">
        <v>18</v>
      </c>
      <c r="E174" s="43">
        <v>1</v>
      </c>
      <c r="F174" s="40">
        <f>G179</f>
        <v>4.8</v>
      </c>
      <c r="G174" s="40">
        <f>TRUNC(E174*F174,2)</f>
        <v>4.8</v>
      </c>
      <c r="H174" s="40"/>
      <c r="I174" s="43"/>
    </row>
    <row r="175" spans="1:9" s="75" customFormat="1" ht="30">
      <c r="A175" s="42"/>
      <c r="B175" s="44" t="s">
        <v>117</v>
      </c>
      <c r="C175" s="45" t="s">
        <v>118</v>
      </c>
      <c r="D175" s="42" t="s">
        <v>18</v>
      </c>
      <c r="E175" s="43">
        <v>1</v>
      </c>
      <c r="F175" s="40">
        <v>2.5411999999999999</v>
      </c>
      <c r="G175" s="40">
        <f>TRUNC(E175*F175,2)</f>
        <v>2.54</v>
      </c>
      <c r="H175" s="40"/>
      <c r="I175" s="43"/>
    </row>
    <row r="176" spans="1:9" s="75" customFormat="1" ht="15">
      <c r="A176" s="42"/>
      <c r="B176" s="44" t="s">
        <v>109</v>
      </c>
      <c r="C176" s="45" t="s">
        <v>110</v>
      </c>
      <c r="D176" s="42" t="s">
        <v>7</v>
      </c>
      <c r="E176" s="43">
        <v>1.4E-3</v>
      </c>
      <c r="F176" s="40">
        <v>6</v>
      </c>
      <c r="G176" s="40">
        <f>TRUNC(E176*F176,2)</f>
        <v>0</v>
      </c>
      <c r="H176" s="40"/>
      <c r="I176" s="43"/>
    </row>
    <row r="177" spans="1:9" s="75" customFormat="1" ht="30">
      <c r="A177" s="42"/>
      <c r="B177" s="44" t="s">
        <v>33</v>
      </c>
      <c r="C177" s="45" t="s">
        <v>34</v>
      </c>
      <c r="D177" s="42" t="s">
        <v>35</v>
      </c>
      <c r="E177" s="43">
        <v>6.2829999999999997E-2</v>
      </c>
      <c r="F177" s="40">
        <f>TRUNC(15.2,2)</f>
        <v>15.2</v>
      </c>
      <c r="G177" s="40">
        <f>TRUNC(E177*F177,2)</f>
        <v>0.95</v>
      </c>
      <c r="H177" s="40"/>
      <c r="I177" s="43"/>
    </row>
    <row r="178" spans="1:9" s="75" customFormat="1" ht="30">
      <c r="A178" s="42"/>
      <c r="B178" s="44" t="s">
        <v>55</v>
      </c>
      <c r="C178" s="45" t="s">
        <v>56</v>
      </c>
      <c r="D178" s="42" t="s">
        <v>35</v>
      </c>
      <c r="E178" s="43">
        <v>6.2829999999999997E-2</v>
      </c>
      <c r="F178" s="40">
        <f>TRUNC(21,2)</f>
        <v>21</v>
      </c>
      <c r="G178" s="40">
        <f>TRUNC(E178*F178,2)</f>
        <v>1.31</v>
      </c>
      <c r="H178" s="40"/>
      <c r="I178" s="43"/>
    </row>
    <row r="179" spans="1:9" s="75" customFormat="1" ht="15">
      <c r="A179" s="42"/>
      <c r="B179" s="44"/>
      <c r="C179" s="45"/>
      <c r="D179" s="42"/>
      <c r="E179" s="43" t="s">
        <v>24</v>
      </c>
      <c r="F179" s="40"/>
      <c r="G179" s="40">
        <f>TRUNC(SUM(G175:G178),2)</f>
        <v>4.8</v>
      </c>
      <c r="H179" s="40"/>
      <c r="I179" s="43"/>
    </row>
    <row r="180" spans="1:9" s="75" customFormat="1" ht="45">
      <c r="A180" s="41" t="s">
        <v>252</v>
      </c>
      <c r="B180" s="46" t="s">
        <v>119</v>
      </c>
      <c r="C180" s="13" t="s">
        <v>120</v>
      </c>
      <c r="D180" s="41" t="s">
        <v>18</v>
      </c>
      <c r="E180" s="14">
        <v>390</v>
      </c>
      <c r="F180" s="14">
        <f>TRUNC(F181,2)</f>
        <v>3.43</v>
      </c>
      <c r="G180" s="14">
        <f>TRUNC(F180*1.2882,2)</f>
        <v>4.41</v>
      </c>
      <c r="H180" s="14">
        <f>TRUNC(F180*E180,2)</f>
        <v>1337.7</v>
      </c>
      <c r="I180" s="14">
        <f>TRUNC(E180*G180,2)</f>
        <v>1719.9</v>
      </c>
    </row>
    <row r="181" spans="1:9" s="75" customFormat="1" ht="45">
      <c r="A181" s="42"/>
      <c r="B181" s="44" t="s">
        <v>119</v>
      </c>
      <c r="C181" s="45" t="s">
        <v>120</v>
      </c>
      <c r="D181" s="42" t="s">
        <v>18</v>
      </c>
      <c r="E181" s="43">
        <v>1</v>
      </c>
      <c r="F181" s="40">
        <f>G186</f>
        <v>3.43</v>
      </c>
      <c r="G181" s="40">
        <f>TRUNC(E181*F181,2)</f>
        <v>3.43</v>
      </c>
      <c r="H181" s="40"/>
      <c r="I181" s="43"/>
    </row>
    <row r="182" spans="1:9" s="75" customFormat="1" ht="30">
      <c r="A182" s="42"/>
      <c r="B182" s="44" t="s">
        <v>121</v>
      </c>
      <c r="C182" s="45" t="s">
        <v>122</v>
      </c>
      <c r="D182" s="42" t="s">
        <v>18</v>
      </c>
      <c r="E182" s="43">
        <v>1</v>
      </c>
      <c r="F182" s="40">
        <v>1.5784</v>
      </c>
      <c r="G182" s="40">
        <f>TRUNC(E182*F182,2)</f>
        <v>1.57</v>
      </c>
      <c r="H182" s="40"/>
      <c r="I182" s="43"/>
    </row>
    <row r="183" spans="1:9" s="75" customFormat="1" ht="15">
      <c r="A183" s="42"/>
      <c r="B183" s="44" t="s">
        <v>109</v>
      </c>
      <c r="C183" s="45" t="s">
        <v>110</v>
      </c>
      <c r="D183" s="42" t="s">
        <v>7</v>
      </c>
      <c r="E183" s="43">
        <v>1.4E-3</v>
      </c>
      <c r="F183" s="40">
        <v>6</v>
      </c>
      <c r="G183" s="40">
        <f>TRUNC(E183*F183,2)</f>
        <v>0</v>
      </c>
      <c r="H183" s="40"/>
      <c r="I183" s="43"/>
    </row>
    <row r="184" spans="1:9" s="75" customFormat="1" ht="30">
      <c r="A184" s="42"/>
      <c r="B184" s="44" t="s">
        <v>33</v>
      </c>
      <c r="C184" s="45" t="s">
        <v>34</v>
      </c>
      <c r="D184" s="42" t="s">
        <v>35</v>
      </c>
      <c r="E184" s="43">
        <v>5.1500000000000004E-2</v>
      </c>
      <c r="F184" s="40">
        <f>TRUNC(15.2,2)</f>
        <v>15.2</v>
      </c>
      <c r="G184" s="40">
        <f>TRUNC(E184*F184,2)</f>
        <v>0.78</v>
      </c>
      <c r="H184" s="40"/>
      <c r="I184" s="43"/>
    </row>
    <row r="185" spans="1:9" s="75" customFormat="1" ht="30">
      <c r="A185" s="42"/>
      <c r="B185" s="44" t="s">
        <v>55</v>
      </c>
      <c r="C185" s="45" t="s">
        <v>56</v>
      </c>
      <c r="D185" s="42" t="s">
        <v>35</v>
      </c>
      <c r="E185" s="43">
        <v>5.1500000000000004E-2</v>
      </c>
      <c r="F185" s="40">
        <f>TRUNC(21,2)</f>
        <v>21</v>
      </c>
      <c r="G185" s="40">
        <f>TRUNC(E185*F185,2)</f>
        <v>1.08</v>
      </c>
      <c r="H185" s="40"/>
      <c r="I185" s="43"/>
    </row>
    <row r="186" spans="1:9" s="75" customFormat="1" ht="15">
      <c r="A186" s="42"/>
      <c r="B186" s="44"/>
      <c r="C186" s="45"/>
      <c r="D186" s="42"/>
      <c r="E186" s="43" t="s">
        <v>24</v>
      </c>
      <c r="F186" s="40"/>
      <c r="G186" s="40">
        <f>TRUNC(SUM(G182:G185),2)</f>
        <v>3.43</v>
      </c>
      <c r="H186" s="40"/>
      <c r="I186" s="43"/>
    </row>
    <row r="187" spans="1:9" ht="30">
      <c r="A187" s="41" t="s">
        <v>253</v>
      </c>
      <c r="B187" s="46" t="s">
        <v>217</v>
      </c>
      <c r="C187" s="13" t="s">
        <v>218</v>
      </c>
      <c r="D187" s="41" t="s">
        <v>18</v>
      </c>
      <c r="E187" s="14">
        <v>10</v>
      </c>
      <c r="F187" s="14">
        <f>TRUNC(F188,2)</f>
        <v>12</v>
      </c>
      <c r="G187" s="14">
        <f>TRUNC(F187*1.2882,2)</f>
        <v>15.45</v>
      </c>
      <c r="H187" s="14">
        <f>TRUNC(F187*E187,2)</f>
        <v>120</v>
      </c>
      <c r="I187" s="14">
        <f>TRUNC(E187*G187,2)</f>
        <v>154.5</v>
      </c>
    </row>
    <row r="188" spans="1:9" ht="30">
      <c r="A188" s="42"/>
      <c r="B188" s="44" t="s">
        <v>217</v>
      </c>
      <c r="C188" s="45" t="s">
        <v>218</v>
      </c>
      <c r="D188" s="42" t="s">
        <v>18</v>
      </c>
      <c r="E188" s="43">
        <v>1</v>
      </c>
      <c r="F188" s="40">
        <f>TRUNC(12.0087268,2)</f>
        <v>12</v>
      </c>
      <c r="G188" s="40">
        <f>TRUNC(E188*F188,2)</f>
        <v>12</v>
      </c>
      <c r="H188" s="40"/>
      <c r="I188" s="43"/>
    </row>
    <row r="189" spans="1:9" ht="30">
      <c r="A189" s="42"/>
      <c r="B189" s="44" t="s">
        <v>60</v>
      </c>
      <c r="C189" s="45" t="s">
        <v>61</v>
      </c>
      <c r="D189" s="42" t="s">
        <v>32</v>
      </c>
      <c r="E189" s="43">
        <v>0.14199999999999999</v>
      </c>
      <c r="F189" s="40">
        <f>TRUNC(74.0654,2)</f>
        <v>74.06</v>
      </c>
      <c r="G189" s="40">
        <f>TRUNC(E189*F189,2)</f>
        <v>10.51</v>
      </c>
      <c r="H189" s="40"/>
      <c r="I189" s="43"/>
    </row>
    <row r="190" spans="1:9" ht="30">
      <c r="A190" s="42"/>
      <c r="B190" s="44" t="s">
        <v>33</v>
      </c>
      <c r="C190" s="45" t="s">
        <v>34</v>
      </c>
      <c r="D190" s="42" t="s">
        <v>35</v>
      </c>
      <c r="E190" s="43">
        <v>4.1200000000000001E-2</v>
      </c>
      <c r="F190" s="40">
        <f>TRUNC(15.2,2)</f>
        <v>15.2</v>
      </c>
      <c r="G190" s="40">
        <f>TRUNC(E190*F190,2)</f>
        <v>0.62</v>
      </c>
      <c r="H190" s="40"/>
      <c r="I190" s="43"/>
    </row>
    <row r="191" spans="1:9" ht="30">
      <c r="A191" s="42"/>
      <c r="B191" s="44" t="s">
        <v>55</v>
      </c>
      <c r="C191" s="45" t="s">
        <v>56</v>
      </c>
      <c r="D191" s="42" t="s">
        <v>35</v>
      </c>
      <c r="E191" s="43">
        <v>4.1200000000000001E-2</v>
      </c>
      <c r="F191" s="40">
        <f>TRUNC(21,2)</f>
        <v>21</v>
      </c>
      <c r="G191" s="40">
        <f>TRUNC(E191*F191,2)</f>
        <v>0.86</v>
      </c>
      <c r="H191" s="40"/>
      <c r="I191" s="43"/>
    </row>
    <row r="192" spans="1:9" ht="15">
      <c r="A192" s="42"/>
      <c r="B192" s="44"/>
      <c r="C192" s="45"/>
      <c r="D192" s="42"/>
      <c r="E192" s="43" t="s">
        <v>24</v>
      </c>
      <c r="F192" s="40"/>
      <c r="G192" s="40">
        <f>TRUNC(SUM(G189:G191),2)</f>
        <v>11.99</v>
      </c>
      <c r="H192" s="40"/>
      <c r="I192" s="43"/>
    </row>
    <row r="193" spans="1:9" s="75" customFormat="1" ht="45">
      <c r="A193" s="41" t="s">
        <v>254</v>
      </c>
      <c r="B193" s="46" t="s">
        <v>219</v>
      </c>
      <c r="C193" s="13" t="s">
        <v>220</v>
      </c>
      <c r="D193" s="41" t="s">
        <v>18</v>
      </c>
      <c r="E193" s="14">
        <v>38</v>
      </c>
      <c r="F193" s="14">
        <f>TRUNC(F194,2)</f>
        <v>39.22</v>
      </c>
      <c r="G193" s="14">
        <f>TRUNC(F193*1.2882,2)</f>
        <v>50.52</v>
      </c>
      <c r="H193" s="14">
        <f>TRUNC(F193*E193,2)</f>
        <v>1490.36</v>
      </c>
      <c r="I193" s="14">
        <f>TRUNC(E193*G193,2)</f>
        <v>1919.76</v>
      </c>
    </row>
    <row r="194" spans="1:9" s="75" customFormat="1" ht="45">
      <c r="A194" s="42"/>
      <c r="B194" s="44" t="s">
        <v>219</v>
      </c>
      <c r="C194" s="45" t="s">
        <v>220</v>
      </c>
      <c r="D194" s="42" t="s">
        <v>18</v>
      </c>
      <c r="E194" s="43">
        <v>1</v>
      </c>
      <c r="F194" s="40">
        <f>G198</f>
        <v>39.22</v>
      </c>
      <c r="G194" s="40">
        <f>TRUNC(E194*F194,2)</f>
        <v>39.22</v>
      </c>
      <c r="H194" s="40"/>
      <c r="I194" s="43"/>
    </row>
    <row r="195" spans="1:9" s="75" customFormat="1" ht="30">
      <c r="A195" s="42"/>
      <c r="B195" s="44" t="s">
        <v>221</v>
      </c>
      <c r="C195" s="45" t="s">
        <v>222</v>
      </c>
      <c r="D195" s="42" t="s">
        <v>7</v>
      </c>
      <c r="E195" s="43">
        <v>0.38500000000000001</v>
      </c>
      <c r="F195" s="40">
        <f>TRUNC(72.8898,2)</f>
        <v>72.88</v>
      </c>
      <c r="G195" s="40">
        <f>TRUNC(E195*F195,2)</f>
        <v>28.05</v>
      </c>
      <c r="H195" s="40"/>
      <c r="I195" s="43"/>
    </row>
    <row r="196" spans="1:9" s="75" customFormat="1" ht="30">
      <c r="A196" s="42"/>
      <c r="B196" s="44" t="s">
        <v>33</v>
      </c>
      <c r="C196" s="45" t="s">
        <v>34</v>
      </c>
      <c r="D196" s="42" t="s">
        <v>35</v>
      </c>
      <c r="E196" s="43">
        <v>0.309</v>
      </c>
      <c r="F196" s="40">
        <f>TRUNC(15.2,2)</f>
        <v>15.2</v>
      </c>
      <c r="G196" s="40">
        <f>TRUNC(E196*F196,2)</f>
        <v>4.6900000000000004</v>
      </c>
      <c r="H196" s="40"/>
      <c r="I196" s="43"/>
    </row>
    <row r="197" spans="1:9" s="75" customFormat="1" ht="30">
      <c r="A197" s="42"/>
      <c r="B197" s="44" t="s">
        <v>55</v>
      </c>
      <c r="C197" s="45" t="s">
        <v>56</v>
      </c>
      <c r="D197" s="42" t="s">
        <v>35</v>
      </c>
      <c r="E197" s="43">
        <v>0.309</v>
      </c>
      <c r="F197" s="40">
        <f>TRUNC(21,2)</f>
        <v>21</v>
      </c>
      <c r="G197" s="40">
        <f>TRUNC(E197*F197,2)</f>
        <v>6.48</v>
      </c>
      <c r="H197" s="40"/>
      <c r="I197" s="43"/>
    </row>
    <row r="198" spans="1:9" s="75" customFormat="1" ht="15">
      <c r="A198" s="42"/>
      <c r="B198" s="44"/>
      <c r="C198" s="45"/>
      <c r="D198" s="42"/>
      <c r="E198" s="43" t="s">
        <v>24</v>
      </c>
      <c r="F198" s="40"/>
      <c r="G198" s="40">
        <f>TRUNC(SUM(G195:G197),2)</f>
        <v>39.22</v>
      </c>
      <c r="H198" s="40"/>
      <c r="I198" s="43"/>
    </row>
    <row r="199" spans="1:9" s="75" customFormat="1" ht="45">
      <c r="A199" s="41" t="s">
        <v>255</v>
      </c>
      <c r="B199" s="46" t="s">
        <v>129</v>
      </c>
      <c r="C199" s="13" t="s">
        <v>130</v>
      </c>
      <c r="D199" s="41" t="s">
        <v>18</v>
      </c>
      <c r="E199" s="14">
        <v>22</v>
      </c>
      <c r="F199" s="14">
        <f>TRUNC(F200,2)</f>
        <v>21.77</v>
      </c>
      <c r="G199" s="14">
        <f>TRUNC(F199*1.2882,2)</f>
        <v>28.04</v>
      </c>
      <c r="H199" s="14">
        <f>TRUNC(F199*E199,2)</f>
        <v>478.94</v>
      </c>
      <c r="I199" s="14">
        <f>TRUNC(E199*G199,2)</f>
        <v>616.88</v>
      </c>
    </row>
    <row r="200" spans="1:9" s="75" customFormat="1" ht="45">
      <c r="A200" s="42"/>
      <c r="B200" s="44" t="s">
        <v>129</v>
      </c>
      <c r="C200" s="45" t="s">
        <v>130</v>
      </c>
      <c r="D200" s="42" t="s">
        <v>18</v>
      </c>
      <c r="E200" s="43">
        <v>1</v>
      </c>
      <c r="F200" s="40">
        <f>G204</f>
        <v>21.77</v>
      </c>
      <c r="G200" s="40">
        <f>TRUNC(E200*F200,2)</f>
        <v>21.77</v>
      </c>
      <c r="H200" s="40"/>
      <c r="I200" s="43"/>
    </row>
    <row r="201" spans="1:9" s="75" customFormat="1" ht="30">
      <c r="A201" s="42"/>
      <c r="B201" s="44" t="s">
        <v>131</v>
      </c>
      <c r="C201" s="45" t="s">
        <v>132</v>
      </c>
      <c r="D201" s="42" t="s">
        <v>7</v>
      </c>
      <c r="E201" s="43">
        <v>0.38500000000000001</v>
      </c>
      <c r="F201" s="40">
        <v>35.29</v>
      </c>
      <c r="G201" s="40">
        <f>TRUNC(E201*F201,2)</f>
        <v>13.58</v>
      </c>
      <c r="H201" s="40"/>
      <c r="I201" s="43"/>
    </row>
    <row r="202" spans="1:9" s="75" customFormat="1" ht="30">
      <c r="A202" s="42"/>
      <c r="B202" s="44" t="s">
        <v>33</v>
      </c>
      <c r="C202" s="45" t="s">
        <v>34</v>
      </c>
      <c r="D202" s="42" t="s">
        <v>35</v>
      </c>
      <c r="E202" s="43">
        <v>0.2266</v>
      </c>
      <c r="F202" s="40">
        <f>TRUNC(15.2,2)</f>
        <v>15.2</v>
      </c>
      <c r="G202" s="40">
        <f>TRUNC(E202*F202,2)</f>
        <v>3.44</v>
      </c>
      <c r="H202" s="40"/>
      <c r="I202" s="43"/>
    </row>
    <row r="203" spans="1:9" s="75" customFormat="1" ht="30">
      <c r="A203" s="42"/>
      <c r="B203" s="44" t="s">
        <v>55</v>
      </c>
      <c r="C203" s="45" t="s">
        <v>56</v>
      </c>
      <c r="D203" s="42" t="s">
        <v>35</v>
      </c>
      <c r="E203" s="43">
        <v>0.2266</v>
      </c>
      <c r="F203" s="40">
        <f>TRUNC(21,2)</f>
        <v>21</v>
      </c>
      <c r="G203" s="40">
        <f>TRUNC(E203*F203,2)</f>
        <v>4.75</v>
      </c>
      <c r="H203" s="40"/>
      <c r="I203" s="43"/>
    </row>
    <row r="204" spans="1:9" s="75" customFormat="1" ht="15">
      <c r="A204" s="42"/>
      <c r="B204" s="44"/>
      <c r="C204" s="45"/>
      <c r="D204" s="42"/>
      <c r="E204" s="43" t="s">
        <v>24</v>
      </c>
      <c r="F204" s="40"/>
      <c r="G204" s="40">
        <f>TRUNC(SUM(G201:G203),2)</f>
        <v>21.77</v>
      </c>
      <c r="H204" s="40"/>
      <c r="I204" s="43"/>
    </row>
    <row r="205" spans="1:9" s="75" customFormat="1" ht="45">
      <c r="A205" s="41" t="s">
        <v>256</v>
      </c>
      <c r="B205" s="46" t="s">
        <v>223</v>
      </c>
      <c r="C205" s="13" t="s">
        <v>224</v>
      </c>
      <c r="D205" s="41" t="s">
        <v>18</v>
      </c>
      <c r="E205" s="14">
        <v>10</v>
      </c>
      <c r="F205" s="14">
        <f>TRUNC(F206,2)</f>
        <v>13.79</v>
      </c>
      <c r="G205" s="14">
        <f>TRUNC(F205*1.2882,2)</f>
        <v>17.760000000000002</v>
      </c>
      <c r="H205" s="14">
        <f>TRUNC(F205*E205,2)</f>
        <v>137.9</v>
      </c>
      <c r="I205" s="14">
        <f>TRUNC(E205*G205,2)</f>
        <v>177.6</v>
      </c>
    </row>
    <row r="206" spans="1:9" s="75" customFormat="1" ht="45">
      <c r="A206" s="42"/>
      <c r="B206" s="44" t="s">
        <v>223</v>
      </c>
      <c r="C206" s="45" t="s">
        <v>224</v>
      </c>
      <c r="D206" s="42" t="s">
        <v>18</v>
      </c>
      <c r="E206" s="43">
        <v>1</v>
      </c>
      <c r="F206" s="40">
        <f>G210</f>
        <v>13.79</v>
      </c>
      <c r="G206" s="40">
        <f>TRUNC(E206*F206,2)</f>
        <v>13.79</v>
      </c>
      <c r="H206" s="40"/>
      <c r="I206" s="43"/>
    </row>
    <row r="207" spans="1:9" s="75" customFormat="1" ht="30">
      <c r="A207" s="42"/>
      <c r="B207" s="44" t="s">
        <v>225</v>
      </c>
      <c r="C207" s="45" t="s">
        <v>226</v>
      </c>
      <c r="D207" s="42" t="s">
        <v>7</v>
      </c>
      <c r="E207" s="43">
        <v>0.38500000000000001</v>
      </c>
      <c r="F207" s="40">
        <f>TRUNC(20.35,2)</f>
        <v>20.350000000000001</v>
      </c>
      <c r="G207" s="40">
        <f>TRUNC(E207*F207,2)</f>
        <v>7.83</v>
      </c>
      <c r="H207" s="40"/>
      <c r="I207" s="43"/>
    </row>
    <row r="208" spans="1:9" s="75" customFormat="1" ht="30">
      <c r="A208" s="42"/>
      <c r="B208" s="44" t="s">
        <v>33</v>
      </c>
      <c r="C208" s="45" t="s">
        <v>34</v>
      </c>
      <c r="D208" s="42" t="s">
        <v>35</v>
      </c>
      <c r="E208" s="43">
        <v>0.1648</v>
      </c>
      <c r="F208" s="40">
        <f>TRUNC(15.2,2)</f>
        <v>15.2</v>
      </c>
      <c r="G208" s="40">
        <f>TRUNC(E208*F208,2)</f>
        <v>2.5</v>
      </c>
      <c r="H208" s="40"/>
      <c r="I208" s="43"/>
    </row>
    <row r="209" spans="1:9" s="75" customFormat="1" ht="30">
      <c r="A209" s="42"/>
      <c r="B209" s="44" t="s">
        <v>55</v>
      </c>
      <c r="C209" s="45" t="s">
        <v>56</v>
      </c>
      <c r="D209" s="42" t="s">
        <v>35</v>
      </c>
      <c r="E209" s="43">
        <v>0.1648</v>
      </c>
      <c r="F209" s="40">
        <f>TRUNC(21,2)</f>
        <v>21</v>
      </c>
      <c r="G209" s="40">
        <f>TRUNC(E209*F209,2)</f>
        <v>3.46</v>
      </c>
      <c r="H209" s="40"/>
      <c r="I209" s="43"/>
    </row>
    <row r="210" spans="1:9" s="75" customFormat="1" ht="15">
      <c r="A210" s="42"/>
      <c r="B210" s="44"/>
      <c r="C210" s="45"/>
      <c r="D210" s="42"/>
      <c r="E210" s="43" t="s">
        <v>24</v>
      </c>
      <c r="F210" s="40"/>
      <c r="G210" s="40">
        <f>TRUNC(SUM(G207:G209),2)</f>
        <v>13.79</v>
      </c>
      <c r="H210" s="40"/>
      <c r="I210" s="43"/>
    </row>
    <row r="211" spans="1:9" s="75" customFormat="1" ht="45">
      <c r="A211" s="41" t="s">
        <v>257</v>
      </c>
      <c r="B211" s="46" t="s">
        <v>227</v>
      </c>
      <c r="C211" s="13" t="s">
        <v>228</v>
      </c>
      <c r="D211" s="41" t="s">
        <v>18</v>
      </c>
      <c r="E211" s="14">
        <v>4</v>
      </c>
      <c r="F211" s="14">
        <f>TRUNC(F212,2)</f>
        <v>11.88</v>
      </c>
      <c r="G211" s="14">
        <f>TRUNC(F211*1.2882,2)</f>
        <v>15.3</v>
      </c>
      <c r="H211" s="14">
        <f>TRUNC(F211*E211,2)</f>
        <v>47.52</v>
      </c>
      <c r="I211" s="14">
        <f>TRUNC(E211*G211,2)</f>
        <v>61.2</v>
      </c>
    </row>
    <row r="212" spans="1:9" s="75" customFormat="1" ht="45">
      <c r="A212" s="42"/>
      <c r="B212" s="44" t="s">
        <v>227</v>
      </c>
      <c r="C212" s="45" t="s">
        <v>228</v>
      </c>
      <c r="D212" s="42" t="s">
        <v>18</v>
      </c>
      <c r="E212" s="43">
        <v>1</v>
      </c>
      <c r="F212" s="40">
        <f>G216</f>
        <v>11.88</v>
      </c>
      <c r="G212" s="40">
        <f>TRUNC(E212*F212,2)</f>
        <v>11.88</v>
      </c>
      <c r="H212" s="40"/>
      <c r="I212" s="43"/>
    </row>
    <row r="213" spans="1:9" s="75" customFormat="1" ht="30">
      <c r="A213" s="42"/>
      <c r="B213" s="44" t="s">
        <v>229</v>
      </c>
      <c r="C213" s="45" t="s">
        <v>230</v>
      </c>
      <c r="D213" s="42" t="s">
        <v>7</v>
      </c>
      <c r="E213" s="43">
        <v>0.38500000000000001</v>
      </c>
      <c r="F213" s="40">
        <f>TRUNC(17.3379,2)</f>
        <v>17.329999999999998</v>
      </c>
      <c r="G213" s="40">
        <f>TRUNC(E213*F213,2)</f>
        <v>6.67</v>
      </c>
      <c r="H213" s="40"/>
      <c r="I213" s="43"/>
    </row>
    <row r="214" spans="1:9" s="75" customFormat="1" ht="30">
      <c r="A214" s="42"/>
      <c r="B214" s="44" t="s">
        <v>33</v>
      </c>
      <c r="C214" s="45" t="s">
        <v>34</v>
      </c>
      <c r="D214" s="42" t="s">
        <v>35</v>
      </c>
      <c r="E214" s="43">
        <v>0.14420000000000002</v>
      </c>
      <c r="F214" s="40">
        <f>TRUNC(15.2,2)</f>
        <v>15.2</v>
      </c>
      <c r="G214" s="40">
        <f>TRUNC(E214*F214,2)</f>
        <v>2.19</v>
      </c>
      <c r="H214" s="40"/>
      <c r="I214" s="43"/>
    </row>
    <row r="215" spans="1:9" s="75" customFormat="1" ht="30">
      <c r="A215" s="42"/>
      <c r="B215" s="44" t="s">
        <v>55</v>
      </c>
      <c r="C215" s="45" t="s">
        <v>56</v>
      </c>
      <c r="D215" s="42" t="s">
        <v>35</v>
      </c>
      <c r="E215" s="43">
        <v>0.14420000000000002</v>
      </c>
      <c r="F215" s="40">
        <f>TRUNC(21,2)</f>
        <v>21</v>
      </c>
      <c r="G215" s="40">
        <f>TRUNC(E215*F215,2)</f>
        <v>3.02</v>
      </c>
      <c r="H215" s="40"/>
      <c r="I215" s="43"/>
    </row>
    <row r="216" spans="1:9" s="75" customFormat="1" ht="15">
      <c r="A216" s="42"/>
      <c r="B216" s="44"/>
      <c r="C216" s="45"/>
      <c r="D216" s="42"/>
      <c r="E216" s="43" t="s">
        <v>24</v>
      </c>
      <c r="F216" s="40"/>
      <c r="G216" s="40">
        <f>TRUNC(SUM(G213:G215),2)</f>
        <v>11.88</v>
      </c>
      <c r="H216" s="40"/>
      <c r="I216" s="43"/>
    </row>
    <row r="217" spans="1:9" s="75" customFormat="1" ht="45">
      <c r="A217" s="41" t="s">
        <v>258</v>
      </c>
      <c r="B217" s="46" t="s">
        <v>125</v>
      </c>
      <c r="C217" s="13" t="s">
        <v>126</v>
      </c>
      <c r="D217" s="41" t="s">
        <v>18</v>
      </c>
      <c r="E217" s="14">
        <v>10</v>
      </c>
      <c r="F217" s="14">
        <f>TRUNC(F218,2)</f>
        <v>9.19</v>
      </c>
      <c r="G217" s="14">
        <f>TRUNC(F217*1.2882,2)</f>
        <v>11.83</v>
      </c>
      <c r="H217" s="14">
        <f>TRUNC(F217*E217,2)</f>
        <v>91.9</v>
      </c>
      <c r="I217" s="14">
        <f>TRUNC(E217*G217,2)</f>
        <v>118.3</v>
      </c>
    </row>
    <row r="218" spans="1:9" s="75" customFormat="1" ht="45">
      <c r="A218" s="42"/>
      <c r="B218" s="44" t="s">
        <v>125</v>
      </c>
      <c r="C218" s="45" t="s">
        <v>126</v>
      </c>
      <c r="D218" s="42" t="s">
        <v>18</v>
      </c>
      <c r="E218" s="43">
        <v>1</v>
      </c>
      <c r="F218" s="40">
        <f>G222</f>
        <v>9.19</v>
      </c>
      <c r="G218" s="40">
        <f>TRUNC(E218*F218,2)</f>
        <v>9.19</v>
      </c>
      <c r="H218" s="40"/>
      <c r="I218" s="43"/>
    </row>
    <row r="219" spans="1:9" s="75" customFormat="1" ht="30">
      <c r="A219" s="42"/>
      <c r="B219" s="44" t="s">
        <v>127</v>
      </c>
      <c r="C219" s="45" t="s">
        <v>128</v>
      </c>
      <c r="D219" s="42" t="s">
        <v>7</v>
      </c>
      <c r="E219" s="43">
        <v>0.38500000000000001</v>
      </c>
      <c r="F219" s="40">
        <v>12.3</v>
      </c>
      <c r="G219" s="40">
        <f>TRUNC(E219*F219,2)</f>
        <v>4.7300000000000004</v>
      </c>
      <c r="H219" s="40"/>
      <c r="I219" s="43"/>
    </row>
    <row r="220" spans="1:9" s="75" customFormat="1" ht="30">
      <c r="A220" s="42"/>
      <c r="B220" s="44" t="s">
        <v>33</v>
      </c>
      <c r="C220" s="45" t="s">
        <v>34</v>
      </c>
      <c r="D220" s="42" t="s">
        <v>35</v>
      </c>
      <c r="E220" s="43">
        <v>0.1236</v>
      </c>
      <c r="F220" s="40">
        <f>TRUNC(15.2,2)</f>
        <v>15.2</v>
      </c>
      <c r="G220" s="40">
        <f>TRUNC(E220*F220,2)</f>
        <v>1.87</v>
      </c>
      <c r="H220" s="40"/>
      <c r="I220" s="43"/>
    </row>
    <row r="221" spans="1:9" s="75" customFormat="1" ht="30">
      <c r="A221" s="42"/>
      <c r="B221" s="44" t="s">
        <v>55</v>
      </c>
      <c r="C221" s="45" t="s">
        <v>56</v>
      </c>
      <c r="D221" s="42" t="s">
        <v>35</v>
      </c>
      <c r="E221" s="43">
        <v>0.1236</v>
      </c>
      <c r="F221" s="40">
        <f>TRUNC(21,2)</f>
        <v>21</v>
      </c>
      <c r="G221" s="40">
        <f>TRUNC(E221*F221,2)</f>
        <v>2.59</v>
      </c>
      <c r="H221" s="40"/>
      <c r="I221" s="43"/>
    </row>
    <row r="222" spans="1:9" s="75" customFormat="1" ht="15">
      <c r="A222" s="42"/>
      <c r="B222" s="44"/>
      <c r="C222" s="45"/>
      <c r="D222" s="42"/>
      <c r="E222" s="43" t="s">
        <v>24</v>
      </c>
      <c r="F222" s="40"/>
      <c r="G222" s="40">
        <f>TRUNC(SUM(G219:G221),2)</f>
        <v>9.19</v>
      </c>
      <c r="H222" s="40"/>
      <c r="I222" s="43"/>
    </row>
    <row r="223" spans="1:9" s="75" customFormat="1" ht="45">
      <c r="A223" s="41" t="s">
        <v>259</v>
      </c>
      <c r="B223" s="46" t="s">
        <v>135</v>
      </c>
      <c r="C223" s="13" t="s">
        <v>136</v>
      </c>
      <c r="D223" s="41" t="s">
        <v>18</v>
      </c>
      <c r="E223" s="14">
        <v>26</v>
      </c>
      <c r="F223" s="14">
        <f>TRUNC(F224,2)</f>
        <v>8.81</v>
      </c>
      <c r="G223" s="14">
        <f>TRUNC(F223*1.2882,2)</f>
        <v>11.34</v>
      </c>
      <c r="H223" s="14">
        <f>TRUNC(F223*E223,2)</f>
        <v>229.06</v>
      </c>
      <c r="I223" s="14">
        <f>TRUNC(E223*G223,2)</f>
        <v>294.83999999999997</v>
      </c>
    </row>
    <row r="224" spans="1:9" s="75" customFormat="1" ht="45">
      <c r="A224" s="42"/>
      <c r="B224" s="44" t="s">
        <v>135</v>
      </c>
      <c r="C224" s="45" t="s">
        <v>136</v>
      </c>
      <c r="D224" s="42" t="s">
        <v>18</v>
      </c>
      <c r="E224" s="43">
        <v>1</v>
      </c>
      <c r="F224" s="40">
        <f>G229</f>
        <v>8.81</v>
      </c>
      <c r="G224" s="40">
        <f>TRUNC(E224*F224,2)</f>
        <v>8.81</v>
      </c>
      <c r="H224" s="40"/>
      <c r="I224" s="43"/>
    </row>
    <row r="225" spans="1:9" s="75" customFormat="1" ht="30">
      <c r="A225" s="42"/>
      <c r="B225" s="44" t="s">
        <v>133</v>
      </c>
      <c r="C225" s="45" t="s">
        <v>134</v>
      </c>
      <c r="D225" s="42" t="s">
        <v>32</v>
      </c>
      <c r="E225" s="43">
        <v>1.8E-3</v>
      </c>
      <c r="F225" s="40">
        <v>26.5</v>
      </c>
      <c r="G225" s="40">
        <f>TRUNC(E225*F225,2)</f>
        <v>0.04</v>
      </c>
      <c r="H225" s="40"/>
      <c r="I225" s="43"/>
    </row>
    <row r="226" spans="1:9" s="75" customFormat="1" ht="30">
      <c r="A226" s="42"/>
      <c r="B226" s="44" t="s">
        <v>137</v>
      </c>
      <c r="C226" s="45" t="s">
        <v>138</v>
      </c>
      <c r="D226" s="42" t="s">
        <v>18</v>
      </c>
      <c r="E226" s="43">
        <v>1.1000000000000001</v>
      </c>
      <c r="F226" s="40">
        <v>3.69</v>
      </c>
      <c r="G226" s="40">
        <f>TRUNC(E226*F226,2)</f>
        <v>4.05</v>
      </c>
      <c r="H226" s="40"/>
      <c r="I226" s="43"/>
    </row>
    <row r="227" spans="1:9" s="75" customFormat="1" ht="15">
      <c r="A227" s="42"/>
      <c r="B227" s="44" t="s">
        <v>53</v>
      </c>
      <c r="C227" s="45" t="s">
        <v>54</v>
      </c>
      <c r="D227" s="42" t="s">
        <v>35</v>
      </c>
      <c r="E227" s="43">
        <v>8.6999999999999994E-2</v>
      </c>
      <c r="F227" s="40">
        <f>TRUNC(29.83,2)</f>
        <v>29.83</v>
      </c>
      <c r="G227" s="40">
        <f>TRUNC(E227*F227,2)</f>
        <v>2.59</v>
      </c>
      <c r="H227" s="40"/>
      <c r="I227" s="43"/>
    </row>
    <row r="228" spans="1:9" s="75" customFormat="1" ht="15">
      <c r="A228" s="42"/>
      <c r="B228" s="44" t="s">
        <v>83</v>
      </c>
      <c r="C228" s="45" t="s">
        <v>84</v>
      </c>
      <c r="D228" s="42" t="s">
        <v>35</v>
      </c>
      <c r="E228" s="43">
        <v>8.6999999999999994E-2</v>
      </c>
      <c r="F228" s="40">
        <f>TRUNC(24.54,2)</f>
        <v>24.54</v>
      </c>
      <c r="G228" s="40">
        <f>TRUNC(E228*F228,2)</f>
        <v>2.13</v>
      </c>
      <c r="H228" s="40"/>
      <c r="I228" s="43"/>
    </row>
    <row r="229" spans="1:9" s="75" customFormat="1" ht="15">
      <c r="A229" s="42"/>
      <c r="B229" s="44"/>
      <c r="C229" s="45"/>
      <c r="D229" s="42"/>
      <c r="E229" s="43" t="s">
        <v>24</v>
      </c>
      <c r="F229" s="40"/>
      <c r="G229" s="40">
        <f>TRUNC(SUM(G225:G228),2)</f>
        <v>8.81</v>
      </c>
      <c r="H229" s="40"/>
      <c r="I229" s="43"/>
    </row>
    <row r="230" spans="1:9" ht="30">
      <c r="A230" s="41" t="s">
        <v>260</v>
      </c>
      <c r="B230" s="46" t="s">
        <v>261</v>
      </c>
      <c r="C230" s="13" t="s">
        <v>262</v>
      </c>
      <c r="D230" s="41" t="s">
        <v>7</v>
      </c>
      <c r="E230" s="14">
        <v>4</v>
      </c>
      <c r="F230" s="14">
        <f>TRUNC(F231,2)</f>
        <v>65.63</v>
      </c>
      <c r="G230" s="14">
        <f>TRUNC(F230*1.2882,2)</f>
        <v>84.54</v>
      </c>
      <c r="H230" s="14">
        <f>TRUNC(F230*E230,2)</f>
        <v>262.52</v>
      </c>
      <c r="I230" s="14">
        <f>TRUNC(E230*G230,2)</f>
        <v>338.16</v>
      </c>
    </row>
    <row r="231" spans="1:9" ht="30">
      <c r="A231" s="42"/>
      <c r="B231" s="44" t="s">
        <v>261</v>
      </c>
      <c r="C231" s="45" t="s">
        <v>262</v>
      </c>
      <c r="D231" s="42" t="s">
        <v>7</v>
      </c>
      <c r="E231" s="43">
        <v>1</v>
      </c>
      <c r="F231" s="40">
        <f>TRUNC(65.636466,2)</f>
        <v>65.63</v>
      </c>
      <c r="G231" s="40">
        <f>TRUNC(E231*F231,2)</f>
        <v>65.63</v>
      </c>
      <c r="H231" s="40"/>
      <c r="I231" s="43"/>
    </row>
    <row r="232" spans="1:9" ht="30">
      <c r="A232" s="42"/>
      <c r="B232" s="44" t="s">
        <v>263</v>
      </c>
      <c r="C232" s="45" t="s">
        <v>264</v>
      </c>
      <c r="D232" s="42" t="s">
        <v>7</v>
      </c>
      <c r="E232" s="43">
        <v>1</v>
      </c>
      <c r="F232" s="40">
        <f>TRUNC(55.64,2)</f>
        <v>55.64</v>
      </c>
      <c r="G232" s="40">
        <f>TRUNC(E232*F232,2)</f>
        <v>55.64</v>
      </c>
      <c r="H232" s="40"/>
      <c r="I232" s="43"/>
    </row>
    <row r="233" spans="1:9" ht="15">
      <c r="A233" s="42"/>
      <c r="B233" s="44" t="s">
        <v>37</v>
      </c>
      <c r="C233" s="45" t="s">
        <v>38</v>
      </c>
      <c r="D233" s="42" t="s">
        <v>35</v>
      </c>
      <c r="E233" s="43">
        <v>0.10879999999999999</v>
      </c>
      <c r="F233" s="40">
        <f>TRUNC(23.05,2)</f>
        <v>23.05</v>
      </c>
      <c r="G233" s="40">
        <f>TRUNC(E233*F233,2)</f>
        <v>2.5</v>
      </c>
      <c r="H233" s="40"/>
      <c r="I233" s="43"/>
    </row>
    <row r="234" spans="1:9" ht="15">
      <c r="A234" s="42"/>
      <c r="B234" s="44" t="s">
        <v>39</v>
      </c>
      <c r="C234" s="45" t="s">
        <v>40</v>
      </c>
      <c r="D234" s="42" t="s">
        <v>35</v>
      </c>
      <c r="E234" s="43">
        <v>0.1384</v>
      </c>
      <c r="F234" s="40">
        <f>TRUNC(29.24,2)</f>
        <v>29.24</v>
      </c>
      <c r="G234" s="40">
        <f>TRUNC(E234*F234,2)</f>
        <v>4.04</v>
      </c>
      <c r="H234" s="40"/>
      <c r="I234" s="43"/>
    </row>
    <row r="235" spans="1:9" ht="30">
      <c r="A235" s="42"/>
      <c r="B235" s="44" t="s">
        <v>265</v>
      </c>
      <c r="C235" s="45" t="s">
        <v>266</v>
      </c>
      <c r="D235" s="42" t="s">
        <v>36</v>
      </c>
      <c r="E235" s="43">
        <v>1.41E-2</v>
      </c>
      <c r="F235" s="40">
        <f>TRUNC(244.1,2)</f>
        <v>244.1</v>
      </c>
      <c r="G235" s="40">
        <f>TRUNC(E235*F235,2)</f>
        <v>3.44</v>
      </c>
      <c r="H235" s="40"/>
      <c r="I235" s="43"/>
    </row>
    <row r="236" spans="1:9" ht="15">
      <c r="A236" s="42"/>
      <c r="B236" s="44"/>
      <c r="C236" s="45"/>
      <c r="D236" s="42"/>
      <c r="E236" s="43" t="s">
        <v>24</v>
      </c>
      <c r="F236" s="40"/>
      <c r="G236" s="40">
        <f>TRUNC(SUM(G232:G235),2)</f>
        <v>65.62</v>
      </c>
      <c r="H236" s="40"/>
      <c r="I236" s="43"/>
    </row>
    <row r="237" spans="1:9" ht="45">
      <c r="A237" s="41" t="s">
        <v>267</v>
      </c>
      <c r="B237" s="46" t="s">
        <v>268</v>
      </c>
      <c r="C237" s="13" t="s">
        <v>269</v>
      </c>
      <c r="D237" s="41" t="s">
        <v>18</v>
      </c>
      <c r="E237" s="14">
        <v>18</v>
      </c>
      <c r="F237" s="14">
        <f>TRUNC(F238,2)</f>
        <v>115.27</v>
      </c>
      <c r="G237" s="14">
        <f>TRUNC(F237*1.2882,2)</f>
        <v>148.49</v>
      </c>
      <c r="H237" s="14">
        <f>TRUNC(F237*E237,2)</f>
        <v>2074.86</v>
      </c>
      <c r="I237" s="14">
        <f>TRUNC(E237*G237,2)</f>
        <v>2672.82</v>
      </c>
    </row>
    <row r="238" spans="1:9" ht="45">
      <c r="A238" s="42"/>
      <c r="B238" s="44" t="s">
        <v>268</v>
      </c>
      <c r="C238" s="45" t="s">
        <v>269</v>
      </c>
      <c r="D238" s="42" t="s">
        <v>18</v>
      </c>
      <c r="E238" s="43">
        <v>1</v>
      </c>
      <c r="F238" s="40">
        <f>G249</f>
        <v>115.27</v>
      </c>
      <c r="G238" s="40">
        <f t="shared" ref="G238:G248" si="2">TRUNC(E238*F238,2)</f>
        <v>115.27</v>
      </c>
      <c r="H238" s="40"/>
      <c r="I238" s="43"/>
    </row>
    <row r="239" spans="1:9" ht="15">
      <c r="A239" s="42"/>
      <c r="B239" s="44" t="s">
        <v>270</v>
      </c>
      <c r="C239" s="45" t="s">
        <v>271</v>
      </c>
      <c r="D239" s="42" t="s">
        <v>7</v>
      </c>
      <c r="E239" s="43">
        <v>0.39600000000000002</v>
      </c>
      <c r="F239" s="40">
        <f>TRUNC(43.23,2)</f>
        <v>43.23</v>
      </c>
      <c r="G239" s="40">
        <f t="shared" si="2"/>
        <v>17.11</v>
      </c>
      <c r="H239" s="40"/>
      <c r="I239" s="43"/>
    </row>
    <row r="240" spans="1:9" ht="30">
      <c r="A240" s="42"/>
      <c r="B240" s="44" t="s">
        <v>272</v>
      </c>
      <c r="C240" s="45" t="s">
        <v>273</v>
      </c>
      <c r="D240" s="42" t="s">
        <v>7</v>
      </c>
      <c r="E240" s="43">
        <v>0.39600000000000002</v>
      </c>
      <c r="F240" s="40">
        <f>TRUNC(108.19,2)</f>
        <v>108.19</v>
      </c>
      <c r="G240" s="40">
        <f t="shared" si="2"/>
        <v>42.84</v>
      </c>
      <c r="H240" s="40"/>
      <c r="I240" s="43"/>
    </row>
    <row r="241" spans="1:9" ht="30">
      <c r="A241" s="42"/>
      <c r="B241" s="44" t="s">
        <v>274</v>
      </c>
      <c r="C241" s="45" t="s">
        <v>275</v>
      </c>
      <c r="D241" s="42" t="s">
        <v>7</v>
      </c>
      <c r="E241" s="43">
        <v>0.79920000000000002</v>
      </c>
      <c r="F241" s="40">
        <f>TRUNC(3.082,2)</f>
        <v>3.08</v>
      </c>
      <c r="G241" s="40">
        <f t="shared" si="2"/>
        <v>2.46</v>
      </c>
      <c r="H241" s="40"/>
      <c r="I241" s="43"/>
    </row>
    <row r="242" spans="1:9" ht="15">
      <c r="A242" s="42"/>
      <c r="B242" s="44" t="s">
        <v>276</v>
      </c>
      <c r="C242" s="45" t="s">
        <v>277</v>
      </c>
      <c r="D242" s="42" t="s">
        <v>7</v>
      </c>
      <c r="E242" s="43">
        <v>3.1920000000000002</v>
      </c>
      <c r="F242" s="40">
        <f>TRUNC(0.0922,2)</f>
        <v>0.09</v>
      </c>
      <c r="G242" s="40">
        <f t="shared" si="2"/>
        <v>0.28000000000000003</v>
      </c>
      <c r="H242" s="40"/>
      <c r="I242" s="43"/>
    </row>
    <row r="243" spans="1:9" ht="15">
      <c r="A243" s="42"/>
      <c r="B243" s="44" t="s">
        <v>278</v>
      </c>
      <c r="C243" s="45" t="s">
        <v>279</v>
      </c>
      <c r="D243" s="42" t="s">
        <v>7</v>
      </c>
      <c r="E243" s="43">
        <v>1.5960000000000001</v>
      </c>
      <c r="F243" s="40">
        <f>TRUNC(2.06,2)</f>
        <v>2.06</v>
      </c>
      <c r="G243" s="40">
        <f t="shared" si="2"/>
        <v>3.28</v>
      </c>
      <c r="H243" s="40"/>
      <c r="I243" s="43"/>
    </row>
    <row r="244" spans="1:9" ht="15">
      <c r="A244" s="42"/>
      <c r="B244" s="44" t="s">
        <v>280</v>
      </c>
      <c r="C244" s="45" t="s">
        <v>281</v>
      </c>
      <c r="D244" s="42" t="s">
        <v>7</v>
      </c>
      <c r="E244" s="43">
        <v>0.79920000000000002</v>
      </c>
      <c r="F244" s="40">
        <f>TRUNC(13.66,2)</f>
        <v>13.66</v>
      </c>
      <c r="G244" s="40">
        <f t="shared" si="2"/>
        <v>10.91</v>
      </c>
      <c r="H244" s="40"/>
      <c r="I244" s="43"/>
    </row>
    <row r="245" spans="1:9" ht="15">
      <c r="A245" s="42"/>
      <c r="B245" s="44" t="s">
        <v>282</v>
      </c>
      <c r="C245" s="45" t="s">
        <v>283</v>
      </c>
      <c r="D245" s="42" t="s">
        <v>7</v>
      </c>
      <c r="E245" s="43">
        <v>3.1920000000000002</v>
      </c>
      <c r="F245" s="40">
        <f>TRUNC(0.09,2)</f>
        <v>0.09</v>
      </c>
      <c r="G245" s="40">
        <f t="shared" si="2"/>
        <v>0.28000000000000003</v>
      </c>
      <c r="H245" s="40"/>
      <c r="I245" s="43"/>
    </row>
    <row r="246" spans="1:9" ht="30">
      <c r="A246" s="42"/>
      <c r="B246" s="44" t="s">
        <v>284</v>
      </c>
      <c r="C246" s="45" t="s">
        <v>285</v>
      </c>
      <c r="D246" s="42" t="s">
        <v>7</v>
      </c>
      <c r="E246" s="43">
        <v>1.5959999999999998E-2</v>
      </c>
      <c r="F246" s="40">
        <f>TRUNC(52.53,2)</f>
        <v>52.53</v>
      </c>
      <c r="G246" s="40">
        <f t="shared" si="2"/>
        <v>0.83</v>
      </c>
      <c r="H246" s="40"/>
      <c r="I246" s="43"/>
    </row>
    <row r="247" spans="1:9" ht="30">
      <c r="A247" s="42"/>
      <c r="B247" s="44" t="s">
        <v>33</v>
      </c>
      <c r="C247" s="45" t="s">
        <v>34</v>
      </c>
      <c r="D247" s="42" t="s">
        <v>35</v>
      </c>
      <c r="E247" s="43">
        <v>1.03</v>
      </c>
      <c r="F247" s="40">
        <f>TRUNC(15.2,2)</f>
        <v>15.2</v>
      </c>
      <c r="G247" s="40">
        <f t="shared" si="2"/>
        <v>15.65</v>
      </c>
      <c r="H247" s="40"/>
      <c r="I247" s="43"/>
    </row>
    <row r="248" spans="1:9" ht="30">
      <c r="A248" s="42"/>
      <c r="B248" s="44" t="s">
        <v>55</v>
      </c>
      <c r="C248" s="45" t="s">
        <v>56</v>
      </c>
      <c r="D248" s="42" t="s">
        <v>35</v>
      </c>
      <c r="E248" s="43">
        <v>1.03</v>
      </c>
      <c r="F248" s="40">
        <f>TRUNC(21,2)</f>
        <v>21</v>
      </c>
      <c r="G248" s="40">
        <f t="shared" si="2"/>
        <v>21.63</v>
      </c>
      <c r="H248" s="40"/>
      <c r="I248" s="43"/>
    </row>
    <row r="249" spans="1:9" ht="15">
      <c r="A249" s="42"/>
      <c r="B249" s="44"/>
      <c r="C249" s="45"/>
      <c r="D249" s="42"/>
      <c r="E249" s="43" t="s">
        <v>24</v>
      </c>
      <c r="F249" s="40"/>
      <c r="G249" s="40">
        <f>TRUNC(SUM(G239:G248),2)</f>
        <v>115.27</v>
      </c>
      <c r="H249" s="40"/>
      <c r="I249" s="43"/>
    </row>
    <row r="250" spans="1:9" s="57" customFormat="1" ht="15.75">
      <c r="A250" s="58" t="s">
        <v>17</v>
      </c>
      <c r="B250" s="59"/>
      <c r="C250" s="60"/>
      <c r="D250" s="58"/>
      <c r="E250" s="61"/>
      <c r="F250" s="62"/>
      <c r="G250" s="97" t="s">
        <v>57</v>
      </c>
      <c r="H250" s="98"/>
      <c r="I250" s="62">
        <f>I13+I25+I30+I35+I40+I47+I54+I61+I68+I75+I81+I87+I93+I116+I125+I131+I138+I145+I152+I159+I166+I173+I180+I187+I193+I199+I205+I211+I217+I223+I230+I237</f>
        <v>38932.44999999999</v>
      </c>
    </row>
    <row r="251" spans="1:9" ht="14.25" customHeight="1">
      <c r="A251" s="37" t="s">
        <v>287</v>
      </c>
      <c r="B251" s="38"/>
      <c r="C251" s="96" t="s">
        <v>359</v>
      </c>
      <c r="D251" s="96"/>
      <c r="E251" s="96"/>
      <c r="F251" s="96"/>
      <c r="G251" s="96"/>
      <c r="H251" s="96"/>
      <c r="I251" s="96"/>
    </row>
    <row r="252" spans="1:9" s="75" customFormat="1" ht="60">
      <c r="A252" s="41" t="s">
        <v>289</v>
      </c>
      <c r="B252" s="46" t="s">
        <v>292</v>
      </c>
      <c r="C252" s="13" t="s">
        <v>293</v>
      </c>
      <c r="D252" s="41" t="s">
        <v>36</v>
      </c>
      <c r="E252" s="14">
        <v>0.93</v>
      </c>
      <c r="F252" s="14">
        <f>TRUNC(F253+F270,2)</f>
        <v>626.62</v>
      </c>
      <c r="G252" s="14">
        <f>TRUNC(F252*1.2882,2)</f>
        <v>807.21</v>
      </c>
      <c r="H252" s="14">
        <f>TRUNC(F252*E252,2)</f>
        <v>582.75</v>
      </c>
      <c r="I252" s="14">
        <f>TRUNC(E252*G252,2)</f>
        <v>750.7</v>
      </c>
    </row>
    <row r="253" spans="1:9" ht="60">
      <c r="B253" s="90" t="s">
        <v>292</v>
      </c>
      <c r="C253" s="45" t="s">
        <v>293</v>
      </c>
      <c r="D253" s="91" t="s">
        <v>36</v>
      </c>
      <c r="E253" s="39">
        <v>1</v>
      </c>
      <c r="F253" s="39">
        <f>G259</f>
        <v>610.29999999999995</v>
      </c>
      <c r="G253" s="39">
        <f t="shared" ref="G253:G258" si="3">TRUNC(E253*F253,2)</f>
        <v>610.29999999999995</v>
      </c>
      <c r="H253" s="39"/>
      <c r="I253" s="92"/>
    </row>
    <row r="254" spans="1:9" ht="30">
      <c r="B254" s="90" t="s">
        <v>294</v>
      </c>
      <c r="C254" s="45" t="s">
        <v>295</v>
      </c>
      <c r="D254" s="91" t="s">
        <v>296</v>
      </c>
      <c r="E254" s="39">
        <v>1.2088650000000001</v>
      </c>
      <c r="F254" s="39">
        <f>TRUNC(89.48,2)</f>
        <v>89.48</v>
      </c>
      <c r="G254" s="39">
        <f t="shared" si="3"/>
        <v>108.16</v>
      </c>
      <c r="H254" s="39"/>
      <c r="I254" s="92"/>
    </row>
    <row r="255" spans="1:9" ht="15">
      <c r="B255" s="90" t="s">
        <v>297</v>
      </c>
      <c r="C255" s="45" t="s">
        <v>298</v>
      </c>
      <c r="D255" s="91" t="s">
        <v>32</v>
      </c>
      <c r="E255" s="39">
        <v>409.5</v>
      </c>
      <c r="F255" s="39">
        <f>TRUNC(0.59,2)</f>
        <v>0.59</v>
      </c>
      <c r="G255" s="39">
        <f t="shared" si="3"/>
        <v>241.6</v>
      </c>
      <c r="H255" s="39"/>
      <c r="I255" s="92"/>
    </row>
    <row r="256" spans="1:9" ht="15">
      <c r="B256" s="90" t="s">
        <v>299</v>
      </c>
      <c r="C256" s="45" t="s">
        <v>300</v>
      </c>
      <c r="D256" s="91" t="s">
        <v>36</v>
      </c>
      <c r="E256" s="39">
        <v>0.61949999999999994</v>
      </c>
      <c r="F256" s="39">
        <f>TRUNC(118.5,2)</f>
        <v>118.5</v>
      </c>
      <c r="G256" s="39">
        <f t="shared" si="3"/>
        <v>73.41</v>
      </c>
      <c r="H256" s="39"/>
      <c r="I256" s="92"/>
    </row>
    <row r="257" spans="1:9" ht="15">
      <c r="B257" s="90" t="s">
        <v>301</v>
      </c>
      <c r="C257" s="45" t="s">
        <v>302</v>
      </c>
      <c r="D257" s="91" t="s">
        <v>36</v>
      </c>
      <c r="E257" s="39">
        <v>1</v>
      </c>
      <c r="F257" s="39">
        <f>TRUNC(111.3358,2)</f>
        <v>111.33</v>
      </c>
      <c r="G257" s="39">
        <f t="shared" si="3"/>
        <v>111.33</v>
      </c>
      <c r="H257" s="39"/>
      <c r="I257" s="92"/>
    </row>
    <row r="258" spans="1:9" ht="15">
      <c r="B258" s="90" t="s">
        <v>303</v>
      </c>
      <c r="C258" s="45" t="s">
        <v>304</v>
      </c>
      <c r="D258" s="91" t="s">
        <v>36</v>
      </c>
      <c r="E258" s="39">
        <v>1</v>
      </c>
      <c r="F258" s="39">
        <f>TRUNC(75.8077,2)</f>
        <v>75.8</v>
      </c>
      <c r="G258" s="39">
        <f t="shared" si="3"/>
        <v>75.8</v>
      </c>
      <c r="H258" s="39"/>
      <c r="I258" s="92"/>
    </row>
    <row r="259" spans="1:9" ht="15">
      <c r="B259" s="90"/>
      <c r="C259" s="45"/>
      <c r="D259" s="91"/>
      <c r="E259" s="39" t="s">
        <v>24</v>
      </c>
      <c r="F259" s="39"/>
      <c r="G259" s="39">
        <f>TRUNC(SUM(G254:G258),2)</f>
        <v>610.29999999999995</v>
      </c>
      <c r="H259" s="39"/>
      <c r="I259" s="92"/>
    </row>
    <row r="260" spans="1:9" s="75" customFormat="1" ht="45">
      <c r="A260" s="41" t="s">
        <v>290</v>
      </c>
      <c r="B260" s="46" t="s">
        <v>305</v>
      </c>
      <c r="C260" s="46" t="s">
        <v>306</v>
      </c>
      <c r="D260" s="41" t="s">
        <v>16</v>
      </c>
      <c r="E260" s="14">
        <v>4.3499999999999996</v>
      </c>
      <c r="F260" s="14">
        <f>TRUNC(F261+F279,2)</f>
        <v>87.25</v>
      </c>
      <c r="G260" s="14">
        <f>TRUNC(F260*1.2882,2)</f>
        <v>112.39</v>
      </c>
      <c r="H260" s="14">
        <f>TRUNC(F260*E260,2)</f>
        <v>379.53</v>
      </c>
      <c r="I260" s="14">
        <f>TRUNC(E260*G260,2)</f>
        <v>488.89</v>
      </c>
    </row>
    <row r="261" spans="1:9" ht="45">
      <c r="B261" s="90" t="s">
        <v>305</v>
      </c>
      <c r="C261" s="45" t="s">
        <v>306</v>
      </c>
      <c r="D261" s="91" t="s">
        <v>16</v>
      </c>
      <c r="E261" s="39">
        <v>1</v>
      </c>
      <c r="F261" s="39">
        <f>TRUNC(73.27554,2)</f>
        <v>73.27</v>
      </c>
      <c r="G261" s="39">
        <f t="shared" ref="G261:G268" si="4">TRUNC(E261*F261,2)</f>
        <v>73.27</v>
      </c>
      <c r="H261" s="39"/>
      <c r="I261" s="92"/>
    </row>
    <row r="262" spans="1:9" ht="30">
      <c r="B262" s="90" t="s">
        <v>307</v>
      </c>
      <c r="C262" s="45" t="s">
        <v>308</v>
      </c>
      <c r="D262" s="91" t="s">
        <v>32</v>
      </c>
      <c r="E262" s="39">
        <v>0.1</v>
      </c>
      <c r="F262" s="39">
        <f>TRUNC(19.43,2)</f>
        <v>19.43</v>
      </c>
      <c r="G262" s="39">
        <f t="shared" si="4"/>
        <v>1.94</v>
      </c>
      <c r="H262" s="39"/>
      <c r="I262" s="92"/>
    </row>
    <row r="263" spans="1:9" ht="15">
      <c r="B263" s="90" t="s">
        <v>309</v>
      </c>
      <c r="C263" s="45" t="s">
        <v>310</v>
      </c>
      <c r="D263" s="91" t="s">
        <v>18</v>
      </c>
      <c r="E263" s="39">
        <v>0.55000000000000004</v>
      </c>
      <c r="F263" s="39">
        <f>TRUNC(7.16,2)</f>
        <v>7.16</v>
      </c>
      <c r="G263" s="39">
        <f t="shared" si="4"/>
        <v>3.93</v>
      </c>
      <c r="H263" s="39"/>
      <c r="I263" s="92"/>
    </row>
    <row r="264" spans="1:9" ht="15">
      <c r="B264" s="90" t="s">
        <v>311</v>
      </c>
      <c r="C264" s="45" t="s">
        <v>312</v>
      </c>
      <c r="D264" s="91" t="s">
        <v>18</v>
      </c>
      <c r="E264" s="39">
        <v>1.05</v>
      </c>
      <c r="F264" s="39">
        <f>TRUNC(12.53,2)</f>
        <v>12.53</v>
      </c>
      <c r="G264" s="39">
        <f t="shared" si="4"/>
        <v>13.15</v>
      </c>
      <c r="H264" s="39"/>
      <c r="I264" s="92"/>
    </row>
    <row r="265" spans="1:9" ht="30">
      <c r="B265" s="90" t="s">
        <v>33</v>
      </c>
      <c r="C265" s="45" t="s">
        <v>34</v>
      </c>
      <c r="D265" s="91" t="s">
        <v>35</v>
      </c>
      <c r="E265" s="39">
        <v>1.0815000000000001</v>
      </c>
      <c r="F265" s="39">
        <f>TRUNC(15.2,2)</f>
        <v>15.2</v>
      </c>
      <c r="G265" s="39">
        <f t="shared" si="4"/>
        <v>16.43</v>
      </c>
      <c r="H265" s="39"/>
      <c r="I265" s="92"/>
    </row>
    <row r="266" spans="1:9" ht="30">
      <c r="B266" s="90" t="s">
        <v>313</v>
      </c>
      <c r="C266" s="45" t="s">
        <v>314</v>
      </c>
      <c r="D266" s="91" t="s">
        <v>35</v>
      </c>
      <c r="E266" s="39">
        <v>1.0815000000000001</v>
      </c>
      <c r="F266" s="39">
        <f>TRUNC(21,2)</f>
        <v>21</v>
      </c>
      <c r="G266" s="39">
        <f t="shared" si="4"/>
        <v>22.71</v>
      </c>
      <c r="H266" s="39"/>
      <c r="I266" s="92"/>
    </row>
    <row r="267" spans="1:9" ht="15">
      <c r="B267" s="90" t="s">
        <v>315</v>
      </c>
      <c r="C267" s="45" t="s">
        <v>316</v>
      </c>
      <c r="D267" s="91" t="s">
        <v>18</v>
      </c>
      <c r="E267" s="39">
        <v>1.4</v>
      </c>
      <c r="F267" s="39">
        <f>TRUNC(8.5166,2)</f>
        <v>8.51</v>
      </c>
      <c r="G267" s="39">
        <f t="shared" si="4"/>
        <v>11.91</v>
      </c>
      <c r="H267" s="39"/>
      <c r="I267" s="92"/>
    </row>
    <row r="268" spans="1:9" ht="15">
      <c r="B268" s="90" t="s">
        <v>317</v>
      </c>
      <c r="C268" s="45" t="s">
        <v>318</v>
      </c>
      <c r="D268" s="91" t="s">
        <v>16</v>
      </c>
      <c r="E268" s="39">
        <v>1</v>
      </c>
      <c r="F268" s="39">
        <f>TRUNC(3.1645,2)</f>
        <v>3.16</v>
      </c>
      <c r="G268" s="39">
        <f t="shared" si="4"/>
        <v>3.16</v>
      </c>
      <c r="H268" s="39"/>
      <c r="I268" s="92"/>
    </row>
    <row r="269" spans="1:9" ht="15">
      <c r="B269" s="90"/>
      <c r="C269" s="45"/>
      <c r="D269" s="91"/>
      <c r="E269" s="39" t="s">
        <v>24</v>
      </c>
      <c r="F269" s="39"/>
      <c r="G269" s="39">
        <f>TRUNC(SUM(G262:G268),2)</f>
        <v>73.23</v>
      </c>
      <c r="H269" s="39"/>
      <c r="I269" s="92"/>
    </row>
    <row r="270" spans="1:9" ht="30">
      <c r="A270" s="41" t="s">
        <v>291</v>
      </c>
      <c r="B270" s="46" t="s">
        <v>319</v>
      </c>
      <c r="C270" s="46" t="s">
        <v>320</v>
      </c>
      <c r="D270" s="41" t="s">
        <v>32</v>
      </c>
      <c r="E270" s="14">
        <v>6.27</v>
      </c>
      <c r="F270" s="14">
        <f>TRUNC(F271,2)</f>
        <v>16.32</v>
      </c>
      <c r="G270" s="14">
        <f>TRUNC(F270*1.2882,2)</f>
        <v>21.02</v>
      </c>
      <c r="H270" s="14">
        <f>TRUNC(F270*E270,2)</f>
        <v>102.32</v>
      </c>
      <c r="I270" s="14">
        <f>TRUNC(E270*G270,2)</f>
        <v>131.79</v>
      </c>
    </row>
    <row r="271" spans="1:9" ht="30">
      <c r="B271" s="90" t="s">
        <v>319</v>
      </c>
      <c r="C271" s="45" t="s">
        <v>320</v>
      </c>
      <c r="D271" s="91" t="s">
        <v>32</v>
      </c>
      <c r="E271" s="39">
        <v>1</v>
      </c>
      <c r="F271" s="39">
        <f>TRUNC(16.328768,2)</f>
        <v>16.32</v>
      </c>
      <c r="G271" s="39">
        <f t="shared" ref="G271:G276" si="5">TRUNC(E271*F271,2)</f>
        <v>16.32</v>
      </c>
      <c r="H271" s="39"/>
      <c r="I271" s="92"/>
    </row>
    <row r="272" spans="1:9" ht="30">
      <c r="B272" s="90" t="s">
        <v>133</v>
      </c>
      <c r="C272" s="45" t="s">
        <v>134</v>
      </c>
      <c r="D272" s="91" t="s">
        <v>32</v>
      </c>
      <c r="E272" s="39">
        <v>2.5000000000000001E-2</v>
      </c>
      <c r="F272" s="39">
        <f>TRUNC(26.5,2)</f>
        <v>26.5</v>
      </c>
      <c r="G272" s="39">
        <f t="shared" si="5"/>
        <v>0.66</v>
      </c>
      <c r="H272" s="39"/>
      <c r="I272" s="92"/>
    </row>
    <row r="273" spans="1:9" ht="30">
      <c r="B273" s="90" t="s">
        <v>321</v>
      </c>
      <c r="C273" s="45" t="s">
        <v>322</v>
      </c>
      <c r="D273" s="91" t="s">
        <v>7</v>
      </c>
      <c r="E273" s="39">
        <v>2.1179999999999999</v>
      </c>
      <c r="F273" s="39">
        <f>TRUNC(0.22,2)</f>
        <v>0.22</v>
      </c>
      <c r="G273" s="39">
        <f t="shared" si="5"/>
        <v>0.46</v>
      </c>
      <c r="H273" s="39"/>
      <c r="I273" s="92"/>
    </row>
    <row r="274" spans="1:9" ht="15">
      <c r="B274" s="90" t="s">
        <v>323</v>
      </c>
      <c r="C274" s="45" t="s">
        <v>324</v>
      </c>
      <c r="D274" s="91" t="s">
        <v>35</v>
      </c>
      <c r="E274" s="39">
        <v>8.3599999999999994E-2</v>
      </c>
      <c r="F274" s="39">
        <f>TRUNC(28.47,2)</f>
        <v>28.47</v>
      </c>
      <c r="G274" s="39">
        <f t="shared" si="5"/>
        <v>2.38</v>
      </c>
      <c r="H274" s="39"/>
      <c r="I274" s="92"/>
    </row>
    <row r="275" spans="1:9" ht="15">
      <c r="B275" s="90" t="s">
        <v>325</v>
      </c>
      <c r="C275" s="45" t="s">
        <v>326</v>
      </c>
      <c r="D275" s="91" t="s">
        <v>35</v>
      </c>
      <c r="E275" s="39">
        <v>1.3599999999999999E-2</v>
      </c>
      <c r="F275" s="39">
        <f>TRUNC(22.81,2)</f>
        <v>22.81</v>
      </c>
      <c r="G275" s="39">
        <f t="shared" si="5"/>
        <v>0.31</v>
      </c>
      <c r="H275" s="39"/>
      <c r="I275" s="92"/>
    </row>
    <row r="276" spans="1:9" ht="15">
      <c r="B276" s="90" t="s">
        <v>327</v>
      </c>
      <c r="C276" s="45" t="s">
        <v>328</v>
      </c>
      <c r="D276" s="91" t="s">
        <v>32</v>
      </c>
      <c r="E276" s="39">
        <v>1</v>
      </c>
      <c r="F276" s="39">
        <f>TRUNC(12.51,2)</f>
        <v>12.51</v>
      </c>
      <c r="G276" s="39">
        <f t="shared" si="5"/>
        <v>12.51</v>
      </c>
      <c r="H276" s="39"/>
      <c r="I276" s="92"/>
    </row>
    <row r="277" spans="1:9" ht="15">
      <c r="B277" s="90"/>
      <c r="C277" s="45"/>
      <c r="D277" s="91"/>
      <c r="E277" s="39" t="s">
        <v>24</v>
      </c>
      <c r="F277" s="39"/>
      <c r="G277" s="39">
        <f>TRUNC(SUM(G272:G276),2)</f>
        <v>16.32</v>
      </c>
      <c r="H277" s="39"/>
      <c r="I277" s="92"/>
    </row>
    <row r="278" spans="1:9" ht="30">
      <c r="A278" s="41" t="s">
        <v>329</v>
      </c>
      <c r="B278" s="46" t="s">
        <v>330</v>
      </c>
      <c r="C278" s="46" t="s">
        <v>331</v>
      </c>
      <c r="D278" s="41" t="s">
        <v>32</v>
      </c>
      <c r="E278" s="14">
        <v>20.83</v>
      </c>
      <c r="F278" s="14">
        <f>TRUNC(F279+F323,2)</f>
        <v>13.98</v>
      </c>
      <c r="G278" s="14">
        <f>TRUNC(F278*1.2882,2)</f>
        <v>18</v>
      </c>
      <c r="H278" s="14">
        <f>TRUNC(F278*E278,2)</f>
        <v>291.2</v>
      </c>
      <c r="I278" s="14">
        <f>TRUNC(E278*G278,2)</f>
        <v>374.94</v>
      </c>
    </row>
    <row r="279" spans="1:9" ht="30">
      <c r="B279" s="90" t="s">
        <v>330</v>
      </c>
      <c r="C279" s="45" t="s">
        <v>331</v>
      </c>
      <c r="D279" s="91" t="s">
        <v>32</v>
      </c>
      <c r="E279" s="39">
        <v>1</v>
      </c>
      <c r="F279" s="39">
        <f>G285</f>
        <v>13.98</v>
      </c>
      <c r="G279" s="39">
        <f t="shared" ref="G279:G284" si="6">TRUNC(E279*F279,2)</f>
        <v>13.98</v>
      </c>
      <c r="H279" s="39"/>
      <c r="I279" s="92"/>
    </row>
    <row r="280" spans="1:9" ht="30">
      <c r="B280" s="90" t="s">
        <v>133</v>
      </c>
      <c r="C280" s="45" t="s">
        <v>134</v>
      </c>
      <c r="D280" s="91" t="s">
        <v>32</v>
      </c>
      <c r="E280" s="39">
        <v>2.5000000000000001E-2</v>
      </c>
      <c r="F280" s="39">
        <f>TRUNC(26.5,2)</f>
        <v>26.5</v>
      </c>
      <c r="G280" s="39">
        <f t="shared" si="6"/>
        <v>0.66</v>
      </c>
      <c r="H280" s="39"/>
      <c r="I280" s="92"/>
    </row>
    <row r="281" spans="1:9" ht="30">
      <c r="B281" s="90" t="s">
        <v>321</v>
      </c>
      <c r="C281" s="45" t="s">
        <v>322</v>
      </c>
      <c r="D281" s="91" t="s">
        <v>7</v>
      </c>
      <c r="E281" s="39">
        <v>0.54300000000000004</v>
      </c>
      <c r="F281" s="39">
        <f>TRUNC(0.22,2)</f>
        <v>0.22</v>
      </c>
      <c r="G281" s="39">
        <f t="shared" si="6"/>
        <v>0.11</v>
      </c>
      <c r="H281" s="39"/>
      <c r="I281" s="92"/>
    </row>
    <row r="282" spans="1:9" ht="15">
      <c r="B282" s="90" t="s">
        <v>323</v>
      </c>
      <c r="C282" s="45" t="s">
        <v>324</v>
      </c>
      <c r="D282" s="91" t="s">
        <v>35</v>
      </c>
      <c r="E282" s="39">
        <v>3.9199999999999999E-2</v>
      </c>
      <c r="F282" s="39">
        <f>TRUNC(28.47,2)</f>
        <v>28.47</v>
      </c>
      <c r="G282" s="39">
        <f t="shared" si="6"/>
        <v>1.1100000000000001</v>
      </c>
      <c r="H282" s="39"/>
      <c r="I282" s="92"/>
    </row>
    <row r="283" spans="1:9" ht="15">
      <c r="B283" s="90" t="s">
        <v>325</v>
      </c>
      <c r="C283" s="45" t="s">
        <v>326</v>
      </c>
      <c r="D283" s="91" t="s">
        <v>35</v>
      </c>
      <c r="E283" s="39">
        <v>6.4000000000000003E-3</v>
      </c>
      <c r="F283" s="39">
        <f>TRUNC(22.81,2)</f>
        <v>22.81</v>
      </c>
      <c r="G283" s="39">
        <f t="shared" si="6"/>
        <v>0.14000000000000001</v>
      </c>
      <c r="H283" s="39"/>
      <c r="I283" s="92"/>
    </row>
    <row r="284" spans="1:9" ht="30">
      <c r="B284" s="90" t="s">
        <v>332</v>
      </c>
      <c r="C284" s="45" t="s">
        <v>333</v>
      </c>
      <c r="D284" s="91" t="s">
        <v>32</v>
      </c>
      <c r="E284" s="39">
        <v>1</v>
      </c>
      <c r="F284" s="39">
        <f>TRUNC(11.96,2)</f>
        <v>11.96</v>
      </c>
      <c r="G284" s="39">
        <f t="shared" si="6"/>
        <v>11.96</v>
      </c>
      <c r="H284" s="39"/>
      <c r="I284" s="92"/>
    </row>
    <row r="285" spans="1:9" ht="15">
      <c r="B285" s="90"/>
      <c r="C285" s="45"/>
      <c r="D285" s="91"/>
      <c r="E285" s="39" t="s">
        <v>24</v>
      </c>
      <c r="F285" s="39"/>
      <c r="G285" s="39">
        <f>TRUNC(SUM(G280:G284),2)</f>
        <v>13.98</v>
      </c>
      <c r="H285" s="39"/>
      <c r="I285" s="92"/>
    </row>
    <row r="286" spans="1:9" ht="30">
      <c r="A286" s="41" t="s">
        <v>329</v>
      </c>
      <c r="B286" s="46" t="s">
        <v>335</v>
      </c>
      <c r="C286" s="46" t="s">
        <v>336</v>
      </c>
      <c r="D286" s="41" t="s">
        <v>32</v>
      </c>
      <c r="E286" s="14">
        <f>1.48*2*1.6*2.6</f>
        <v>12.313599999999999</v>
      </c>
      <c r="F286" s="14">
        <f>TRUNC(F287+F331,2)</f>
        <v>15.77</v>
      </c>
      <c r="G286" s="14">
        <f>TRUNC(F286*1.2882,2)</f>
        <v>20.309999999999999</v>
      </c>
      <c r="H286" s="14">
        <f>TRUNC(F286*E286,2)</f>
        <v>194.18</v>
      </c>
      <c r="I286" s="14">
        <f>TRUNC(E286*G286,2)</f>
        <v>250.08</v>
      </c>
    </row>
    <row r="287" spans="1:9" ht="30">
      <c r="B287" s="90" t="s">
        <v>335</v>
      </c>
      <c r="C287" s="45" t="s">
        <v>336</v>
      </c>
      <c r="D287" s="91" t="s">
        <v>32</v>
      </c>
      <c r="E287" s="39">
        <v>1</v>
      </c>
      <c r="F287" s="39">
        <f>G293</f>
        <v>15.77</v>
      </c>
      <c r="G287" s="39">
        <f t="shared" ref="G287:G292" si="7">TRUNC(E287*F287,2)</f>
        <v>15.77</v>
      </c>
      <c r="H287" s="39"/>
      <c r="I287" s="92"/>
    </row>
    <row r="288" spans="1:9" ht="30">
      <c r="B288" s="90" t="s">
        <v>133</v>
      </c>
      <c r="C288" s="45" t="s">
        <v>134</v>
      </c>
      <c r="D288" s="91" t="s">
        <v>32</v>
      </c>
      <c r="E288" s="39">
        <v>1.0500000000000001E-2</v>
      </c>
      <c r="F288" s="39">
        <f>TRUNC(26.5,2)</f>
        <v>26.5</v>
      </c>
      <c r="G288" s="39">
        <f t="shared" si="7"/>
        <v>0.27</v>
      </c>
      <c r="H288" s="39"/>
      <c r="I288" s="92"/>
    </row>
    <row r="289" spans="1:9" ht="30">
      <c r="B289" s="90" t="s">
        <v>321</v>
      </c>
      <c r="C289" s="45" t="s">
        <v>322</v>
      </c>
      <c r="D289" s="91" t="s">
        <v>7</v>
      </c>
      <c r="E289" s="39">
        <v>1.9590000000000001</v>
      </c>
      <c r="F289" s="39">
        <f>TRUNC(0.22,2)</f>
        <v>0.22</v>
      </c>
      <c r="G289" s="39">
        <f t="shared" si="7"/>
        <v>0.43</v>
      </c>
      <c r="H289" s="39"/>
      <c r="I289" s="92"/>
    </row>
    <row r="290" spans="1:9" ht="45">
      <c r="B290" s="90" t="s">
        <v>337</v>
      </c>
      <c r="C290" s="45" t="s">
        <v>338</v>
      </c>
      <c r="D290" s="91" t="s">
        <v>16</v>
      </c>
      <c r="E290" s="39">
        <v>0.71199999999999997</v>
      </c>
      <c r="F290" s="39">
        <f>TRUNC(15.93,2)</f>
        <v>15.93</v>
      </c>
      <c r="G290" s="39">
        <f t="shared" si="7"/>
        <v>11.34</v>
      </c>
      <c r="H290" s="39"/>
      <c r="I290" s="92"/>
    </row>
    <row r="291" spans="1:9" ht="15">
      <c r="B291" s="90" t="s">
        <v>323</v>
      </c>
      <c r="C291" s="45" t="s">
        <v>324</v>
      </c>
      <c r="D291" s="91" t="s">
        <v>35</v>
      </c>
      <c r="E291" s="39">
        <v>0.11600000000000001</v>
      </c>
      <c r="F291" s="39">
        <f>TRUNC(28.47,2)</f>
        <v>28.47</v>
      </c>
      <c r="G291" s="39">
        <f t="shared" si="7"/>
        <v>3.3</v>
      </c>
      <c r="H291" s="39"/>
      <c r="I291" s="92"/>
    </row>
    <row r="292" spans="1:9" ht="15">
      <c r="B292" s="90" t="s">
        <v>325</v>
      </c>
      <c r="C292" s="45" t="s">
        <v>326</v>
      </c>
      <c r="D292" s="91" t="s">
        <v>35</v>
      </c>
      <c r="E292" s="39">
        <v>1.9E-2</v>
      </c>
      <c r="F292" s="39">
        <f>TRUNC(22.81,2)</f>
        <v>22.81</v>
      </c>
      <c r="G292" s="39">
        <f t="shared" si="7"/>
        <v>0.43</v>
      </c>
      <c r="H292" s="39"/>
      <c r="I292" s="92"/>
    </row>
    <row r="293" spans="1:9" ht="15">
      <c r="B293" s="90"/>
      <c r="C293" s="45"/>
      <c r="D293" s="91"/>
      <c r="E293" s="39" t="s">
        <v>24</v>
      </c>
      <c r="F293" s="39"/>
      <c r="G293" s="39">
        <f>TRUNC(SUM(G288:G292),2)</f>
        <v>15.77</v>
      </c>
      <c r="H293" s="39"/>
      <c r="I293" s="92"/>
    </row>
    <row r="294" spans="1:9" ht="15">
      <c r="A294" s="41" t="s">
        <v>340</v>
      </c>
      <c r="B294" s="46" t="s">
        <v>343</v>
      </c>
      <c r="C294" s="46" t="s">
        <v>344</v>
      </c>
      <c r="D294" s="41" t="s">
        <v>18</v>
      </c>
      <c r="E294" s="14">
        <v>6</v>
      </c>
      <c r="F294" s="14">
        <f>TRUNC(F295+F339,2)</f>
        <v>18</v>
      </c>
      <c r="G294" s="14">
        <f>TRUNC(F294*1.2882,2)</f>
        <v>23.18</v>
      </c>
      <c r="H294" s="14">
        <f>TRUNC(F294*E294,2)</f>
        <v>108</v>
      </c>
      <c r="I294" s="14">
        <f>TRUNC(E294*G294,2)</f>
        <v>139.08000000000001</v>
      </c>
    </row>
    <row r="295" spans="1:9" ht="15">
      <c r="B295" s="90" t="s">
        <v>343</v>
      </c>
      <c r="C295" s="45" t="s">
        <v>344</v>
      </c>
      <c r="D295" s="91" t="s">
        <v>18</v>
      </c>
      <c r="E295" s="39">
        <v>1</v>
      </c>
      <c r="F295" s="39">
        <f>G297</f>
        <v>18</v>
      </c>
      <c r="G295" s="39">
        <f>TRUNC(E295*F295,2)</f>
        <v>18</v>
      </c>
      <c r="H295" s="39"/>
      <c r="I295" s="92"/>
    </row>
    <row r="296" spans="1:9" ht="30">
      <c r="B296" s="90" t="s">
        <v>33</v>
      </c>
      <c r="C296" s="45" t="s">
        <v>34</v>
      </c>
      <c r="D296" s="91" t="s">
        <v>35</v>
      </c>
      <c r="E296" s="39">
        <v>1.1844999999999999</v>
      </c>
      <c r="F296" s="39">
        <f>TRUNC(15.2,2)</f>
        <v>15.2</v>
      </c>
      <c r="G296" s="39">
        <f>TRUNC(E296*F296,2)</f>
        <v>18</v>
      </c>
      <c r="H296" s="39"/>
      <c r="I296" s="92"/>
    </row>
    <row r="297" spans="1:9" ht="15">
      <c r="B297" s="90"/>
      <c r="C297" s="45"/>
      <c r="D297" s="91"/>
      <c r="E297" s="39" t="s">
        <v>24</v>
      </c>
      <c r="F297" s="39"/>
      <c r="G297" s="39">
        <f>TRUNC(SUM(G296:G296),2)</f>
        <v>18</v>
      </c>
      <c r="H297" s="39"/>
      <c r="I297" s="92"/>
    </row>
    <row r="298" spans="1:9" ht="45">
      <c r="A298" s="41" t="s">
        <v>341</v>
      </c>
      <c r="B298" s="46" t="s">
        <v>345</v>
      </c>
      <c r="C298" s="46" t="s">
        <v>346</v>
      </c>
      <c r="D298" s="41" t="s">
        <v>32</v>
      </c>
      <c r="E298" s="14">
        <f>49.49+54.01+37.85+7.09</f>
        <v>148.44</v>
      </c>
      <c r="F298" s="14">
        <f>TRUNC(F299+F341,2)</f>
        <v>13.71</v>
      </c>
      <c r="G298" s="14">
        <f>TRUNC(F298*1.2882,2)</f>
        <v>17.66</v>
      </c>
      <c r="H298" s="14">
        <f>TRUNC(F298*E298,2)</f>
        <v>2035.11</v>
      </c>
      <c r="I298" s="14">
        <f>TRUNC(E298*G298,2)</f>
        <v>2621.45</v>
      </c>
    </row>
    <row r="299" spans="1:9" ht="45">
      <c r="B299" s="90" t="s">
        <v>345</v>
      </c>
      <c r="C299" s="45" t="s">
        <v>346</v>
      </c>
      <c r="D299" s="91" t="s">
        <v>32</v>
      </c>
      <c r="E299" s="39">
        <v>1</v>
      </c>
      <c r="F299" s="39">
        <f>TRUNC(13.7124054,2)</f>
        <v>13.71</v>
      </c>
      <c r="G299" s="39">
        <f>TRUNC(E299*F299,2)</f>
        <v>13.71</v>
      </c>
      <c r="H299" s="39"/>
      <c r="I299" s="92"/>
    </row>
    <row r="300" spans="1:9" ht="30">
      <c r="B300" s="90" t="s">
        <v>347</v>
      </c>
      <c r="C300" s="45" t="s">
        <v>348</v>
      </c>
      <c r="D300" s="91" t="s">
        <v>32</v>
      </c>
      <c r="E300" s="39">
        <v>1.05</v>
      </c>
      <c r="F300" s="39">
        <f>TRUNC(11.3387,2)</f>
        <v>11.33</v>
      </c>
      <c r="G300" s="39">
        <f>TRUNC(E300*F300,2)</f>
        <v>11.89</v>
      </c>
      <c r="H300" s="39"/>
      <c r="I300" s="92"/>
    </row>
    <row r="301" spans="1:9" ht="30">
      <c r="B301" s="90" t="s">
        <v>349</v>
      </c>
      <c r="C301" s="45" t="s">
        <v>350</v>
      </c>
      <c r="D301" s="91" t="s">
        <v>35</v>
      </c>
      <c r="E301" s="39">
        <v>4.1200000000000001E-2</v>
      </c>
      <c r="F301" s="39">
        <f>TRUNC(22.6,2)</f>
        <v>22.6</v>
      </c>
      <c r="G301" s="39">
        <f>TRUNC(E301*F301,2)</f>
        <v>0.93</v>
      </c>
      <c r="H301" s="39"/>
      <c r="I301" s="92"/>
    </row>
    <row r="302" spans="1:9" ht="30">
      <c r="B302" s="90" t="s">
        <v>351</v>
      </c>
      <c r="C302" s="45" t="s">
        <v>352</v>
      </c>
      <c r="D302" s="91" t="s">
        <v>35</v>
      </c>
      <c r="E302" s="39">
        <v>4.1200000000000001E-2</v>
      </c>
      <c r="F302" s="39">
        <f>TRUNC(15.2,2)</f>
        <v>15.2</v>
      </c>
      <c r="G302" s="39">
        <f>TRUNC(E302*F302,2)</f>
        <v>0.62</v>
      </c>
      <c r="H302" s="39"/>
      <c r="I302" s="92"/>
    </row>
    <row r="303" spans="1:9" ht="15">
      <c r="B303" s="90" t="s">
        <v>353</v>
      </c>
      <c r="C303" s="45" t="s">
        <v>354</v>
      </c>
      <c r="D303" s="91" t="s">
        <v>18</v>
      </c>
      <c r="E303" s="39">
        <v>6.0000000000000001E-3</v>
      </c>
      <c r="F303" s="39">
        <f>TRUNC(41.5684,2)</f>
        <v>41.56</v>
      </c>
      <c r="G303" s="39">
        <f>TRUNC(E303*F303,2)</f>
        <v>0.24</v>
      </c>
      <c r="H303" s="39"/>
      <c r="I303" s="92"/>
    </row>
    <row r="304" spans="1:9" ht="15">
      <c r="B304" s="90"/>
      <c r="C304" s="45"/>
      <c r="D304" s="91"/>
      <c r="E304" s="39" t="s">
        <v>24</v>
      </c>
      <c r="F304" s="39"/>
      <c r="G304" s="39">
        <f>TRUNC(SUM(G300:G303),2)</f>
        <v>13.68</v>
      </c>
      <c r="H304" s="39"/>
      <c r="I304" s="92"/>
    </row>
    <row r="305" spans="1:9" ht="30">
      <c r="A305" s="41" t="s">
        <v>342</v>
      </c>
      <c r="B305" s="46" t="s">
        <v>355</v>
      </c>
      <c r="C305" s="46" t="s">
        <v>356</v>
      </c>
      <c r="D305" s="41" t="s">
        <v>7</v>
      </c>
      <c r="E305" s="14">
        <v>8</v>
      </c>
      <c r="F305" s="14">
        <f>TRUNC(F306+F343,2)</f>
        <v>10.64</v>
      </c>
      <c r="G305" s="14">
        <f>TRUNC(F305*1.2882,2)</f>
        <v>13.7</v>
      </c>
      <c r="H305" s="14">
        <f>TRUNC(F305*E305,2)</f>
        <v>85.12</v>
      </c>
      <c r="I305" s="14">
        <f>TRUNC(E305*G305,2)</f>
        <v>109.6</v>
      </c>
    </row>
    <row r="306" spans="1:9" ht="30">
      <c r="B306" s="90" t="s">
        <v>355</v>
      </c>
      <c r="C306" s="45" t="s">
        <v>356</v>
      </c>
      <c r="D306" s="91" t="s">
        <v>7</v>
      </c>
      <c r="E306" s="39">
        <v>1</v>
      </c>
      <c r="F306" s="39">
        <f>G308</f>
        <v>10.64</v>
      </c>
      <c r="G306" s="39">
        <f>TRUNC(E306*F306,2)</f>
        <v>10.64</v>
      </c>
      <c r="H306" s="39"/>
      <c r="I306" s="92"/>
    </row>
    <row r="307" spans="1:9" ht="15">
      <c r="B307" s="90" t="s">
        <v>357</v>
      </c>
      <c r="C307" s="45" t="s">
        <v>358</v>
      </c>
      <c r="D307" s="91" t="s">
        <v>7</v>
      </c>
      <c r="E307" s="39">
        <v>1</v>
      </c>
      <c r="F307" s="39">
        <f>TRUNC(10.64,2)</f>
        <v>10.64</v>
      </c>
      <c r="G307" s="39">
        <f>TRUNC(E307*F307,2)</f>
        <v>10.64</v>
      </c>
      <c r="H307" s="39"/>
      <c r="I307" s="92"/>
    </row>
    <row r="308" spans="1:9" ht="15">
      <c r="B308" s="90"/>
      <c r="C308" s="45"/>
      <c r="D308" s="91"/>
      <c r="E308" s="39" t="s">
        <v>24</v>
      </c>
      <c r="F308" s="39"/>
      <c r="G308" s="39">
        <f>TRUNC(SUM(G307:G307),2)</f>
        <v>10.64</v>
      </c>
      <c r="H308" s="39"/>
      <c r="I308" s="92"/>
    </row>
    <row r="309" spans="1:9" ht="90">
      <c r="A309" s="41" t="s">
        <v>360</v>
      </c>
      <c r="B309" s="46" t="s">
        <v>361</v>
      </c>
      <c r="C309" s="46" t="s">
        <v>362</v>
      </c>
      <c r="D309" s="41" t="s">
        <v>16</v>
      </c>
      <c r="E309" s="14">
        <f>2.29*3.4</f>
        <v>7.7859999999999996</v>
      </c>
      <c r="F309" s="14">
        <f>TRUNC(F310+F347,2)</f>
        <v>78.459999999999994</v>
      </c>
      <c r="G309" s="14">
        <f>TRUNC(F309*1.2882,2)</f>
        <v>101.07</v>
      </c>
      <c r="H309" s="14">
        <f>TRUNC(F309*E309,2)</f>
        <v>610.88</v>
      </c>
      <c r="I309" s="14">
        <f>TRUNC(E309*G309,2)</f>
        <v>786.93</v>
      </c>
    </row>
    <row r="310" spans="1:9" ht="90">
      <c r="B310" s="90" t="s">
        <v>361</v>
      </c>
      <c r="C310" s="45" t="s">
        <v>362</v>
      </c>
      <c r="D310" s="91" t="s">
        <v>16</v>
      </c>
      <c r="E310" s="39">
        <v>1</v>
      </c>
      <c r="F310" s="39">
        <f>TRUNC(78.4648,2)</f>
        <v>78.459999999999994</v>
      </c>
      <c r="G310" s="39">
        <f>TRUNC(E310*F310,2)</f>
        <v>78.459999999999994</v>
      </c>
      <c r="H310" s="39"/>
      <c r="I310" s="92"/>
    </row>
    <row r="311" spans="1:9" ht="15">
      <c r="B311" s="90" t="s">
        <v>363</v>
      </c>
      <c r="C311" s="45" t="s">
        <v>364</v>
      </c>
      <c r="D311" s="91" t="s">
        <v>16</v>
      </c>
      <c r="E311" s="39">
        <v>1.1000000000000001</v>
      </c>
      <c r="F311" s="39">
        <f>TRUNC(50.39,2)</f>
        <v>50.39</v>
      </c>
      <c r="G311" s="39">
        <f>TRUNC(E311*F311,2)</f>
        <v>55.42</v>
      </c>
      <c r="H311" s="39"/>
      <c r="I311" s="92"/>
    </row>
    <row r="312" spans="1:9" ht="30">
      <c r="B312" s="90" t="s">
        <v>365</v>
      </c>
      <c r="C312" s="45" t="s">
        <v>366</v>
      </c>
      <c r="D312" s="91" t="s">
        <v>7</v>
      </c>
      <c r="E312" s="39">
        <v>1.5</v>
      </c>
      <c r="F312" s="39">
        <f>TRUNC(7.9,2)</f>
        <v>7.9</v>
      </c>
      <c r="G312" s="39">
        <f>TRUNC(E312*F312,2)</f>
        <v>11.85</v>
      </c>
      <c r="H312" s="39"/>
      <c r="I312" s="92"/>
    </row>
    <row r="313" spans="1:9" ht="30">
      <c r="B313" s="90" t="s">
        <v>33</v>
      </c>
      <c r="C313" s="45" t="s">
        <v>34</v>
      </c>
      <c r="D313" s="91" t="s">
        <v>35</v>
      </c>
      <c r="E313" s="39">
        <v>0.309</v>
      </c>
      <c r="F313" s="39">
        <f>TRUNC(15.2,2)</f>
        <v>15.2</v>
      </c>
      <c r="G313" s="39">
        <f>TRUNC(E313*F313,2)</f>
        <v>4.6900000000000004</v>
      </c>
      <c r="H313" s="39"/>
      <c r="I313" s="92"/>
    </row>
    <row r="314" spans="1:9" ht="30">
      <c r="B314" s="90" t="s">
        <v>313</v>
      </c>
      <c r="C314" s="45" t="s">
        <v>314</v>
      </c>
      <c r="D314" s="91" t="s">
        <v>35</v>
      </c>
      <c r="E314" s="39">
        <v>0.309</v>
      </c>
      <c r="F314" s="39">
        <f>TRUNC(21,2)</f>
        <v>21</v>
      </c>
      <c r="G314" s="39">
        <f>TRUNC(E314*F314,2)</f>
        <v>6.48</v>
      </c>
      <c r="H314" s="39"/>
      <c r="I314" s="92"/>
    </row>
    <row r="315" spans="1:9" ht="15">
      <c r="B315" s="90"/>
      <c r="C315" s="45"/>
      <c r="D315" s="91"/>
      <c r="E315" s="39" t="s">
        <v>24</v>
      </c>
      <c r="F315" s="39"/>
      <c r="G315" s="39">
        <f>TRUNC(SUM(G311:G314),2)</f>
        <v>78.44</v>
      </c>
      <c r="H315" s="39"/>
      <c r="I315" s="92"/>
    </row>
    <row r="316" spans="1:9" s="57" customFormat="1" ht="15.75">
      <c r="A316" s="58" t="s">
        <v>17</v>
      </c>
      <c r="B316" s="59"/>
      <c r="C316" s="60"/>
      <c r="D316" s="58"/>
      <c r="E316" s="61"/>
      <c r="F316" s="62"/>
      <c r="G316" s="97" t="s">
        <v>334</v>
      </c>
      <c r="H316" s="98"/>
      <c r="I316" s="62">
        <f>I252+I260+I270+I278+I286+I294+I298+I305+I309</f>
        <v>5653.4600000000009</v>
      </c>
    </row>
    <row r="317" spans="1:9">
      <c r="A317" s="47"/>
      <c r="B317" s="48"/>
      <c r="C317" s="49"/>
      <c r="D317" s="50"/>
      <c r="E317" s="49"/>
      <c r="F317" s="49"/>
      <c r="G317" s="49"/>
      <c r="H317" s="49"/>
      <c r="I317" s="51"/>
    </row>
    <row r="318" spans="1:9">
      <c r="A318" s="47"/>
      <c r="B318" s="48"/>
      <c r="C318" s="49"/>
      <c r="D318" s="50"/>
      <c r="E318" s="49"/>
      <c r="F318" s="49"/>
      <c r="G318" s="49"/>
      <c r="H318" s="49"/>
      <c r="I318" s="51"/>
    </row>
    <row r="319" spans="1:9">
      <c r="A319" s="47"/>
      <c r="B319" s="48"/>
      <c r="C319" s="49"/>
      <c r="D319" s="50"/>
      <c r="E319" s="49"/>
      <c r="F319" s="49"/>
      <c r="G319" s="49"/>
      <c r="H319" s="49"/>
      <c r="I319" s="51"/>
    </row>
    <row r="320" spans="1:9">
      <c r="A320" s="47"/>
      <c r="B320" s="48"/>
      <c r="C320" s="49"/>
      <c r="D320" s="50"/>
      <c r="E320" s="49"/>
      <c r="F320" s="49"/>
      <c r="G320" s="49"/>
      <c r="H320" s="49"/>
      <c r="I320" s="51"/>
    </row>
    <row r="321" spans="1:9">
      <c r="A321" s="47"/>
      <c r="B321" s="48"/>
      <c r="C321" s="49"/>
      <c r="D321" s="50"/>
      <c r="E321" s="49"/>
      <c r="F321" s="49"/>
      <c r="G321" s="49"/>
      <c r="H321" s="49"/>
      <c r="I321" s="51"/>
    </row>
    <row r="322" spans="1:9">
      <c r="A322" s="47"/>
      <c r="B322" s="48"/>
      <c r="C322" s="49"/>
      <c r="D322" s="50"/>
      <c r="E322" s="49"/>
      <c r="F322" s="49"/>
      <c r="G322" s="49"/>
      <c r="H322" s="49"/>
      <c r="I322" s="51"/>
    </row>
    <row r="323" spans="1:9">
      <c r="A323" s="47"/>
      <c r="B323" s="48"/>
      <c r="C323" s="49"/>
      <c r="D323" s="50"/>
      <c r="E323" s="49"/>
      <c r="F323" s="49"/>
      <c r="G323" s="49"/>
      <c r="H323" s="49"/>
      <c r="I323" s="51"/>
    </row>
    <row r="324" spans="1:9">
      <c r="A324" s="47"/>
      <c r="B324" s="48"/>
      <c r="C324" s="49"/>
      <c r="D324" s="50"/>
      <c r="E324" s="49"/>
      <c r="F324" s="49"/>
      <c r="G324" s="49"/>
      <c r="H324" s="49"/>
      <c r="I324" s="51"/>
    </row>
    <row r="325" spans="1:9">
      <c r="A325" s="47"/>
      <c r="B325" s="48"/>
      <c r="C325" s="49"/>
      <c r="D325" s="50"/>
      <c r="E325" s="49"/>
      <c r="F325" s="49"/>
      <c r="G325" s="49"/>
      <c r="H325" s="49"/>
      <c r="I325" s="51"/>
    </row>
    <row r="326" spans="1:9">
      <c r="A326" s="47"/>
      <c r="B326" s="48"/>
      <c r="C326" s="49"/>
      <c r="D326" s="50"/>
      <c r="E326" s="49"/>
      <c r="F326" s="49"/>
      <c r="G326" s="49"/>
      <c r="H326" s="49"/>
      <c r="I326" s="51"/>
    </row>
    <row r="327" spans="1:9">
      <c r="A327" s="47"/>
      <c r="B327" s="48"/>
      <c r="C327" s="49"/>
      <c r="D327" s="50"/>
      <c r="E327" s="49"/>
      <c r="F327" s="49"/>
      <c r="G327" s="49"/>
      <c r="H327" s="49"/>
      <c r="I327" s="51"/>
    </row>
    <row r="328" spans="1:9">
      <c r="A328" s="47"/>
      <c r="B328" s="48"/>
      <c r="C328" s="49"/>
      <c r="D328" s="50"/>
      <c r="E328" s="49"/>
      <c r="F328" s="49"/>
      <c r="G328" s="49"/>
      <c r="H328" s="49"/>
      <c r="I328" s="51"/>
    </row>
    <row r="329" spans="1:9">
      <c r="A329" s="47"/>
      <c r="B329" s="48"/>
      <c r="C329" s="49"/>
      <c r="D329" s="50"/>
      <c r="E329" s="49"/>
      <c r="F329" s="49"/>
      <c r="G329" s="49"/>
      <c r="H329" s="49"/>
      <c r="I329" s="51"/>
    </row>
    <row r="330" spans="1:9">
      <c r="A330" s="47"/>
      <c r="B330" s="48"/>
      <c r="C330" s="49"/>
      <c r="D330" s="50"/>
      <c r="E330" s="49"/>
      <c r="F330" s="49"/>
      <c r="G330" s="49"/>
      <c r="H330" s="49"/>
      <c r="I330" s="51"/>
    </row>
    <row r="331" spans="1:9">
      <c r="A331" s="47"/>
      <c r="B331" s="48"/>
      <c r="C331" s="49"/>
      <c r="D331" s="50"/>
      <c r="E331" s="49"/>
      <c r="F331" s="49"/>
      <c r="G331" s="49"/>
      <c r="H331" s="49"/>
      <c r="I331" s="51"/>
    </row>
    <row r="332" spans="1:9">
      <c r="A332" s="47"/>
      <c r="B332" s="48"/>
      <c r="C332" s="49"/>
      <c r="D332" s="50"/>
      <c r="E332" s="49"/>
      <c r="F332" s="49"/>
      <c r="G332" s="49"/>
      <c r="H332" s="49"/>
      <c r="I332" s="51"/>
    </row>
    <row r="333" spans="1:9">
      <c r="A333" s="47"/>
      <c r="B333" s="48"/>
      <c r="C333" s="49"/>
      <c r="D333" s="50"/>
      <c r="E333" s="49"/>
      <c r="F333" s="49"/>
      <c r="G333" s="49"/>
      <c r="H333" s="49"/>
      <c r="I333" s="51"/>
    </row>
    <row r="334" spans="1:9">
      <c r="A334" s="47"/>
      <c r="B334" s="48"/>
      <c r="C334" s="49"/>
      <c r="D334" s="50"/>
      <c r="E334" s="49"/>
      <c r="F334" s="49"/>
      <c r="G334" s="49"/>
      <c r="H334" s="49"/>
      <c r="I334" s="51"/>
    </row>
    <row r="335" spans="1:9">
      <c r="A335" s="47"/>
      <c r="B335" s="48"/>
      <c r="C335" s="49"/>
      <c r="D335" s="50"/>
      <c r="E335" s="49"/>
      <c r="F335" s="49"/>
      <c r="G335" s="49"/>
      <c r="H335" s="49"/>
      <c r="I335" s="51"/>
    </row>
    <row r="336" spans="1:9">
      <c r="A336" s="47"/>
      <c r="B336" s="48"/>
      <c r="C336" s="49"/>
      <c r="D336" s="50"/>
      <c r="E336" s="49"/>
      <c r="F336" s="49"/>
      <c r="G336" s="49"/>
      <c r="H336" s="49"/>
      <c r="I336" s="51"/>
    </row>
    <row r="337" spans="1:9">
      <c r="A337" s="47"/>
      <c r="B337" s="48"/>
      <c r="C337" s="49"/>
      <c r="D337" s="50"/>
      <c r="E337" s="49"/>
      <c r="F337" s="49"/>
      <c r="G337" s="49"/>
      <c r="H337" s="49"/>
      <c r="I337" s="51"/>
    </row>
    <row r="338" spans="1:9">
      <c r="A338" s="47"/>
      <c r="B338" s="48"/>
      <c r="C338" s="49"/>
      <c r="D338" s="50"/>
      <c r="E338" s="49"/>
      <c r="F338" s="49"/>
      <c r="G338" s="49"/>
      <c r="H338" s="49"/>
      <c r="I338" s="51"/>
    </row>
    <row r="339" spans="1:9">
      <c r="A339" s="47"/>
      <c r="B339" s="48"/>
      <c r="C339" s="49"/>
      <c r="D339" s="50"/>
      <c r="E339" s="49"/>
      <c r="F339" s="49"/>
      <c r="G339" s="49"/>
      <c r="H339" s="49"/>
      <c r="I339" s="51"/>
    </row>
    <row r="340" spans="1:9">
      <c r="A340" s="47"/>
      <c r="B340" s="48"/>
      <c r="C340" s="49"/>
      <c r="D340" s="50"/>
      <c r="E340" s="49"/>
      <c r="F340" s="49"/>
      <c r="G340" s="49"/>
      <c r="H340" s="49"/>
      <c r="I340" s="51"/>
    </row>
    <row r="341" spans="1:9">
      <c r="A341" s="47"/>
      <c r="B341" s="48"/>
      <c r="C341" s="49"/>
      <c r="D341" s="50"/>
      <c r="E341" s="49"/>
      <c r="F341" s="49"/>
      <c r="G341" s="49"/>
      <c r="H341" s="49"/>
      <c r="I341" s="51"/>
    </row>
    <row r="342" spans="1:9">
      <c r="A342" s="47"/>
      <c r="B342" s="48"/>
      <c r="C342" s="49"/>
      <c r="D342" s="50"/>
      <c r="E342" s="49"/>
      <c r="F342" s="49"/>
      <c r="G342" s="49"/>
      <c r="H342" s="49"/>
      <c r="I342" s="51"/>
    </row>
    <row r="343" spans="1:9">
      <c r="A343" s="47"/>
      <c r="B343" s="48"/>
      <c r="C343" s="49"/>
      <c r="D343" s="50"/>
      <c r="E343" s="49"/>
      <c r="F343" s="49"/>
      <c r="G343" s="49"/>
      <c r="H343" s="49"/>
      <c r="I343" s="51"/>
    </row>
    <row r="344" spans="1:9">
      <c r="A344" s="47"/>
      <c r="B344" s="48"/>
      <c r="C344" s="49"/>
      <c r="D344" s="50"/>
      <c r="E344" s="49"/>
      <c r="F344" s="49"/>
      <c r="G344" s="49"/>
      <c r="H344" s="49"/>
      <c r="I344" s="51"/>
    </row>
    <row r="345" spans="1:9">
      <c r="A345" s="47"/>
      <c r="B345" s="48"/>
      <c r="C345" s="49"/>
      <c r="D345" s="50"/>
      <c r="E345" s="49"/>
      <c r="F345" s="49"/>
      <c r="G345" s="49"/>
      <c r="H345" s="49"/>
      <c r="I345" s="51"/>
    </row>
    <row r="346" spans="1:9">
      <c r="A346" s="47"/>
      <c r="B346" s="48"/>
      <c r="C346" s="49"/>
      <c r="D346" s="50"/>
      <c r="E346" s="49"/>
      <c r="F346" s="49"/>
      <c r="G346" s="49"/>
      <c r="H346" s="49"/>
      <c r="I346" s="51"/>
    </row>
    <row r="347" spans="1:9">
      <c r="A347" s="47"/>
      <c r="B347" s="48"/>
      <c r="C347" s="49"/>
      <c r="D347" s="50"/>
      <c r="E347" s="49"/>
      <c r="F347" s="49"/>
      <c r="G347" s="49"/>
      <c r="H347" s="49"/>
      <c r="I347" s="51"/>
    </row>
    <row r="348" spans="1:9">
      <c r="A348" s="47"/>
      <c r="B348" s="48"/>
      <c r="C348" s="49"/>
      <c r="D348" s="50"/>
      <c r="E348" s="49"/>
      <c r="F348" s="49"/>
      <c r="G348" s="49"/>
      <c r="H348" s="49"/>
      <c r="I348" s="51"/>
    </row>
    <row r="349" spans="1:9">
      <c r="A349" s="47"/>
      <c r="B349" s="48"/>
      <c r="C349" s="49"/>
      <c r="D349" s="50"/>
      <c r="E349" s="49"/>
      <c r="F349" s="49"/>
      <c r="G349" s="49"/>
      <c r="H349" s="49"/>
      <c r="I349" s="51"/>
    </row>
    <row r="350" spans="1:9">
      <c r="A350" s="47"/>
      <c r="B350" s="48"/>
      <c r="C350" s="49"/>
      <c r="D350" s="50"/>
      <c r="E350" s="49"/>
      <c r="F350" s="49"/>
      <c r="G350" s="49"/>
      <c r="H350" s="49"/>
      <c r="I350" s="51"/>
    </row>
    <row r="351" spans="1:9">
      <c r="A351" s="47"/>
      <c r="B351" s="48"/>
      <c r="C351" s="49"/>
      <c r="D351" s="50"/>
      <c r="E351" s="49"/>
      <c r="F351" s="49"/>
      <c r="G351" s="49"/>
      <c r="H351" s="49"/>
      <c r="I351" s="51"/>
    </row>
    <row r="352" spans="1:9">
      <c r="A352" s="47"/>
      <c r="B352" s="48"/>
      <c r="C352" s="49"/>
      <c r="D352" s="50"/>
      <c r="E352" s="49"/>
      <c r="F352" s="49"/>
      <c r="G352" s="49"/>
      <c r="H352" s="49"/>
      <c r="I352" s="51"/>
    </row>
    <row r="353" spans="1:9">
      <c r="A353" s="47"/>
      <c r="B353" s="48"/>
      <c r="C353" s="49"/>
      <c r="D353" s="50"/>
      <c r="E353" s="49"/>
      <c r="F353" s="49"/>
      <c r="G353" s="49"/>
      <c r="H353" s="49"/>
      <c r="I353" s="51"/>
    </row>
    <row r="354" spans="1:9">
      <c r="A354" s="47"/>
      <c r="B354" s="48"/>
      <c r="C354" s="49"/>
      <c r="D354" s="50"/>
      <c r="E354" s="49"/>
      <c r="F354" s="49"/>
      <c r="G354" s="49"/>
      <c r="H354" s="49"/>
      <c r="I354" s="51"/>
    </row>
    <row r="355" spans="1:9">
      <c r="A355" s="47"/>
      <c r="B355" s="48"/>
      <c r="C355" s="49"/>
      <c r="D355" s="50"/>
      <c r="E355" s="49"/>
      <c r="F355" s="49"/>
      <c r="G355" s="49"/>
      <c r="H355" s="49"/>
      <c r="I355" s="51"/>
    </row>
    <row r="356" spans="1:9">
      <c r="A356" s="47"/>
      <c r="B356" s="48"/>
      <c r="C356" s="49"/>
      <c r="D356" s="50"/>
      <c r="E356" s="49"/>
      <c r="F356" s="49"/>
      <c r="G356" s="49"/>
      <c r="H356" s="49"/>
      <c r="I356" s="51"/>
    </row>
    <row r="357" spans="1:9">
      <c r="A357" s="47"/>
      <c r="B357" s="48"/>
      <c r="C357" s="49"/>
      <c r="D357" s="50"/>
      <c r="E357" s="49"/>
      <c r="F357" s="49"/>
      <c r="G357" s="49"/>
      <c r="H357" s="49"/>
      <c r="I357" s="51"/>
    </row>
    <row r="358" spans="1:9">
      <c r="A358" s="47"/>
      <c r="B358" s="48"/>
      <c r="C358" s="49"/>
      <c r="D358" s="50"/>
      <c r="E358" s="49"/>
      <c r="F358" s="49"/>
      <c r="G358" s="49"/>
      <c r="H358" s="49"/>
      <c r="I358" s="51"/>
    </row>
    <row r="359" spans="1:9">
      <c r="A359" s="47"/>
      <c r="B359" s="48"/>
      <c r="C359" s="49"/>
      <c r="D359" s="50"/>
      <c r="E359" s="49"/>
      <c r="F359" s="49"/>
      <c r="G359" s="49"/>
      <c r="H359" s="49"/>
      <c r="I359" s="51"/>
    </row>
    <row r="360" spans="1:9">
      <c r="A360" s="47"/>
      <c r="B360" s="48"/>
      <c r="C360" s="49"/>
      <c r="D360" s="50"/>
      <c r="E360" s="49"/>
      <c r="F360" s="49"/>
      <c r="G360" s="49"/>
      <c r="H360" s="49"/>
      <c r="I360" s="51"/>
    </row>
    <row r="361" spans="1:9">
      <c r="A361" s="47"/>
      <c r="B361" s="48"/>
      <c r="C361" s="49"/>
      <c r="D361" s="50"/>
      <c r="E361" s="49"/>
      <c r="F361" s="49"/>
      <c r="G361" s="49"/>
      <c r="H361" s="49"/>
      <c r="I361" s="51"/>
    </row>
    <row r="362" spans="1:9">
      <c r="A362" s="47"/>
      <c r="B362" s="48"/>
      <c r="C362" s="49"/>
      <c r="D362" s="50"/>
      <c r="E362" s="49"/>
      <c r="F362" s="49"/>
      <c r="G362" s="49"/>
      <c r="H362" s="49"/>
      <c r="I362" s="51"/>
    </row>
    <row r="363" spans="1:9">
      <c r="A363" s="47"/>
      <c r="B363" s="48"/>
      <c r="C363" s="49"/>
      <c r="D363" s="50"/>
      <c r="E363" s="49"/>
      <c r="F363" s="49"/>
      <c r="G363" s="49"/>
      <c r="H363" s="49"/>
      <c r="I363" s="51"/>
    </row>
    <row r="364" spans="1:9">
      <c r="A364" s="47"/>
      <c r="B364" s="48"/>
      <c r="C364" s="49"/>
      <c r="D364" s="50"/>
      <c r="E364" s="49"/>
      <c r="F364" s="49"/>
      <c r="G364" s="49"/>
      <c r="H364" s="49"/>
      <c r="I364" s="51"/>
    </row>
    <row r="365" spans="1:9">
      <c r="A365" s="47"/>
      <c r="B365" s="48"/>
      <c r="C365" s="49"/>
      <c r="D365" s="50"/>
      <c r="E365" s="49"/>
      <c r="F365" s="49"/>
      <c r="G365" s="49"/>
      <c r="H365" s="49"/>
      <c r="I365" s="51"/>
    </row>
    <row r="366" spans="1:9">
      <c r="A366" s="47"/>
      <c r="B366" s="48"/>
      <c r="C366" s="49"/>
      <c r="D366" s="50"/>
      <c r="E366" s="49"/>
      <c r="F366" s="49"/>
      <c r="G366" s="49"/>
      <c r="H366" s="49"/>
      <c r="I366" s="51"/>
    </row>
    <row r="367" spans="1:9">
      <c r="A367" s="47"/>
      <c r="B367" s="48"/>
      <c r="C367" s="49"/>
      <c r="D367" s="50"/>
      <c r="E367" s="49"/>
      <c r="F367" s="49"/>
      <c r="G367" s="49"/>
      <c r="H367" s="49"/>
      <c r="I367" s="51"/>
    </row>
    <row r="368" spans="1:9">
      <c r="A368" s="47"/>
      <c r="B368" s="48"/>
      <c r="C368" s="49"/>
      <c r="D368" s="50"/>
      <c r="E368" s="49"/>
      <c r="F368" s="49"/>
      <c r="G368" s="49"/>
      <c r="H368" s="49"/>
      <c r="I368" s="51"/>
    </row>
    <row r="369" spans="1:9">
      <c r="A369" s="47"/>
      <c r="B369" s="48"/>
      <c r="C369" s="49"/>
      <c r="D369" s="50"/>
      <c r="E369" s="49"/>
      <c r="F369" s="49"/>
      <c r="G369" s="49"/>
      <c r="H369" s="49"/>
      <c r="I369" s="51"/>
    </row>
    <row r="370" spans="1:9">
      <c r="A370" s="47"/>
      <c r="B370" s="48"/>
      <c r="C370" s="49"/>
      <c r="D370" s="50"/>
      <c r="E370" s="49"/>
      <c r="F370" s="49"/>
      <c r="G370" s="49"/>
      <c r="H370" s="49"/>
      <c r="I370" s="51"/>
    </row>
    <row r="371" spans="1:9">
      <c r="A371" s="47"/>
      <c r="B371" s="48"/>
      <c r="C371" s="49"/>
      <c r="D371" s="50"/>
      <c r="E371" s="49"/>
      <c r="F371" s="49"/>
      <c r="G371" s="49"/>
      <c r="H371" s="49"/>
      <c r="I371" s="51"/>
    </row>
    <row r="372" spans="1:9">
      <c r="A372" s="47"/>
      <c r="B372" s="48"/>
      <c r="C372" s="49"/>
      <c r="D372" s="50"/>
      <c r="E372" s="49"/>
      <c r="F372" s="49"/>
      <c r="G372" s="49"/>
      <c r="H372" s="49"/>
      <c r="I372" s="51"/>
    </row>
    <row r="373" spans="1:9">
      <c r="A373" s="47"/>
      <c r="B373" s="48"/>
      <c r="C373" s="49"/>
      <c r="D373" s="50"/>
      <c r="E373" s="49"/>
      <c r="F373" s="49"/>
      <c r="G373" s="49"/>
      <c r="H373" s="49"/>
      <c r="I373" s="51"/>
    </row>
    <row r="374" spans="1:9">
      <c r="A374" s="47"/>
      <c r="B374" s="48"/>
      <c r="C374" s="49"/>
      <c r="D374" s="50"/>
      <c r="E374" s="49"/>
      <c r="F374" s="49"/>
      <c r="G374" s="49"/>
      <c r="H374" s="49"/>
      <c r="I374" s="51"/>
    </row>
    <row r="375" spans="1:9">
      <c r="A375" s="47"/>
      <c r="B375" s="48"/>
      <c r="C375" s="49"/>
      <c r="D375" s="50"/>
      <c r="E375" s="49"/>
      <c r="F375" s="49"/>
      <c r="G375" s="49"/>
      <c r="H375" s="49"/>
      <c r="I375" s="51"/>
    </row>
    <row r="376" spans="1:9">
      <c r="A376" s="47"/>
      <c r="B376" s="48"/>
      <c r="C376" s="49"/>
      <c r="D376" s="50"/>
      <c r="E376" s="49"/>
      <c r="F376" s="49"/>
      <c r="G376" s="49"/>
      <c r="H376" s="49"/>
      <c r="I376" s="51"/>
    </row>
    <row r="377" spans="1:9">
      <c r="A377" s="47"/>
      <c r="B377" s="48"/>
      <c r="C377" s="49"/>
      <c r="D377" s="50"/>
      <c r="E377" s="49"/>
      <c r="F377" s="49"/>
      <c r="G377" s="49"/>
      <c r="H377" s="49"/>
      <c r="I377" s="51"/>
    </row>
    <row r="378" spans="1:9">
      <c r="A378" s="47"/>
      <c r="B378" s="48"/>
      <c r="C378" s="49"/>
      <c r="D378" s="50"/>
      <c r="E378" s="49"/>
      <c r="F378" s="49"/>
      <c r="G378" s="49"/>
      <c r="H378" s="49"/>
      <c r="I378" s="51"/>
    </row>
    <row r="379" spans="1:9">
      <c r="A379" s="47"/>
      <c r="B379" s="48"/>
      <c r="C379" s="49"/>
      <c r="D379" s="50"/>
      <c r="E379" s="49"/>
      <c r="F379" s="49"/>
      <c r="G379" s="49"/>
      <c r="H379" s="49"/>
      <c r="I379" s="51"/>
    </row>
    <row r="380" spans="1:9">
      <c r="A380" s="47"/>
      <c r="B380" s="48"/>
      <c r="C380" s="49"/>
      <c r="D380" s="50"/>
      <c r="E380" s="49"/>
      <c r="F380" s="49"/>
      <c r="G380" s="49"/>
      <c r="H380" s="49"/>
      <c r="I380" s="51"/>
    </row>
  </sheetData>
  <mergeCells count="24">
    <mergeCell ref="E10:E11"/>
    <mergeCell ref="F10:I10"/>
    <mergeCell ref="C1:E1"/>
    <mergeCell ref="C2:E2"/>
    <mergeCell ref="C3:E3"/>
    <mergeCell ref="F3:I3"/>
    <mergeCell ref="C4:E4"/>
    <mergeCell ref="F4:I4"/>
    <mergeCell ref="C251:I251"/>
    <mergeCell ref="G316:H316"/>
    <mergeCell ref="C5:E5"/>
    <mergeCell ref="F5:I5"/>
    <mergeCell ref="C6:E6"/>
    <mergeCell ref="F6:I6"/>
    <mergeCell ref="C7:E7"/>
    <mergeCell ref="F7:I7"/>
    <mergeCell ref="C12:I12"/>
    <mergeCell ref="G250:H250"/>
    <mergeCell ref="F8:I8"/>
    <mergeCell ref="A9:I9"/>
    <mergeCell ref="A10:A11"/>
    <mergeCell ref="B10:B11"/>
    <mergeCell ref="C10:C11"/>
    <mergeCell ref="D10:D11"/>
  </mergeCells>
  <phoneticPr fontId="27" type="noConversion"/>
  <printOptions horizontalCentered="1"/>
  <pageMargins left="0.59055118110236227" right="0.39370078740157483" top="0.39370078740157483" bottom="0.59055118110236227" header="0" footer="0"/>
  <pageSetup paperSize="9" scale="38" orientation="portrait" r:id="rId1"/>
  <headerFooter alignWithMargins="0"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9268-1C56-4CB7-82E1-F71DC7862E3A}">
  <sheetPr>
    <pageSetUpPr fitToPage="1"/>
  </sheetPr>
  <dimension ref="A1:I57"/>
  <sheetViews>
    <sheetView view="pageBreakPreview" zoomScale="70" zoomScaleNormal="75" zoomScaleSheetLayoutView="70" workbookViewId="0">
      <selection activeCell="F5" sqref="F5:I5"/>
    </sheetView>
  </sheetViews>
  <sheetFormatPr defaultRowHeight="14.25"/>
  <cols>
    <col min="1" max="1" width="6.85546875" style="52" customWidth="1"/>
    <col min="2" max="2" width="26.28515625" style="53" customWidth="1"/>
    <col min="3" max="3" width="94.7109375" style="54" customWidth="1"/>
    <col min="4" max="4" width="10.5703125" style="55" customWidth="1"/>
    <col min="5" max="5" width="24" style="54" customWidth="1"/>
    <col min="6" max="6" width="24.5703125" style="54" bestFit="1" customWidth="1"/>
    <col min="7" max="7" width="17.7109375" style="54" bestFit="1" customWidth="1"/>
    <col min="8" max="8" width="17.42578125" style="54" bestFit="1" customWidth="1"/>
    <col min="9" max="9" width="17.5703125" style="56" bestFit="1" customWidth="1"/>
    <col min="10" max="10" width="45.7109375" style="39" customWidth="1"/>
    <col min="11" max="253" width="9.140625" style="39"/>
    <col min="254" max="254" width="6.85546875" style="39" customWidth="1"/>
    <col min="255" max="255" width="26.28515625" style="39" customWidth="1"/>
    <col min="256" max="256" width="94.7109375" style="39" customWidth="1"/>
    <col min="257" max="257" width="10.5703125" style="39" customWidth="1"/>
    <col min="258" max="258" width="24" style="39" customWidth="1"/>
    <col min="259" max="259" width="24.5703125" style="39" bestFit="1" customWidth="1"/>
    <col min="260" max="260" width="17.7109375" style="39" bestFit="1" customWidth="1"/>
    <col min="261" max="261" width="17.42578125" style="39" bestFit="1" customWidth="1"/>
    <col min="262" max="262" width="17.5703125" style="39" bestFit="1" customWidth="1"/>
    <col min="263" max="263" width="9.28515625" style="39" bestFit="1" customWidth="1"/>
    <col min="264" max="264" width="10.28515625" style="39" bestFit="1" customWidth="1"/>
    <col min="265" max="265" width="45.7109375" style="39" customWidth="1"/>
    <col min="266" max="509" width="9.140625" style="39"/>
    <col min="510" max="510" width="6.85546875" style="39" customWidth="1"/>
    <col min="511" max="511" width="26.28515625" style="39" customWidth="1"/>
    <col min="512" max="512" width="94.7109375" style="39" customWidth="1"/>
    <col min="513" max="513" width="10.5703125" style="39" customWidth="1"/>
    <col min="514" max="514" width="24" style="39" customWidth="1"/>
    <col min="515" max="515" width="24.5703125" style="39" bestFit="1" customWidth="1"/>
    <col min="516" max="516" width="17.7109375" style="39" bestFit="1" customWidth="1"/>
    <col min="517" max="517" width="17.42578125" style="39" bestFit="1" customWidth="1"/>
    <col min="518" max="518" width="17.5703125" style="39" bestFit="1" customWidth="1"/>
    <col min="519" max="519" width="9.28515625" style="39" bestFit="1" customWidth="1"/>
    <col min="520" max="520" width="10.28515625" style="39" bestFit="1" customWidth="1"/>
    <col min="521" max="521" width="45.7109375" style="39" customWidth="1"/>
    <col min="522" max="765" width="9.140625" style="39"/>
    <col min="766" max="766" width="6.85546875" style="39" customWidth="1"/>
    <col min="767" max="767" width="26.28515625" style="39" customWidth="1"/>
    <col min="768" max="768" width="94.7109375" style="39" customWidth="1"/>
    <col min="769" max="769" width="10.5703125" style="39" customWidth="1"/>
    <col min="770" max="770" width="24" style="39" customWidth="1"/>
    <col min="771" max="771" width="24.5703125" style="39" bestFit="1" customWidth="1"/>
    <col min="772" max="772" width="17.7109375" style="39" bestFit="1" customWidth="1"/>
    <col min="773" max="773" width="17.42578125" style="39" bestFit="1" customWidth="1"/>
    <col min="774" max="774" width="17.5703125" style="39" bestFit="1" customWidth="1"/>
    <col min="775" max="775" width="9.28515625" style="39" bestFit="1" customWidth="1"/>
    <col min="776" max="776" width="10.28515625" style="39" bestFit="1" customWidth="1"/>
    <col min="777" max="777" width="45.7109375" style="39" customWidth="1"/>
    <col min="778" max="1021" width="9.140625" style="39"/>
    <col min="1022" max="1022" width="6.85546875" style="39" customWidth="1"/>
    <col min="1023" max="1023" width="26.28515625" style="39" customWidth="1"/>
    <col min="1024" max="1024" width="94.7109375" style="39" customWidth="1"/>
    <col min="1025" max="1025" width="10.5703125" style="39" customWidth="1"/>
    <col min="1026" max="1026" width="24" style="39" customWidth="1"/>
    <col min="1027" max="1027" width="24.5703125" style="39" bestFit="1" customWidth="1"/>
    <col min="1028" max="1028" width="17.7109375" style="39" bestFit="1" customWidth="1"/>
    <col min="1029" max="1029" width="17.42578125" style="39" bestFit="1" customWidth="1"/>
    <col min="1030" max="1030" width="17.5703125" style="39" bestFit="1" customWidth="1"/>
    <col min="1031" max="1031" width="9.28515625" style="39" bestFit="1" customWidth="1"/>
    <col min="1032" max="1032" width="10.28515625" style="39" bestFit="1" customWidth="1"/>
    <col min="1033" max="1033" width="45.7109375" style="39" customWidth="1"/>
    <col min="1034" max="1277" width="9.140625" style="39"/>
    <col min="1278" max="1278" width="6.85546875" style="39" customWidth="1"/>
    <col min="1279" max="1279" width="26.28515625" style="39" customWidth="1"/>
    <col min="1280" max="1280" width="94.7109375" style="39" customWidth="1"/>
    <col min="1281" max="1281" width="10.5703125" style="39" customWidth="1"/>
    <col min="1282" max="1282" width="24" style="39" customWidth="1"/>
    <col min="1283" max="1283" width="24.5703125" style="39" bestFit="1" customWidth="1"/>
    <col min="1284" max="1284" width="17.7109375" style="39" bestFit="1" customWidth="1"/>
    <col min="1285" max="1285" width="17.42578125" style="39" bestFit="1" customWidth="1"/>
    <col min="1286" max="1286" width="17.5703125" style="39" bestFit="1" customWidth="1"/>
    <col min="1287" max="1287" width="9.28515625" style="39" bestFit="1" customWidth="1"/>
    <col min="1288" max="1288" width="10.28515625" style="39" bestFit="1" customWidth="1"/>
    <col min="1289" max="1289" width="45.7109375" style="39" customWidth="1"/>
    <col min="1290" max="1533" width="9.140625" style="39"/>
    <col min="1534" max="1534" width="6.85546875" style="39" customWidth="1"/>
    <col min="1535" max="1535" width="26.28515625" style="39" customWidth="1"/>
    <col min="1536" max="1536" width="94.7109375" style="39" customWidth="1"/>
    <col min="1537" max="1537" width="10.5703125" style="39" customWidth="1"/>
    <col min="1538" max="1538" width="24" style="39" customWidth="1"/>
    <col min="1539" max="1539" width="24.5703125" style="39" bestFit="1" customWidth="1"/>
    <col min="1540" max="1540" width="17.7109375" style="39" bestFit="1" customWidth="1"/>
    <col min="1541" max="1541" width="17.42578125" style="39" bestFit="1" customWidth="1"/>
    <col min="1542" max="1542" width="17.5703125" style="39" bestFit="1" customWidth="1"/>
    <col min="1543" max="1543" width="9.28515625" style="39" bestFit="1" customWidth="1"/>
    <col min="1544" max="1544" width="10.28515625" style="39" bestFit="1" customWidth="1"/>
    <col min="1545" max="1545" width="45.7109375" style="39" customWidth="1"/>
    <col min="1546" max="1789" width="9.140625" style="39"/>
    <col min="1790" max="1790" width="6.85546875" style="39" customWidth="1"/>
    <col min="1791" max="1791" width="26.28515625" style="39" customWidth="1"/>
    <col min="1792" max="1792" width="94.7109375" style="39" customWidth="1"/>
    <col min="1793" max="1793" width="10.5703125" style="39" customWidth="1"/>
    <col min="1794" max="1794" width="24" style="39" customWidth="1"/>
    <col min="1795" max="1795" width="24.5703125" style="39" bestFit="1" customWidth="1"/>
    <col min="1796" max="1796" width="17.7109375" style="39" bestFit="1" customWidth="1"/>
    <col min="1797" max="1797" width="17.42578125" style="39" bestFit="1" customWidth="1"/>
    <col min="1798" max="1798" width="17.5703125" style="39" bestFit="1" customWidth="1"/>
    <col min="1799" max="1799" width="9.28515625" style="39" bestFit="1" customWidth="1"/>
    <col min="1800" max="1800" width="10.28515625" style="39" bestFit="1" customWidth="1"/>
    <col min="1801" max="1801" width="45.7109375" style="39" customWidth="1"/>
    <col min="1802" max="2045" width="9.140625" style="39"/>
    <col min="2046" max="2046" width="6.85546875" style="39" customWidth="1"/>
    <col min="2047" max="2047" width="26.28515625" style="39" customWidth="1"/>
    <col min="2048" max="2048" width="94.7109375" style="39" customWidth="1"/>
    <col min="2049" max="2049" width="10.5703125" style="39" customWidth="1"/>
    <col min="2050" max="2050" width="24" style="39" customWidth="1"/>
    <col min="2051" max="2051" width="24.5703125" style="39" bestFit="1" customWidth="1"/>
    <col min="2052" max="2052" width="17.7109375" style="39" bestFit="1" customWidth="1"/>
    <col min="2053" max="2053" width="17.42578125" style="39" bestFit="1" customWidth="1"/>
    <col min="2054" max="2054" width="17.5703125" style="39" bestFit="1" customWidth="1"/>
    <col min="2055" max="2055" width="9.28515625" style="39" bestFit="1" customWidth="1"/>
    <col min="2056" max="2056" width="10.28515625" style="39" bestFit="1" customWidth="1"/>
    <col min="2057" max="2057" width="45.7109375" style="39" customWidth="1"/>
    <col min="2058" max="2301" width="9.140625" style="39"/>
    <col min="2302" max="2302" width="6.85546875" style="39" customWidth="1"/>
    <col min="2303" max="2303" width="26.28515625" style="39" customWidth="1"/>
    <col min="2304" max="2304" width="94.7109375" style="39" customWidth="1"/>
    <col min="2305" max="2305" width="10.5703125" style="39" customWidth="1"/>
    <col min="2306" max="2306" width="24" style="39" customWidth="1"/>
    <col min="2307" max="2307" width="24.5703125" style="39" bestFit="1" customWidth="1"/>
    <col min="2308" max="2308" width="17.7109375" style="39" bestFit="1" customWidth="1"/>
    <col min="2309" max="2309" width="17.42578125" style="39" bestFit="1" customWidth="1"/>
    <col min="2310" max="2310" width="17.5703125" style="39" bestFit="1" customWidth="1"/>
    <col min="2311" max="2311" width="9.28515625" style="39" bestFit="1" customWidth="1"/>
    <col min="2312" max="2312" width="10.28515625" style="39" bestFit="1" customWidth="1"/>
    <col min="2313" max="2313" width="45.7109375" style="39" customWidth="1"/>
    <col min="2314" max="2557" width="9.140625" style="39"/>
    <col min="2558" max="2558" width="6.85546875" style="39" customWidth="1"/>
    <col min="2559" max="2559" width="26.28515625" style="39" customWidth="1"/>
    <col min="2560" max="2560" width="94.7109375" style="39" customWidth="1"/>
    <col min="2561" max="2561" width="10.5703125" style="39" customWidth="1"/>
    <col min="2562" max="2562" width="24" style="39" customWidth="1"/>
    <col min="2563" max="2563" width="24.5703125" style="39" bestFit="1" customWidth="1"/>
    <col min="2564" max="2564" width="17.7109375" style="39" bestFit="1" customWidth="1"/>
    <col min="2565" max="2565" width="17.42578125" style="39" bestFit="1" customWidth="1"/>
    <col min="2566" max="2566" width="17.5703125" style="39" bestFit="1" customWidth="1"/>
    <col min="2567" max="2567" width="9.28515625" style="39" bestFit="1" customWidth="1"/>
    <col min="2568" max="2568" width="10.28515625" style="39" bestFit="1" customWidth="1"/>
    <col min="2569" max="2569" width="45.7109375" style="39" customWidth="1"/>
    <col min="2570" max="2813" width="9.140625" style="39"/>
    <col min="2814" max="2814" width="6.85546875" style="39" customWidth="1"/>
    <col min="2815" max="2815" width="26.28515625" style="39" customWidth="1"/>
    <col min="2816" max="2816" width="94.7109375" style="39" customWidth="1"/>
    <col min="2817" max="2817" width="10.5703125" style="39" customWidth="1"/>
    <col min="2818" max="2818" width="24" style="39" customWidth="1"/>
    <col min="2819" max="2819" width="24.5703125" style="39" bestFit="1" customWidth="1"/>
    <col min="2820" max="2820" width="17.7109375" style="39" bestFit="1" customWidth="1"/>
    <col min="2821" max="2821" width="17.42578125" style="39" bestFit="1" customWidth="1"/>
    <col min="2822" max="2822" width="17.5703125" style="39" bestFit="1" customWidth="1"/>
    <col min="2823" max="2823" width="9.28515625" style="39" bestFit="1" customWidth="1"/>
    <col min="2824" max="2824" width="10.28515625" style="39" bestFit="1" customWidth="1"/>
    <col min="2825" max="2825" width="45.7109375" style="39" customWidth="1"/>
    <col min="2826" max="3069" width="9.140625" style="39"/>
    <col min="3070" max="3070" width="6.85546875" style="39" customWidth="1"/>
    <col min="3071" max="3071" width="26.28515625" style="39" customWidth="1"/>
    <col min="3072" max="3072" width="94.7109375" style="39" customWidth="1"/>
    <col min="3073" max="3073" width="10.5703125" style="39" customWidth="1"/>
    <col min="3074" max="3074" width="24" style="39" customWidth="1"/>
    <col min="3075" max="3075" width="24.5703125" style="39" bestFit="1" customWidth="1"/>
    <col min="3076" max="3076" width="17.7109375" style="39" bestFit="1" customWidth="1"/>
    <col min="3077" max="3077" width="17.42578125" style="39" bestFit="1" customWidth="1"/>
    <col min="3078" max="3078" width="17.5703125" style="39" bestFit="1" customWidth="1"/>
    <col min="3079" max="3079" width="9.28515625" style="39" bestFit="1" customWidth="1"/>
    <col min="3080" max="3080" width="10.28515625" style="39" bestFit="1" customWidth="1"/>
    <col min="3081" max="3081" width="45.7109375" style="39" customWidth="1"/>
    <col min="3082" max="3325" width="9.140625" style="39"/>
    <col min="3326" max="3326" width="6.85546875" style="39" customWidth="1"/>
    <col min="3327" max="3327" width="26.28515625" style="39" customWidth="1"/>
    <col min="3328" max="3328" width="94.7109375" style="39" customWidth="1"/>
    <col min="3329" max="3329" width="10.5703125" style="39" customWidth="1"/>
    <col min="3330" max="3330" width="24" style="39" customWidth="1"/>
    <col min="3331" max="3331" width="24.5703125" style="39" bestFit="1" customWidth="1"/>
    <col min="3332" max="3332" width="17.7109375" style="39" bestFit="1" customWidth="1"/>
    <col min="3333" max="3333" width="17.42578125" style="39" bestFit="1" customWidth="1"/>
    <col min="3334" max="3334" width="17.5703125" style="39" bestFit="1" customWidth="1"/>
    <col min="3335" max="3335" width="9.28515625" style="39" bestFit="1" customWidth="1"/>
    <col min="3336" max="3336" width="10.28515625" style="39" bestFit="1" customWidth="1"/>
    <col min="3337" max="3337" width="45.7109375" style="39" customWidth="1"/>
    <col min="3338" max="3581" width="9.140625" style="39"/>
    <col min="3582" max="3582" width="6.85546875" style="39" customWidth="1"/>
    <col min="3583" max="3583" width="26.28515625" style="39" customWidth="1"/>
    <col min="3584" max="3584" width="94.7109375" style="39" customWidth="1"/>
    <col min="3585" max="3585" width="10.5703125" style="39" customWidth="1"/>
    <col min="3586" max="3586" width="24" style="39" customWidth="1"/>
    <col min="3587" max="3587" width="24.5703125" style="39" bestFit="1" customWidth="1"/>
    <col min="3588" max="3588" width="17.7109375" style="39" bestFit="1" customWidth="1"/>
    <col min="3589" max="3589" width="17.42578125" style="39" bestFit="1" customWidth="1"/>
    <col min="3590" max="3590" width="17.5703125" style="39" bestFit="1" customWidth="1"/>
    <col min="3591" max="3591" width="9.28515625" style="39" bestFit="1" customWidth="1"/>
    <col min="3592" max="3592" width="10.28515625" style="39" bestFit="1" customWidth="1"/>
    <col min="3593" max="3593" width="45.7109375" style="39" customWidth="1"/>
    <col min="3594" max="3837" width="9.140625" style="39"/>
    <col min="3838" max="3838" width="6.85546875" style="39" customWidth="1"/>
    <col min="3839" max="3839" width="26.28515625" style="39" customWidth="1"/>
    <col min="3840" max="3840" width="94.7109375" style="39" customWidth="1"/>
    <col min="3841" max="3841" width="10.5703125" style="39" customWidth="1"/>
    <col min="3842" max="3842" width="24" style="39" customWidth="1"/>
    <col min="3843" max="3843" width="24.5703125" style="39" bestFit="1" customWidth="1"/>
    <col min="3844" max="3844" width="17.7109375" style="39" bestFit="1" customWidth="1"/>
    <col min="3845" max="3845" width="17.42578125" style="39" bestFit="1" customWidth="1"/>
    <col min="3846" max="3846" width="17.5703125" style="39" bestFit="1" customWidth="1"/>
    <col min="3847" max="3847" width="9.28515625" style="39" bestFit="1" customWidth="1"/>
    <col min="3848" max="3848" width="10.28515625" style="39" bestFit="1" customWidth="1"/>
    <col min="3849" max="3849" width="45.7109375" style="39" customWidth="1"/>
    <col min="3850" max="4093" width="9.140625" style="39"/>
    <col min="4094" max="4094" width="6.85546875" style="39" customWidth="1"/>
    <col min="4095" max="4095" width="26.28515625" style="39" customWidth="1"/>
    <col min="4096" max="4096" width="94.7109375" style="39" customWidth="1"/>
    <col min="4097" max="4097" width="10.5703125" style="39" customWidth="1"/>
    <col min="4098" max="4098" width="24" style="39" customWidth="1"/>
    <col min="4099" max="4099" width="24.5703125" style="39" bestFit="1" customWidth="1"/>
    <col min="4100" max="4100" width="17.7109375" style="39" bestFit="1" customWidth="1"/>
    <col min="4101" max="4101" width="17.42578125" style="39" bestFit="1" customWidth="1"/>
    <col min="4102" max="4102" width="17.5703125" style="39" bestFit="1" customWidth="1"/>
    <col min="4103" max="4103" width="9.28515625" style="39" bestFit="1" customWidth="1"/>
    <col min="4104" max="4104" width="10.28515625" style="39" bestFit="1" customWidth="1"/>
    <col min="4105" max="4105" width="45.7109375" style="39" customWidth="1"/>
    <col min="4106" max="4349" width="9.140625" style="39"/>
    <col min="4350" max="4350" width="6.85546875" style="39" customWidth="1"/>
    <col min="4351" max="4351" width="26.28515625" style="39" customWidth="1"/>
    <col min="4352" max="4352" width="94.7109375" style="39" customWidth="1"/>
    <col min="4353" max="4353" width="10.5703125" style="39" customWidth="1"/>
    <col min="4354" max="4354" width="24" style="39" customWidth="1"/>
    <col min="4355" max="4355" width="24.5703125" style="39" bestFit="1" customWidth="1"/>
    <col min="4356" max="4356" width="17.7109375" style="39" bestFit="1" customWidth="1"/>
    <col min="4357" max="4357" width="17.42578125" style="39" bestFit="1" customWidth="1"/>
    <col min="4358" max="4358" width="17.5703125" style="39" bestFit="1" customWidth="1"/>
    <col min="4359" max="4359" width="9.28515625" style="39" bestFit="1" customWidth="1"/>
    <col min="4360" max="4360" width="10.28515625" style="39" bestFit="1" customWidth="1"/>
    <col min="4361" max="4361" width="45.7109375" style="39" customWidth="1"/>
    <col min="4362" max="4605" width="9.140625" style="39"/>
    <col min="4606" max="4606" width="6.85546875" style="39" customWidth="1"/>
    <col min="4607" max="4607" width="26.28515625" style="39" customWidth="1"/>
    <col min="4608" max="4608" width="94.7109375" style="39" customWidth="1"/>
    <col min="4609" max="4609" width="10.5703125" style="39" customWidth="1"/>
    <col min="4610" max="4610" width="24" style="39" customWidth="1"/>
    <col min="4611" max="4611" width="24.5703125" style="39" bestFit="1" customWidth="1"/>
    <col min="4612" max="4612" width="17.7109375" style="39" bestFit="1" customWidth="1"/>
    <col min="4613" max="4613" width="17.42578125" style="39" bestFit="1" customWidth="1"/>
    <col min="4614" max="4614" width="17.5703125" style="39" bestFit="1" customWidth="1"/>
    <col min="4615" max="4615" width="9.28515625" style="39" bestFit="1" customWidth="1"/>
    <col min="4616" max="4616" width="10.28515625" style="39" bestFit="1" customWidth="1"/>
    <col min="4617" max="4617" width="45.7109375" style="39" customWidth="1"/>
    <col min="4618" max="4861" width="9.140625" style="39"/>
    <col min="4862" max="4862" width="6.85546875" style="39" customWidth="1"/>
    <col min="4863" max="4863" width="26.28515625" style="39" customWidth="1"/>
    <col min="4864" max="4864" width="94.7109375" style="39" customWidth="1"/>
    <col min="4865" max="4865" width="10.5703125" style="39" customWidth="1"/>
    <col min="4866" max="4866" width="24" style="39" customWidth="1"/>
    <col min="4867" max="4867" width="24.5703125" style="39" bestFit="1" customWidth="1"/>
    <col min="4868" max="4868" width="17.7109375" style="39" bestFit="1" customWidth="1"/>
    <col min="4869" max="4869" width="17.42578125" style="39" bestFit="1" customWidth="1"/>
    <col min="4870" max="4870" width="17.5703125" style="39" bestFit="1" customWidth="1"/>
    <col min="4871" max="4871" width="9.28515625" style="39" bestFit="1" customWidth="1"/>
    <col min="4872" max="4872" width="10.28515625" style="39" bestFit="1" customWidth="1"/>
    <col min="4873" max="4873" width="45.7109375" style="39" customWidth="1"/>
    <col min="4874" max="5117" width="9.140625" style="39"/>
    <col min="5118" max="5118" width="6.85546875" style="39" customWidth="1"/>
    <col min="5119" max="5119" width="26.28515625" style="39" customWidth="1"/>
    <col min="5120" max="5120" width="94.7109375" style="39" customWidth="1"/>
    <col min="5121" max="5121" width="10.5703125" style="39" customWidth="1"/>
    <col min="5122" max="5122" width="24" style="39" customWidth="1"/>
    <col min="5123" max="5123" width="24.5703125" style="39" bestFit="1" customWidth="1"/>
    <col min="5124" max="5124" width="17.7109375" style="39" bestFit="1" customWidth="1"/>
    <col min="5125" max="5125" width="17.42578125" style="39" bestFit="1" customWidth="1"/>
    <col min="5126" max="5126" width="17.5703125" style="39" bestFit="1" customWidth="1"/>
    <col min="5127" max="5127" width="9.28515625" style="39" bestFit="1" customWidth="1"/>
    <col min="5128" max="5128" width="10.28515625" style="39" bestFit="1" customWidth="1"/>
    <col min="5129" max="5129" width="45.7109375" style="39" customWidth="1"/>
    <col min="5130" max="5373" width="9.140625" style="39"/>
    <col min="5374" max="5374" width="6.85546875" style="39" customWidth="1"/>
    <col min="5375" max="5375" width="26.28515625" style="39" customWidth="1"/>
    <col min="5376" max="5376" width="94.7109375" style="39" customWidth="1"/>
    <col min="5377" max="5377" width="10.5703125" style="39" customWidth="1"/>
    <col min="5378" max="5378" width="24" style="39" customWidth="1"/>
    <col min="5379" max="5379" width="24.5703125" style="39" bestFit="1" customWidth="1"/>
    <col min="5380" max="5380" width="17.7109375" style="39" bestFit="1" customWidth="1"/>
    <col min="5381" max="5381" width="17.42578125" style="39" bestFit="1" customWidth="1"/>
    <col min="5382" max="5382" width="17.5703125" style="39" bestFit="1" customWidth="1"/>
    <col min="5383" max="5383" width="9.28515625" style="39" bestFit="1" customWidth="1"/>
    <col min="5384" max="5384" width="10.28515625" style="39" bestFit="1" customWidth="1"/>
    <col min="5385" max="5385" width="45.7109375" style="39" customWidth="1"/>
    <col min="5386" max="5629" width="9.140625" style="39"/>
    <col min="5630" max="5630" width="6.85546875" style="39" customWidth="1"/>
    <col min="5631" max="5631" width="26.28515625" style="39" customWidth="1"/>
    <col min="5632" max="5632" width="94.7109375" style="39" customWidth="1"/>
    <col min="5633" max="5633" width="10.5703125" style="39" customWidth="1"/>
    <col min="5634" max="5634" width="24" style="39" customWidth="1"/>
    <col min="5635" max="5635" width="24.5703125" style="39" bestFit="1" customWidth="1"/>
    <col min="5636" max="5636" width="17.7109375" style="39" bestFit="1" customWidth="1"/>
    <col min="5637" max="5637" width="17.42578125" style="39" bestFit="1" customWidth="1"/>
    <col min="5638" max="5638" width="17.5703125" style="39" bestFit="1" customWidth="1"/>
    <col min="5639" max="5639" width="9.28515625" style="39" bestFit="1" customWidth="1"/>
    <col min="5640" max="5640" width="10.28515625" style="39" bestFit="1" customWidth="1"/>
    <col min="5641" max="5641" width="45.7109375" style="39" customWidth="1"/>
    <col min="5642" max="5885" width="9.140625" style="39"/>
    <col min="5886" max="5886" width="6.85546875" style="39" customWidth="1"/>
    <col min="5887" max="5887" width="26.28515625" style="39" customWidth="1"/>
    <col min="5888" max="5888" width="94.7109375" style="39" customWidth="1"/>
    <col min="5889" max="5889" width="10.5703125" style="39" customWidth="1"/>
    <col min="5890" max="5890" width="24" style="39" customWidth="1"/>
    <col min="5891" max="5891" width="24.5703125" style="39" bestFit="1" customWidth="1"/>
    <col min="5892" max="5892" width="17.7109375" style="39" bestFit="1" customWidth="1"/>
    <col min="5893" max="5893" width="17.42578125" style="39" bestFit="1" customWidth="1"/>
    <col min="5894" max="5894" width="17.5703125" style="39" bestFit="1" customWidth="1"/>
    <col min="5895" max="5895" width="9.28515625" style="39" bestFit="1" customWidth="1"/>
    <col min="5896" max="5896" width="10.28515625" style="39" bestFit="1" customWidth="1"/>
    <col min="5897" max="5897" width="45.7109375" style="39" customWidth="1"/>
    <col min="5898" max="6141" width="9.140625" style="39"/>
    <col min="6142" max="6142" width="6.85546875" style="39" customWidth="1"/>
    <col min="6143" max="6143" width="26.28515625" style="39" customWidth="1"/>
    <col min="6144" max="6144" width="94.7109375" style="39" customWidth="1"/>
    <col min="6145" max="6145" width="10.5703125" style="39" customWidth="1"/>
    <col min="6146" max="6146" width="24" style="39" customWidth="1"/>
    <col min="6147" max="6147" width="24.5703125" style="39" bestFit="1" customWidth="1"/>
    <col min="6148" max="6148" width="17.7109375" style="39" bestFit="1" customWidth="1"/>
    <col min="6149" max="6149" width="17.42578125" style="39" bestFit="1" customWidth="1"/>
    <col min="6150" max="6150" width="17.5703125" style="39" bestFit="1" customWidth="1"/>
    <col min="6151" max="6151" width="9.28515625" style="39" bestFit="1" customWidth="1"/>
    <col min="6152" max="6152" width="10.28515625" style="39" bestFit="1" customWidth="1"/>
    <col min="6153" max="6153" width="45.7109375" style="39" customWidth="1"/>
    <col min="6154" max="6397" width="9.140625" style="39"/>
    <col min="6398" max="6398" width="6.85546875" style="39" customWidth="1"/>
    <col min="6399" max="6399" width="26.28515625" style="39" customWidth="1"/>
    <col min="6400" max="6400" width="94.7109375" style="39" customWidth="1"/>
    <col min="6401" max="6401" width="10.5703125" style="39" customWidth="1"/>
    <col min="6402" max="6402" width="24" style="39" customWidth="1"/>
    <col min="6403" max="6403" width="24.5703125" style="39" bestFit="1" customWidth="1"/>
    <col min="6404" max="6404" width="17.7109375" style="39" bestFit="1" customWidth="1"/>
    <col min="6405" max="6405" width="17.42578125" style="39" bestFit="1" customWidth="1"/>
    <col min="6406" max="6406" width="17.5703125" style="39" bestFit="1" customWidth="1"/>
    <col min="6407" max="6407" width="9.28515625" style="39" bestFit="1" customWidth="1"/>
    <col min="6408" max="6408" width="10.28515625" style="39" bestFit="1" customWidth="1"/>
    <col min="6409" max="6409" width="45.7109375" style="39" customWidth="1"/>
    <col min="6410" max="6653" width="9.140625" style="39"/>
    <col min="6654" max="6654" width="6.85546875" style="39" customWidth="1"/>
    <col min="6655" max="6655" width="26.28515625" style="39" customWidth="1"/>
    <col min="6656" max="6656" width="94.7109375" style="39" customWidth="1"/>
    <col min="6657" max="6657" width="10.5703125" style="39" customWidth="1"/>
    <col min="6658" max="6658" width="24" style="39" customWidth="1"/>
    <col min="6659" max="6659" width="24.5703125" style="39" bestFit="1" customWidth="1"/>
    <col min="6660" max="6660" width="17.7109375" style="39" bestFit="1" customWidth="1"/>
    <col min="6661" max="6661" width="17.42578125" style="39" bestFit="1" customWidth="1"/>
    <col min="6662" max="6662" width="17.5703125" style="39" bestFit="1" customWidth="1"/>
    <col min="6663" max="6663" width="9.28515625" style="39" bestFit="1" customWidth="1"/>
    <col min="6664" max="6664" width="10.28515625" style="39" bestFit="1" customWidth="1"/>
    <col min="6665" max="6665" width="45.7109375" style="39" customWidth="1"/>
    <col min="6666" max="6909" width="9.140625" style="39"/>
    <col min="6910" max="6910" width="6.85546875" style="39" customWidth="1"/>
    <col min="6911" max="6911" width="26.28515625" style="39" customWidth="1"/>
    <col min="6912" max="6912" width="94.7109375" style="39" customWidth="1"/>
    <col min="6913" max="6913" width="10.5703125" style="39" customWidth="1"/>
    <col min="6914" max="6914" width="24" style="39" customWidth="1"/>
    <col min="6915" max="6915" width="24.5703125" style="39" bestFit="1" customWidth="1"/>
    <col min="6916" max="6916" width="17.7109375" style="39" bestFit="1" customWidth="1"/>
    <col min="6917" max="6917" width="17.42578125" style="39" bestFit="1" customWidth="1"/>
    <col min="6918" max="6918" width="17.5703125" style="39" bestFit="1" customWidth="1"/>
    <col min="6919" max="6919" width="9.28515625" style="39" bestFit="1" customWidth="1"/>
    <col min="6920" max="6920" width="10.28515625" style="39" bestFit="1" customWidth="1"/>
    <col min="6921" max="6921" width="45.7109375" style="39" customWidth="1"/>
    <col min="6922" max="7165" width="9.140625" style="39"/>
    <col min="7166" max="7166" width="6.85546875" style="39" customWidth="1"/>
    <col min="7167" max="7167" width="26.28515625" style="39" customWidth="1"/>
    <col min="7168" max="7168" width="94.7109375" style="39" customWidth="1"/>
    <col min="7169" max="7169" width="10.5703125" style="39" customWidth="1"/>
    <col min="7170" max="7170" width="24" style="39" customWidth="1"/>
    <col min="7171" max="7171" width="24.5703125" style="39" bestFit="1" customWidth="1"/>
    <col min="7172" max="7172" width="17.7109375" style="39" bestFit="1" customWidth="1"/>
    <col min="7173" max="7173" width="17.42578125" style="39" bestFit="1" customWidth="1"/>
    <col min="7174" max="7174" width="17.5703125" style="39" bestFit="1" customWidth="1"/>
    <col min="7175" max="7175" width="9.28515625" style="39" bestFit="1" customWidth="1"/>
    <col min="7176" max="7176" width="10.28515625" style="39" bestFit="1" customWidth="1"/>
    <col min="7177" max="7177" width="45.7109375" style="39" customWidth="1"/>
    <col min="7178" max="7421" width="9.140625" style="39"/>
    <col min="7422" max="7422" width="6.85546875" style="39" customWidth="1"/>
    <col min="7423" max="7423" width="26.28515625" style="39" customWidth="1"/>
    <col min="7424" max="7424" width="94.7109375" style="39" customWidth="1"/>
    <col min="7425" max="7425" width="10.5703125" style="39" customWidth="1"/>
    <col min="7426" max="7426" width="24" style="39" customWidth="1"/>
    <col min="7427" max="7427" width="24.5703125" style="39" bestFit="1" customWidth="1"/>
    <col min="7428" max="7428" width="17.7109375" style="39" bestFit="1" customWidth="1"/>
    <col min="7429" max="7429" width="17.42578125" style="39" bestFit="1" customWidth="1"/>
    <col min="7430" max="7430" width="17.5703125" style="39" bestFit="1" customWidth="1"/>
    <col min="7431" max="7431" width="9.28515625" style="39" bestFit="1" customWidth="1"/>
    <col min="7432" max="7432" width="10.28515625" style="39" bestFit="1" customWidth="1"/>
    <col min="7433" max="7433" width="45.7109375" style="39" customWidth="1"/>
    <col min="7434" max="7677" width="9.140625" style="39"/>
    <col min="7678" max="7678" width="6.85546875" style="39" customWidth="1"/>
    <col min="7679" max="7679" width="26.28515625" style="39" customWidth="1"/>
    <col min="7680" max="7680" width="94.7109375" style="39" customWidth="1"/>
    <col min="7681" max="7681" width="10.5703125" style="39" customWidth="1"/>
    <col min="7682" max="7682" width="24" style="39" customWidth="1"/>
    <col min="7683" max="7683" width="24.5703125" style="39" bestFit="1" customWidth="1"/>
    <col min="7684" max="7684" width="17.7109375" style="39" bestFit="1" customWidth="1"/>
    <col min="7685" max="7685" width="17.42578125" style="39" bestFit="1" customWidth="1"/>
    <col min="7686" max="7686" width="17.5703125" style="39" bestFit="1" customWidth="1"/>
    <col min="7687" max="7687" width="9.28515625" style="39" bestFit="1" customWidth="1"/>
    <col min="7688" max="7688" width="10.28515625" style="39" bestFit="1" customWidth="1"/>
    <col min="7689" max="7689" width="45.7109375" style="39" customWidth="1"/>
    <col min="7690" max="7933" width="9.140625" style="39"/>
    <col min="7934" max="7934" width="6.85546875" style="39" customWidth="1"/>
    <col min="7935" max="7935" width="26.28515625" style="39" customWidth="1"/>
    <col min="7936" max="7936" width="94.7109375" style="39" customWidth="1"/>
    <col min="7937" max="7937" width="10.5703125" style="39" customWidth="1"/>
    <col min="7938" max="7938" width="24" style="39" customWidth="1"/>
    <col min="7939" max="7939" width="24.5703125" style="39" bestFit="1" customWidth="1"/>
    <col min="7940" max="7940" width="17.7109375" style="39" bestFit="1" customWidth="1"/>
    <col min="7941" max="7941" width="17.42578125" style="39" bestFit="1" customWidth="1"/>
    <col min="7942" max="7942" width="17.5703125" style="39" bestFit="1" customWidth="1"/>
    <col min="7943" max="7943" width="9.28515625" style="39" bestFit="1" customWidth="1"/>
    <col min="7944" max="7944" width="10.28515625" style="39" bestFit="1" customWidth="1"/>
    <col min="7945" max="7945" width="45.7109375" style="39" customWidth="1"/>
    <col min="7946" max="8189" width="9.140625" style="39"/>
    <col min="8190" max="8190" width="6.85546875" style="39" customWidth="1"/>
    <col min="8191" max="8191" width="26.28515625" style="39" customWidth="1"/>
    <col min="8192" max="8192" width="94.7109375" style="39" customWidth="1"/>
    <col min="8193" max="8193" width="10.5703125" style="39" customWidth="1"/>
    <col min="8194" max="8194" width="24" style="39" customWidth="1"/>
    <col min="8195" max="8195" width="24.5703125" style="39" bestFit="1" customWidth="1"/>
    <col min="8196" max="8196" width="17.7109375" style="39" bestFit="1" customWidth="1"/>
    <col min="8197" max="8197" width="17.42578125" style="39" bestFit="1" customWidth="1"/>
    <col min="8198" max="8198" width="17.5703125" style="39" bestFit="1" customWidth="1"/>
    <col min="8199" max="8199" width="9.28515625" style="39" bestFit="1" customWidth="1"/>
    <col min="8200" max="8200" width="10.28515625" style="39" bestFit="1" customWidth="1"/>
    <col min="8201" max="8201" width="45.7109375" style="39" customWidth="1"/>
    <col min="8202" max="8445" width="9.140625" style="39"/>
    <col min="8446" max="8446" width="6.85546875" style="39" customWidth="1"/>
    <col min="8447" max="8447" width="26.28515625" style="39" customWidth="1"/>
    <col min="8448" max="8448" width="94.7109375" style="39" customWidth="1"/>
    <col min="8449" max="8449" width="10.5703125" style="39" customWidth="1"/>
    <col min="8450" max="8450" width="24" style="39" customWidth="1"/>
    <col min="8451" max="8451" width="24.5703125" style="39" bestFit="1" customWidth="1"/>
    <col min="8452" max="8452" width="17.7109375" style="39" bestFit="1" customWidth="1"/>
    <col min="8453" max="8453" width="17.42578125" style="39" bestFit="1" customWidth="1"/>
    <col min="8454" max="8454" width="17.5703125" style="39" bestFit="1" customWidth="1"/>
    <col min="8455" max="8455" width="9.28515625" style="39" bestFit="1" customWidth="1"/>
    <col min="8456" max="8456" width="10.28515625" style="39" bestFit="1" customWidth="1"/>
    <col min="8457" max="8457" width="45.7109375" style="39" customWidth="1"/>
    <col min="8458" max="8701" width="9.140625" style="39"/>
    <col min="8702" max="8702" width="6.85546875" style="39" customWidth="1"/>
    <col min="8703" max="8703" width="26.28515625" style="39" customWidth="1"/>
    <col min="8704" max="8704" width="94.7109375" style="39" customWidth="1"/>
    <col min="8705" max="8705" width="10.5703125" style="39" customWidth="1"/>
    <col min="8706" max="8706" width="24" style="39" customWidth="1"/>
    <col min="8707" max="8707" width="24.5703125" style="39" bestFit="1" customWidth="1"/>
    <col min="8708" max="8708" width="17.7109375" style="39" bestFit="1" customWidth="1"/>
    <col min="8709" max="8709" width="17.42578125" style="39" bestFit="1" customWidth="1"/>
    <col min="8710" max="8710" width="17.5703125" style="39" bestFit="1" customWidth="1"/>
    <col min="8711" max="8711" width="9.28515625" style="39" bestFit="1" customWidth="1"/>
    <col min="8712" max="8712" width="10.28515625" style="39" bestFit="1" customWidth="1"/>
    <col min="8713" max="8713" width="45.7109375" style="39" customWidth="1"/>
    <col min="8714" max="8957" width="9.140625" style="39"/>
    <col min="8958" max="8958" width="6.85546875" style="39" customWidth="1"/>
    <col min="8959" max="8959" width="26.28515625" style="39" customWidth="1"/>
    <col min="8960" max="8960" width="94.7109375" style="39" customWidth="1"/>
    <col min="8961" max="8961" width="10.5703125" style="39" customWidth="1"/>
    <col min="8962" max="8962" width="24" style="39" customWidth="1"/>
    <col min="8963" max="8963" width="24.5703125" style="39" bestFit="1" customWidth="1"/>
    <col min="8964" max="8964" width="17.7109375" style="39" bestFit="1" customWidth="1"/>
    <col min="8965" max="8965" width="17.42578125" style="39" bestFit="1" customWidth="1"/>
    <col min="8966" max="8966" width="17.5703125" style="39" bestFit="1" customWidth="1"/>
    <col min="8967" max="8967" width="9.28515625" style="39" bestFit="1" customWidth="1"/>
    <col min="8968" max="8968" width="10.28515625" style="39" bestFit="1" customWidth="1"/>
    <col min="8969" max="8969" width="45.7109375" style="39" customWidth="1"/>
    <col min="8970" max="9213" width="9.140625" style="39"/>
    <col min="9214" max="9214" width="6.85546875" style="39" customWidth="1"/>
    <col min="9215" max="9215" width="26.28515625" style="39" customWidth="1"/>
    <col min="9216" max="9216" width="94.7109375" style="39" customWidth="1"/>
    <col min="9217" max="9217" width="10.5703125" style="39" customWidth="1"/>
    <col min="9218" max="9218" width="24" style="39" customWidth="1"/>
    <col min="9219" max="9219" width="24.5703125" style="39" bestFit="1" customWidth="1"/>
    <col min="9220" max="9220" width="17.7109375" style="39" bestFit="1" customWidth="1"/>
    <col min="9221" max="9221" width="17.42578125" style="39" bestFit="1" customWidth="1"/>
    <col min="9222" max="9222" width="17.5703125" style="39" bestFit="1" customWidth="1"/>
    <col min="9223" max="9223" width="9.28515625" style="39" bestFit="1" customWidth="1"/>
    <col min="9224" max="9224" width="10.28515625" style="39" bestFit="1" customWidth="1"/>
    <col min="9225" max="9225" width="45.7109375" style="39" customWidth="1"/>
    <col min="9226" max="9469" width="9.140625" style="39"/>
    <col min="9470" max="9470" width="6.85546875" style="39" customWidth="1"/>
    <col min="9471" max="9471" width="26.28515625" style="39" customWidth="1"/>
    <col min="9472" max="9472" width="94.7109375" style="39" customWidth="1"/>
    <col min="9473" max="9473" width="10.5703125" style="39" customWidth="1"/>
    <col min="9474" max="9474" width="24" style="39" customWidth="1"/>
    <col min="9475" max="9475" width="24.5703125" style="39" bestFit="1" customWidth="1"/>
    <col min="9476" max="9476" width="17.7109375" style="39" bestFit="1" customWidth="1"/>
    <col min="9477" max="9477" width="17.42578125" style="39" bestFit="1" customWidth="1"/>
    <col min="9478" max="9478" width="17.5703125" style="39" bestFit="1" customWidth="1"/>
    <col min="9479" max="9479" width="9.28515625" style="39" bestFit="1" customWidth="1"/>
    <col min="9480" max="9480" width="10.28515625" style="39" bestFit="1" customWidth="1"/>
    <col min="9481" max="9481" width="45.7109375" style="39" customWidth="1"/>
    <col min="9482" max="9725" width="9.140625" style="39"/>
    <col min="9726" max="9726" width="6.85546875" style="39" customWidth="1"/>
    <col min="9727" max="9727" width="26.28515625" style="39" customWidth="1"/>
    <col min="9728" max="9728" width="94.7109375" style="39" customWidth="1"/>
    <col min="9729" max="9729" width="10.5703125" style="39" customWidth="1"/>
    <col min="9730" max="9730" width="24" style="39" customWidth="1"/>
    <col min="9731" max="9731" width="24.5703125" style="39" bestFit="1" customWidth="1"/>
    <col min="9732" max="9732" width="17.7109375" style="39" bestFit="1" customWidth="1"/>
    <col min="9733" max="9733" width="17.42578125" style="39" bestFit="1" customWidth="1"/>
    <col min="9734" max="9734" width="17.5703125" style="39" bestFit="1" customWidth="1"/>
    <col min="9735" max="9735" width="9.28515625" style="39" bestFit="1" customWidth="1"/>
    <col min="9736" max="9736" width="10.28515625" style="39" bestFit="1" customWidth="1"/>
    <col min="9737" max="9737" width="45.7109375" style="39" customWidth="1"/>
    <col min="9738" max="9981" width="9.140625" style="39"/>
    <col min="9982" max="9982" width="6.85546875" style="39" customWidth="1"/>
    <col min="9983" max="9983" width="26.28515625" style="39" customWidth="1"/>
    <col min="9984" max="9984" width="94.7109375" style="39" customWidth="1"/>
    <col min="9985" max="9985" width="10.5703125" style="39" customWidth="1"/>
    <col min="9986" max="9986" width="24" style="39" customWidth="1"/>
    <col min="9987" max="9987" width="24.5703125" style="39" bestFit="1" customWidth="1"/>
    <col min="9988" max="9988" width="17.7109375" style="39" bestFit="1" customWidth="1"/>
    <col min="9989" max="9989" width="17.42578125" style="39" bestFit="1" customWidth="1"/>
    <col min="9990" max="9990" width="17.5703125" style="39" bestFit="1" customWidth="1"/>
    <col min="9991" max="9991" width="9.28515625" style="39" bestFit="1" customWidth="1"/>
    <col min="9992" max="9992" width="10.28515625" style="39" bestFit="1" customWidth="1"/>
    <col min="9993" max="9993" width="45.7109375" style="39" customWidth="1"/>
    <col min="9994" max="10237" width="9.140625" style="39"/>
    <col min="10238" max="10238" width="6.85546875" style="39" customWidth="1"/>
    <col min="10239" max="10239" width="26.28515625" style="39" customWidth="1"/>
    <col min="10240" max="10240" width="94.7109375" style="39" customWidth="1"/>
    <col min="10241" max="10241" width="10.5703125" style="39" customWidth="1"/>
    <col min="10242" max="10242" width="24" style="39" customWidth="1"/>
    <col min="10243" max="10243" width="24.5703125" style="39" bestFit="1" customWidth="1"/>
    <col min="10244" max="10244" width="17.7109375" style="39" bestFit="1" customWidth="1"/>
    <col min="10245" max="10245" width="17.42578125" style="39" bestFit="1" customWidth="1"/>
    <col min="10246" max="10246" width="17.5703125" style="39" bestFit="1" customWidth="1"/>
    <col min="10247" max="10247" width="9.28515625" style="39" bestFit="1" customWidth="1"/>
    <col min="10248" max="10248" width="10.28515625" style="39" bestFit="1" customWidth="1"/>
    <col min="10249" max="10249" width="45.7109375" style="39" customWidth="1"/>
    <col min="10250" max="10493" width="9.140625" style="39"/>
    <col min="10494" max="10494" width="6.85546875" style="39" customWidth="1"/>
    <col min="10495" max="10495" width="26.28515625" style="39" customWidth="1"/>
    <col min="10496" max="10496" width="94.7109375" style="39" customWidth="1"/>
    <col min="10497" max="10497" width="10.5703125" style="39" customWidth="1"/>
    <col min="10498" max="10498" width="24" style="39" customWidth="1"/>
    <col min="10499" max="10499" width="24.5703125" style="39" bestFit="1" customWidth="1"/>
    <col min="10500" max="10500" width="17.7109375" style="39" bestFit="1" customWidth="1"/>
    <col min="10501" max="10501" width="17.42578125" style="39" bestFit="1" customWidth="1"/>
    <col min="10502" max="10502" width="17.5703125" style="39" bestFit="1" customWidth="1"/>
    <col min="10503" max="10503" width="9.28515625" style="39" bestFit="1" customWidth="1"/>
    <col min="10504" max="10504" width="10.28515625" style="39" bestFit="1" customWidth="1"/>
    <col min="10505" max="10505" width="45.7109375" style="39" customWidth="1"/>
    <col min="10506" max="10749" width="9.140625" style="39"/>
    <col min="10750" max="10750" width="6.85546875" style="39" customWidth="1"/>
    <col min="10751" max="10751" width="26.28515625" style="39" customWidth="1"/>
    <col min="10752" max="10752" width="94.7109375" style="39" customWidth="1"/>
    <col min="10753" max="10753" width="10.5703125" style="39" customWidth="1"/>
    <col min="10754" max="10754" width="24" style="39" customWidth="1"/>
    <col min="10755" max="10755" width="24.5703125" style="39" bestFit="1" customWidth="1"/>
    <col min="10756" max="10756" width="17.7109375" style="39" bestFit="1" customWidth="1"/>
    <col min="10757" max="10757" width="17.42578125" style="39" bestFit="1" customWidth="1"/>
    <col min="10758" max="10758" width="17.5703125" style="39" bestFit="1" customWidth="1"/>
    <col min="10759" max="10759" width="9.28515625" style="39" bestFit="1" customWidth="1"/>
    <col min="10760" max="10760" width="10.28515625" style="39" bestFit="1" customWidth="1"/>
    <col min="10761" max="10761" width="45.7109375" style="39" customWidth="1"/>
    <col min="10762" max="11005" width="9.140625" style="39"/>
    <col min="11006" max="11006" width="6.85546875" style="39" customWidth="1"/>
    <col min="11007" max="11007" width="26.28515625" style="39" customWidth="1"/>
    <col min="11008" max="11008" width="94.7109375" style="39" customWidth="1"/>
    <col min="11009" max="11009" width="10.5703125" style="39" customWidth="1"/>
    <col min="11010" max="11010" width="24" style="39" customWidth="1"/>
    <col min="11011" max="11011" width="24.5703125" style="39" bestFit="1" customWidth="1"/>
    <col min="11012" max="11012" width="17.7109375" style="39" bestFit="1" customWidth="1"/>
    <col min="11013" max="11013" width="17.42578125" style="39" bestFit="1" customWidth="1"/>
    <col min="11014" max="11014" width="17.5703125" style="39" bestFit="1" customWidth="1"/>
    <col min="11015" max="11015" width="9.28515625" style="39" bestFit="1" customWidth="1"/>
    <col min="11016" max="11016" width="10.28515625" style="39" bestFit="1" customWidth="1"/>
    <col min="11017" max="11017" width="45.7109375" style="39" customWidth="1"/>
    <col min="11018" max="11261" width="9.140625" style="39"/>
    <col min="11262" max="11262" width="6.85546875" style="39" customWidth="1"/>
    <col min="11263" max="11263" width="26.28515625" style="39" customWidth="1"/>
    <col min="11264" max="11264" width="94.7109375" style="39" customWidth="1"/>
    <col min="11265" max="11265" width="10.5703125" style="39" customWidth="1"/>
    <col min="11266" max="11266" width="24" style="39" customWidth="1"/>
    <col min="11267" max="11267" width="24.5703125" style="39" bestFit="1" customWidth="1"/>
    <col min="11268" max="11268" width="17.7109375" style="39" bestFit="1" customWidth="1"/>
    <col min="11269" max="11269" width="17.42578125" style="39" bestFit="1" customWidth="1"/>
    <col min="11270" max="11270" width="17.5703125" style="39" bestFit="1" customWidth="1"/>
    <col min="11271" max="11271" width="9.28515625" style="39" bestFit="1" customWidth="1"/>
    <col min="11272" max="11272" width="10.28515625" style="39" bestFit="1" customWidth="1"/>
    <col min="11273" max="11273" width="45.7109375" style="39" customWidth="1"/>
    <col min="11274" max="11517" width="9.140625" style="39"/>
    <col min="11518" max="11518" width="6.85546875" style="39" customWidth="1"/>
    <col min="11519" max="11519" width="26.28515625" style="39" customWidth="1"/>
    <col min="11520" max="11520" width="94.7109375" style="39" customWidth="1"/>
    <col min="11521" max="11521" width="10.5703125" style="39" customWidth="1"/>
    <col min="11522" max="11522" width="24" style="39" customWidth="1"/>
    <col min="11523" max="11523" width="24.5703125" style="39" bestFit="1" customWidth="1"/>
    <col min="11524" max="11524" width="17.7109375" style="39" bestFit="1" customWidth="1"/>
    <col min="11525" max="11525" width="17.42578125" style="39" bestFit="1" customWidth="1"/>
    <col min="11526" max="11526" width="17.5703125" style="39" bestFit="1" customWidth="1"/>
    <col min="11527" max="11527" width="9.28515625" style="39" bestFit="1" customWidth="1"/>
    <col min="11528" max="11528" width="10.28515625" style="39" bestFit="1" customWidth="1"/>
    <col min="11529" max="11529" width="45.7109375" style="39" customWidth="1"/>
    <col min="11530" max="11773" width="9.140625" style="39"/>
    <col min="11774" max="11774" width="6.85546875" style="39" customWidth="1"/>
    <col min="11775" max="11775" width="26.28515625" style="39" customWidth="1"/>
    <col min="11776" max="11776" width="94.7109375" style="39" customWidth="1"/>
    <col min="11777" max="11777" width="10.5703125" style="39" customWidth="1"/>
    <col min="11778" max="11778" width="24" style="39" customWidth="1"/>
    <col min="11779" max="11779" width="24.5703125" style="39" bestFit="1" customWidth="1"/>
    <col min="11780" max="11780" width="17.7109375" style="39" bestFit="1" customWidth="1"/>
    <col min="11781" max="11781" width="17.42578125" style="39" bestFit="1" customWidth="1"/>
    <col min="11782" max="11782" width="17.5703125" style="39" bestFit="1" customWidth="1"/>
    <col min="11783" max="11783" width="9.28515625" style="39" bestFit="1" customWidth="1"/>
    <col min="11784" max="11784" width="10.28515625" style="39" bestFit="1" customWidth="1"/>
    <col min="11785" max="11785" width="45.7109375" style="39" customWidth="1"/>
    <col min="11786" max="12029" width="9.140625" style="39"/>
    <col min="12030" max="12030" width="6.85546875" style="39" customWidth="1"/>
    <col min="12031" max="12031" width="26.28515625" style="39" customWidth="1"/>
    <col min="12032" max="12032" width="94.7109375" style="39" customWidth="1"/>
    <col min="12033" max="12033" width="10.5703125" style="39" customWidth="1"/>
    <col min="12034" max="12034" width="24" style="39" customWidth="1"/>
    <col min="12035" max="12035" width="24.5703125" style="39" bestFit="1" customWidth="1"/>
    <col min="12036" max="12036" width="17.7109375" style="39" bestFit="1" customWidth="1"/>
    <col min="12037" max="12037" width="17.42578125" style="39" bestFit="1" customWidth="1"/>
    <col min="12038" max="12038" width="17.5703125" style="39" bestFit="1" customWidth="1"/>
    <col min="12039" max="12039" width="9.28515625" style="39" bestFit="1" customWidth="1"/>
    <col min="12040" max="12040" width="10.28515625" style="39" bestFit="1" customWidth="1"/>
    <col min="12041" max="12041" width="45.7109375" style="39" customWidth="1"/>
    <col min="12042" max="12285" width="9.140625" style="39"/>
    <col min="12286" max="12286" width="6.85546875" style="39" customWidth="1"/>
    <col min="12287" max="12287" width="26.28515625" style="39" customWidth="1"/>
    <col min="12288" max="12288" width="94.7109375" style="39" customWidth="1"/>
    <col min="12289" max="12289" width="10.5703125" style="39" customWidth="1"/>
    <col min="12290" max="12290" width="24" style="39" customWidth="1"/>
    <col min="12291" max="12291" width="24.5703125" style="39" bestFit="1" customWidth="1"/>
    <col min="12292" max="12292" width="17.7109375" style="39" bestFit="1" customWidth="1"/>
    <col min="12293" max="12293" width="17.42578125" style="39" bestFit="1" customWidth="1"/>
    <col min="12294" max="12294" width="17.5703125" style="39" bestFit="1" customWidth="1"/>
    <col min="12295" max="12295" width="9.28515625" style="39" bestFit="1" customWidth="1"/>
    <col min="12296" max="12296" width="10.28515625" style="39" bestFit="1" customWidth="1"/>
    <col min="12297" max="12297" width="45.7109375" style="39" customWidth="1"/>
    <col min="12298" max="12541" width="9.140625" style="39"/>
    <col min="12542" max="12542" width="6.85546875" style="39" customWidth="1"/>
    <col min="12543" max="12543" width="26.28515625" style="39" customWidth="1"/>
    <col min="12544" max="12544" width="94.7109375" style="39" customWidth="1"/>
    <col min="12545" max="12545" width="10.5703125" style="39" customWidth="1"/>
    <col min="12546" max="12546" width="24" style="39" customWidth="1"/>
    <col min="12547" max="12547" width="24.5703125" style="39" bestFit="1" customWidth="1"/>
    <col min="12548" max="12548" width="17.7109375" style="39" bestFit="1" customWidth="1"/>
    <col min="12549" max="12549" width="17.42578125" style="39" bestFit="1" customWidth="1"/>
    <col min="12550" max="12550" width="17.5703125" style="39" bestFit="1" customWidth="1"/>
    <col min="12551" max="12551" width="9.28515625" style="39" bestFit="1" customWidth="1"/>
    <col min="12552" max="12552" width="10.28515625" style="39" bestFit="1" customWidth="1"/>
    <col min="12553" max="12553" width="45.7109375" style="39" customWidth="1"/>
    <col min="12554" max="12797" width="9.140625" style="39"/>
    <col min="12798" max="12798" width="6.85546875" style="39" customWidth="1"/>
    <col min="12799" max="12799" width="26.28515625" style="39" customWidth="1"/>
    <col min="12800" max="12800" width="94.7109375" style="39" customWidth="1"/>
    <col min="12801" max="12801" width="10.5703125" style="39" customWidth="1"/>
    <col min="12802" max="12802" width="24" style="39" customWidth="1"/>
    <col min="12803" max="12803" width="24.5703125" style="39" bestFit="1" customWidth="1"/>
    <col min="12804" max="12804" width="17.7109375" style="39" bestFit="1" customWidth="1"/>
    <col min="12805" max="12805" width="17.42578125" style="39" bestFit="1" customWidth="1"/>
    <col min="12806" max="12806" width="17.5703125" style="39" bestFit="1" customWidth="1"/>
    <col min="12807" max="12807" width="9.28515625" style="39" bestFit="1" customWidth="1"/>
    <col min="12808" max="12808" width="10.28515625" style="39" bestFit="1" customWidth="1"/>
    <col min="12809" max="12809" width="45.7109375" style="39" customWidth="1"/>
    <col min="12810" max="13053" width="9.140625" style="39"/>
    <col min="13054" max="13054" width="6.85546875" style="39" customWidth="1"/>
    <col min="13055" max="13055" width="26.28515625" style="39" customWidth="1"/>
    <col min="13056" max="13056" width="94.7109375" style="39" customWidth="1"/>
    <col min="13057" max="13057" width="10.5703125" style="39" customWidth="1"/>
    <col min="13058" max="13058" width="24" style="39" customWidth="1"/>
    <col min="13059" max="13059" width="24.5703125" style="39" bestFit="1" customWidth="1"/>
    <col min="13060" max="13060" width="17.7109375" style="39" bestFit="1" customWidth="1"/>
    <col min="13061" max="13061" width="17.42578125" style="39" bestFit="1" customWidth="1"/>
    <col min="13062" max="13062" width="17.5703125" style="39" bestFit="1" customWidth="1"/>
    <col min="13063" max="13063" width="9.28515625" style="39" bestFit="1" customWidth="1"/>
    <col min="13064" max="13064" width="10.28515625" style="39" bestFit="1" customWidth="1"/>
    <col min="13065" max="13065" width="45.7109375" style="39" customWidth="1"/>
    <col min="13066" max="13309" width="9.140625" style="39"/>
    <col min="13310" max="13310" width="6.85546875" style="39" customWidth="1"/>
    <col min="13311" max="13311" width="26.28515625" style="39" customWidth="1"/>
    <col min="13312" max="13312" width="94.7109375" style="39" customWidth="1"/>
    <col min="13313" max="13313" width="10.5703125" style="39" customWidth="1"/>
    <col min="13314" max="13314" width="24" style="39" customWidth="1"/>
    <col min="13315" max="13315" width="24.5703125" style="39" bestFit="1" customWidth="1"/>
    <col min="13316" max="13316" width="17.7109375" style="39" bestFit="1" customWidth="1"/>
    <col min="13317" max="13317" width="17.42578125" style="39" bestFit="1" customWidth="1"/>
    <col min="13318" max="13318" width="17.5703125" style="39" bestFit="1" customWidth="1"/>
    <col min="13319" max="13319" width="9.28515625" style="39" bestFit="1" customWidth="1"/>
    <col min="13320" max="13320" width="10.28515625" style="39" bestFit="1" customWidth="1"/>
    <col min="13321" max="13321" width="45.7109375" style="39" customWidth="1"/>
    <col min="13322" max="13565" width="9.140625" style="39"/>
    <col min="13566" max="13566" width="6.85546875" style="39" customWidth="1"/>
    <col min="13567" max="13567" width="26.28515625" style="39" customWidth="1"/>
    <col min="13568" max="13568" width="94.7109375" style="39" customWidth="1"/>
    <col min="13569" max="13569" width="10.5703125" style="39" customWidth="1"/>
    <col min="13570" max="13570" width="24" style="39" customWidth="1"/>
    <col min="13571" max="13571" width="24.5703125" style="39" bestFit="1" customWidth="1"/>
    <col min="13572" max="13572" width="17.7109375" style="39" bestFit="1" customWidth="1"/>
    <col min="13573" max="13573" width="17.42578125" style="39" bestFit="1" customWidth="1"/>
    <col min="13574" max="13574" width="17.5703125" style="39" bestFit="1" customWidth="1"/>
    <col min="13575" max="13575" width="9.28515625" style="39" bestFit="1" customWidth="1"/>
    <col min="13576" max="13576" width="10.28515625" style="39" bestFit="1" customWidth="1"/>
    <col min="13577" max="13577" width="45.7109375" style="39" customWidth="1"/>
    <col min="13578" max="13821" width="9.140625" style="39"/>
    <col min="13822" max="13822" width="6.85546875" style="39" customWidth="1"/>
    <col min="13823" max="13823" width="26.28515625" style="39" customWidth="1"/>
    <col min="13824" max="13824" width="94.7109375" style="39" customWidth="1"/>
    <col min="13825" max="13825" width="10.5703125" style="39" customWidth="1"/>
    <col min="13826" max="13826" width="24" style="39" customWidth="1"/>
    <col min="13827" max="13827" width="24.5703125" style="39" bestFit="1" customWidth="1"/>
    <col min="13828" max="13828" width="17.7109375" style="39" bestFit="1" customWidth="1"/>
    <col min="13829" max="13829" width="17.42578125" style="39" bestFit="1" customWidth="1"/>
    <col min="13830" max="13830" width="17.5703125" style="39" bestFit="1" customWidth="1"/>
    <col min="13831" max="13831" width="9.28515625" style="39" bestFit="1" customWidth="1"/>
    <col min="13832" max="13832" width="10.28515625" style="39" bestFit="1" customWidth="1"/>
    <col min="13833" max="13833" width="45.7109375" style="39" customWidth="1"/>
    <col min="13834" max="14077" width="9.140625" style="39"/>
    <col min="14078" max="14078" width="6.85546875" style="39" customWidth="1"/>
    <col min="14079" max="14079" width="26.28515625" style="39" customWidth="1"/>
    <col min="14080" max="14080" width="94.7109375" style="39" customWidth="1"/>
    <col min="14081" max="14081" width="10.5703125" style="39" customWidth="1"/>
    <col min="14082" max="14082" width="24" style="39" customWidth="1"/>
    <col min="14083" max="14083" width="24.5703125" style="39" bestFit="1" customWidth="1"/>
    <col min="14084" max="14084" width="17.7109375" style="39" bestFit="1" customWidth="1"/>
    <col min="14085" max="14085" width="17.42578125" style="39" bestFit="1" customWidth="1"/>
    <col min="14086" max="14086" width="17.5703125" style="39" bestFit="1" customWidth="1"/>
    <col min="14087" max="14087" width="9.28515625" style="39" bestFit="1" customWidth="1"/>
    <col min="14088" max="14088" width="10.28515625" style="39" bestFit="1" customWidth="1"/>
    <col min="14089" max="14089" width="45.7109375" style="39" customWidth="1"/>
    <col min="14090" max="14333" width="9.140625" style="39"/>
    <col min="14334" max="14334" width="6.85546875" style="39" customWidth="1"/>
    <col min="14335" max="14335" width="26.28515625" style="39" customWidth="1"/>
    <col min="14336" max="14336" width="94.7109375" style="39" customWidth="1"/>
    <col min="14337" max="14337" width="10.5703125" style="39" customWidth="1"/>
    <col min="14338" max="14338" width="24" style="39" customWidth="1"/>
    <col min="14339" max="14339" width="24.5703125" style="39" bestFit="1" customWidth="1"/>
    <col min="14340" max="14340" width="17.7109375" style="39" bestFit="1" customWidth="1"/>
    <col min="14341" max="14341" width="17.42578125" style="39" bestFit="1" customWidth="1"/>
    <col min="14342" max="14342" width="17.5703125" style="39" bestFit="1" customWidth="1"/>
    <col min="14343" max="14343" width="9.28515625" style="39" bestFit="1" customWidth="1"/>
    <col min="14344" max="14344" width="10.28515625" style="39" bestFit="1" customWidth="1"/>
    <col min="14345" max="14345" width="45.7109375" style="39" customWidth="1"/>
    <col min="14346" max="14589" width="9.140625" style="39"/>
    <col min="14590" max="14590" width="6.85546875" style="39" customWidth="1"/>
    <col min="14591" max="14591" width="26.28515625" style="39" customWidth="1"/>
    <col min="14592" max="14592" width="94.7109375" style="39" customWidth="1"/>
    <col min="14593" max="14593" width="10.5703125" style="39" customWidth="1"/>
    <col min="14594" max="14594" width="24" style="39" customWidth="1"/>
    <col min="14595" max="14595" width="24.5703125" style="39" bestFit="1" customWidth="1"/>
    <col min="14596" max="14596" width="17.7109375" style="39" bestFit="1" customWidth="1"/>
    <col min="14597" max="14597" width="17.42578125" style="39" bestFit="1" customWidth="1"/>
    <col min="14598" max="14598" width="17.5703125" style="39" bestFit="1" customWidth="1"/>
    <col min="14599" max="14599" width="9.28515625" style="39" bestFit="1" customWidth="1"/>
    <col min="14600" max="14600" width="10.28515625" style="39" bestFit="1" customWidth="1"/>
    <col min="14601" max="14601" width="45.7109375" style="39" customWidth="1"/>
    <col min="14602" max="14845" width="9.140625" style="39"/>
    <col min="14846" max="14846" width="6.85546875" style="39" customWidth="1"/>
    <col min="14847" max="14847" width="26.28515625" style="39" customWidth="1"/>
    <col min="14848" max="14848" width="94.7109375" style="39" customWidth="1"/>
    <col min="14849" max="14849" width="10.5703125" style="39" customWidth="1"/>
    <col min="14850" max="14850" width="24" style="39" customWidth="1"/>
    <col min="14851" max="14851" width="24.5703125" style="39" bestFit="1" customWidth="1"/>
    <col min="14852" max="14852" width="17.7109375" style="39" bestFit="1" customWidth="1"/>
    <col min="14853" max="14853" width="17.42578125" style="39" bestFit="1" customWidth="1"/>
    <col min="14854" max="14854" width="17.5703125" style="39" bestFit="1" customWidth="1"/>
    <col min="14855" max="14855" width="9.28515625" style="39" bestFit="1" customWidth="1"/>
    <col min="14856" max="14856" width="10.28515625" style="39" bestFit="1" customWidth="1"/>
    <col min="14857" max="14857" width="45.7109375" style="39" customWidth="1"/>
    <col min="14858" max="15101" width="9.140625" style="39"/>
    <col min="15102" max="15102" width="6.85546875" style="39" customWidth="1"/>
    <col min="15103" max="15103" width="26.28515625" style="39" customWidth="1"/>
    <col min="15104" max="15104" width="94.7109375" style="39" customWidth="1"/>
    <col min="15105" max="15105" width="10.5703125" style="39" customWidth="1"/>
    <col min="15106" max="15106" width="24" style="39" customWidth="1"/>
    <col min="15107" max="15107" width="24.5703125" style="39" bestFit="1" customWidth="1"/>
    <col min="15108" max="15108" width="17.7109375" style="39" bestFit="1" customWidth="1"/>
    <col min="15109" max="15109" width="17.42578125" style="39" bestFit="1" customWidth="1"/>
    <col min="15110" max="15110" width="17.5703125" style="39" bestFit="1" customWidth="1"/>
    <col min="15111" max="15111" width="9.28515625" style="39" bestFit="1" customWidth="1"/>
    <col min="15112" max="15112" width="10.28515625" style="39" bestFit="1" customWidth="1"/>
    <col min="15113" max="15113" width="45.7109375" style="39" customWidth="1"/>
    <col min="15114" max="15357" width="9.140625" style="39"/>
    <col min="15358" max="15358" width="6.85546875" style="39" customWidth="1"/>
    <col min="15359" max="15359" width="26.28515625" style="39" customWidth="1"/>
    <col min="15360" max="15360" width="94.7109375" style="39" customWidth="1"/>
    <col min="15361" max="15361" width="10.5703125" style="39" customWidth="1"/>
    <col min="15362" max="15362" width="24" style="39" customWidth="1"/>
    <col min="15363" max="15363" width="24.5703125" style="39" bestFit="1" customWidth="1"/>
    <col min="15364" max="15364" width="17.7109375" style="39" bestFit="1" customWidth="1"/>
    <col min="15365" max="15365" width="17.42578125" style="39" bestFit="1" customWidth="1"/>
    <col min="15366" max="15366" width="17.5703125" style="39" bestFit="1" customWidth="1"/>
    <col min="15367" max="15367" width="9.28515625" style="39" bestFit="1" customWidth="1"/>
    <col min="15368" max="15368" width="10.28515625" style="39" bestFit="1" customWidth="1"/>
    <col min="15369" max="15369" width="45.7109375" style="39" customWidth="1"/>
    <col min="15370" max="15613" width="9.140625" style="39"/>
    <col min="15614" max="15614" width="6.85546875" style="39" customWidth="1"/>
    <col min="15615" max="15615" width="26.28515625" style="39" customWidth="1"/>
    <col min="15616" max="15616" width="94.7109375" style="39" customWidth="1"/>
    <col min="15617" max="15617" width="10.5703125" style="39" customWidth="1"/>
    <col min="15618" max="15618" width="24" style="39" customWidth="1"/>
    <col min="15619" max="15619" width="24.5703125" style="39" bestFit="1" customWidth="1"/>
    <col min="15620" max="15620" width="17.7109375" style="39" bestFit="1" customWidth="1"/>
    <col min="15621" max="15621" width="17.42578125" style="39" bestFit="1" customWidth="1"/>
    <col min="15622" max="15622" width="17.5703125" style="39" bestFit="1" customWidth="1"/>
    <col min="15623" max="15623" width="9.28515625" style="39" bestFit="1" customWidth="1"/>
    <col min="15624" max="15624" width="10.28515625" style="39" bestFit="1" customWidth="1"/>
    <col min="15625" max="15625" width="45.7109375" style="39" customWidth="1"/>
    <col min="15626" max="15869" width="9.140625" style="39"/>
    <col min="15870" max="15870" width="6.85546875" style="39" customWidth="1"/>
    <col min="15871" max="15871" width="26.28515625" style="39" customWidth="1"/>
    <col min="15872" max="15872" width="94.7109375" style="39" customWidth="1"/>
    <col min="15873" max="15873" width="10.5703125" style="39" customWidth="1"/>
    <col min="15874" max="15874" width="24" style="39" customWidth="1"/>
    <col min="15875" max="15875" width="24.5703125" style="39" bestFit="1" customWidth="1"/>
    <col min="15876" max="15876" width="17.7109375" style="39" bestFit="1" customWidth="1"/>
    <col min="15877" max="15877" width="17.42578125" style="39" bestFit="1" customWidth="1"/>
    <col min="15878" max="15878" width="17.5703125" style="39" bestFit="1" customWidth="1"/>
    <col min="15879" max="15879" width="9.28515625" style="39" bestFit="1" customWidth="1"/>
    <col min="15880" max="15880" width="10.28515625" style="39" bestFit="1" customWidth="1"/>
    <col min="15881" max="15881" width="45.7109375" style="39" customWidth="1"/>
    <col min="15882" max="16125" width="9.140625" style="39"/>
    <col min="16126" max="16126" width="6.85546875" style="39" customWidth="1"/>
    <col min="16127" max="16127" width="26.28515625" style="39" customWidth="1"/>
    <col min="16128" max="16128" width="94.7109375" style="39" customWidth="1"/>
    <col min="16129" max="16129" width="10.5703125" style="39" customWidth="1"/>
    <col min="16130" max="16130" width="24" style="39" customWidth="1"/>
    <col min="16131" max="16131" width="24.5703125" style="39" bestFit="1" customWidth="1"/>
    <col min="16132" max="16132" width="17.7109375" style="39" bestFit="1" customWidth="1"/>
    <col min="16133" max="16133" width="17.42578125" style="39" bestFit="1" customWidth="1"/>
    <col min="16134" max="16134" width="17.5703125" style="39" bestFit="1" customWidth="1"/>
    <col min="16135" max="16135" width="9.28515625" style="39" bestFit="1" customWidth="1"/>
    <col min="16136" max="16136" width="10.28515625" style="39" bestFit="1" customWidth="1"/>
    <col min="16137" max="16137" width="45.7109375" style="39" customWidth="1"/>
    <col min="16138" max="16384" width="9.140625" style="39"/>
  </cols>
  <sheetData>
    <row r="1" spans="1:9" s="31" customFormat="1" ht="26.25">
      <c r="A1" s="1"/>
      <c r="B1" s="2"/>
      <c r="C1" s="111" t="s">
        <v>0</v>
      </c>
      <c r="D1" s="111"/>
      <c r="E1" s="112"/>
      <c r="F1" s="3"/>
      <c r="G1" s="4"/>
      <c r="H1" s="29"/>
      <c r="I1" s="30"/>
    </row>
    <row r="2" spans="1:9" s="31" customFormat="1" ht="26.25">
      <c r="A2" s="5"/>
      <c r="B2" s="6"/>
      <c r="C2" s="113" t="s">
        <v>1</v>
      </c>
      <c r="D2" s="113"/>
      <c r="E2" s="114"/>
      <c r="F2" s="7"/>
      <c r="G2" s="8"/>
      <c r="H2" s="32"/>
      <c r="I2" s="33"/>
    </row>
    <row r="3" spans="1:9" s="31" customFormat="1" ht="26.25">
      <c r="A3" s="5"/>
      <c r="B3" s="6"/>
      <c r="C3" s="113" t="s">
        <v>2</v>
      </c>
      <c r="D3" s="113"/>
      <c r="E3" s="114"/>
      <c r="F3" s="115"/>
      <c r="G3" s="116"/>
      <c r="H3" s="116"/>
      <c r="I3" s="117"/>
    </row>
    <row r="4" spans="1:9" s="31" customFormat="1" ht="39.75" customHeight="1">
      <c r="A4" s="5"/>
      <c r="B4" s="6"/>
      <c r="C4" s="99" t="s">
        <v>188</v>
      </c>
      <c r="D4" s="99"/>
      <c r="E4" s="100"/>
      <c r="F4" s="118" t="s">
        <v>367</v>
      </c>
      <c r="G4" s="119"/>
      <c r="H4" s="119"/>
      <c r="I4" s="120"/>
    </row>
    <row r="5" spans="1:9" s="31" customFormat="1" ht="23.25" customHeight="1">
      <c r="A5" s="5"/>
      <c r="B5" s="6"/>
      <c r="C5" s="99" t="s">
        <v>368</v>
      </c>
      <c r="D5" s="99"/>
      <c r="E5" s="100"/>
      <c r="F5" s="101" t="s">
        <v>189</v>
      </c>
      <c r="G5" s="102"/>
      <c r="H5" s="102"/>
      <c r="I5" s="103"/>
    </row>
    <row r="6" spans="1:9" s="31" customFormat="1" ht="23.25">
      <c r="A6" s="5"/>
      <c r="B6" s="6"/>
      <c r="C6" s="104" t="s">
        <v>186</v>
      </c>
      <c r="D6" s="104"/>
      <c r="E6" s="105"/>
      <c r="F6" s="106" t="s">
        <v>190</v>
      </c>
      <c r="G6" s="107"/>
      <c r="H6" s="107"/>
      <c r="I6" s="108"/>
    </row>
    <row r="7" spans="1:9" s="31" customFormat="1" ht="23.25">
      <c r="A7" s="5"/>
      <c r="B7" s="6"/>
      <c r="C7" s="109"/>
      <c r="D7" s="109"/>
      <c r="E7" s="110"/>
      <c r="F7" s="106" t="s">
        <v>31</v>
      </c>
      <c r="G7" s="107"/>
      <c r="H7" s="107"/>
      <c r="I7" s="108"/>
    </row>
    <row r="8" spans="1:9" s="31" customFormat="1" ht="20.25">
      <c r="A8" s="9"/>
      <c r="B8" s="10"/>
      <c r="C8" s="11"/>
      <c r="D8" s="34"/>
      <c r="E8" s="12"/>
      <c r="F8" s="121" t="s">
        <v>3</v>
      </c>
      <c r="G8" s="122"/>
      <c r="H8" s="122"/>
      <c r="I8" s="123"/>
    </row>
    <row r="9" spans="1:9" s="31" customFormat="1" ht="18" customHeight="1">
      <c r="A9" s="124" t="s">
        <v>286</v>
      </c>
      <c r="B9" s="125"/>
      <c r="C9" s="125"/>
      <c r="D9" s="125"/>
      <c r="E9" s="125"/>
      <c r="F9" s="125"/>
      <c r="G9" s="125"/>
      <c r="H9" s="125"/>
      <c r="I9" s="125"/>
    </row>
    <row r="10" spans="1:9" s="31" customFormat="1" ht="18.75">
      <c r="A10" s="126" t="s">
        <v>4</v>
      </c>
      <c r="B10" s="127" t="s">
        <v>5</v>
      </c>
      <c r="C10" s="128" t="s">
        <v>6</v>
      </c>
      <c r="D10" s="126" t="s">
        <v>7</v>
      </c>
      <c r="E10" s="129" t="s">
        <v>8</v>
      </c>
      <c r="F10" s="130" t="s">
        <v>9</v>
      </c>
      <c r="G10" s="130"/>
      <c r="H10" s="130"/>
      <c r="I10" s="130"/>
    </row>
    <row r="11" spans="1:9" s="31" customFormat="1" ht="18.75">
      <c r="A11" s="126"/>
      <c r="B11" s="127"/>
      <c r="C11" s="128"/>
      <c r="D11" s="126"/>
      <c r="E11" s="129"/>
      <c r="F11" s="35" t="s">
        <v>10</v>
      </c>
      <c r="G11" s="35" t="s">
        <v>11</v>
      </c>
      <c r="H11" s="35" t="s">
        <v>12</v>
      </c>
      <c r="I11" s="77" t="s">
        <v>13</v>
      </c>
    </row>
    <row r="12" spans="1:9" ht="14.25" customHeight="1">
      <c r="A12" s="37" t="s">
        <v>14</v>
      </c>
      <c r="B12" s="38"/>
      <c r="C12" s="96" t="s">
        <v>66</v>
      </c>
      <c r="D12" s="96"/>
      <c r="E12" s="96"/>
      <c r="F12" s="96"/>
      <c r="G12" s="96"/>
      <c r="H12" s="96"/>
      <c r="I12" s="96"/>
    </row>
    <row r="13" spans="1:9" s="76" customFormat="1" ht="60">
      <c r="A13" s="78" t="s">
        <v>15</v>
      </c>
      <c r="B13" s="79" t="s">
        <v>242</v>
      </c>
      <c r="C13" s="80" t="s">
        <v>241</v>
      </c>
      <c r="D13" s="78" t="s">
        <v>7</v>
      </c>
      <c r="E13" s="81">
        <v>5</v>
      </c>
      <c r="F13" s="81">
        <f>TRUNC('MEMÓRIA DESONERADA'!F13,2)</f>
        <v>84.66</v>
      </c>
      <c r="G13" s="81">
        <f t="shared" ref="G13:G44" si="0">TRUNC(F13*1.2882,2)</f>
        <v>109.05</v>
      </c>
      <c r="H13" s="81">
        <f t="shared" ref="H13:H44" si="1">TRUNC(F13*E13,2)</f>
        <v>423.3</v>
      </c>
      <c r="I13" s="81">
        <f t="shared" ref="I13:I44" si="2">TRUNC(E13*G13,2)</f>
        <v>545.25</v>
      </c>
    </row>
    <row r="14" spans="1:9" s="82" customFormat="1" ht="30">
      <c r="A14" s="78" t="s">
        <v>41</v>
      </c>
      <c r="B14" s="79" t="s">
        <v>68</v>
      </c>
      <c r="C14" s="80" t="s">
        <v>69</v>
      </c>
      <c r="D14" s="78" t="s">
        <v>7</v>
      </c>
      <c r="E14" s="81">
        <v>4</v>
      </c>
      <c r="F14" s="81">
        <f>TRUNC('MEMÓRIA DESONERADA'!F25,2)</f>
        <v>50.14</v>
      </c>
      <c r="G14" s="81">
        <f t="shared" si="0"/>
        <v>64.59</v>
      </c>
      <c r="H14" s="81">
        <f t="shared" si="1"/>
        <v>200.56</v>
      </c>
      <c r="I14" s="81">
        <f t="shared" si="2"/>
        <v>258.36</v>
      </c>
    </row>
    <row r="15" spans="1:9" s="82" customFormat="1" ht="30">
      <c r="A15" s="78" t="s">
        <v>42</v>
      </c>
      <c r="B15" s="79" t="s">
        <v>71</v>
      </c>
      <c r="C15" s="80" t="s">
        <v>72</v>
      </c>
      <c r="D15" s="78" t="s">
        <v>7</v>
      </c>
      <c r="E15" s="81">
        <v>14</v>
      </c>
      <c r="F15" s="81">
        <f>TRUNC('MEMÓRIA DESONERADA'!F30,2)</f>
        <v>29.65</v>
      </c>
      <c r="G15" s="81">
        <f t="shared" si="0"/>
        <v>38.19</v>
      </c>
      <c r="H15" s="81">
        <f t="shared" si="1"/>
        <v>415.1</v>
      </c>
      <c r="I15" s="81">
        <f t="shared" si="2"/>
        <v>534.66</v>
      </c>
    </row>
    <row r="16" spans="1:9" s="82" customFormat="1" ht="30">
      <c r="A16" s="78" t="s">
        <v>43</v>
      </c>
      <c r="B16" s="79" t="s">
        <v>74</v>
      </c>
      <c r="C16" s="80" t="s">
        <v>75</v>
      </c>
      <c r="D16" s="78" t="s">
        <v>7</v>
      </c>
      <c r="E16" s="81">
        <v>5</v>
      </c>
      <c r="F16" s="81">
        <f>TRUNC('MEMÓRIA DESONERADA'!F35,2)</f>
        <v>32.01</v>
      </c>
      <c r="G16" s="81">
        <f t="shared" si="0"/>
        <v>41.23</v>
      </c>
      <c r="H16" s="81">
        <f t="shared" si="1"/>
        <v>160.05000000000001</v>
      </c>
      <c r="I16" s="81">
        <f t="shared" si="2"/>
        <v>206.15</v>
      </c>
    </row>
    <row r="17" spans="1:9" s="82" customFormat="1" ht="30">
      <c r="A17" s="78" t="s">
        <v>44</v>
      </c>
      <c r="B17" s="79" t="s">
        <v>77</v>
      </c>
      <c r="C17" s="80" t="s">
        <v>78</v>
      </c>
      <c r="D17" s="78" t="s">
        <v>7</v>
      </c>
      <c r="E17" s="81">
        <v>1</v>
      </c>
      <c r="F17" s="81">
        <f>TRUNC('MEMÓRIA DESONERADA'!F40,2)</f>
        <v>13.31</v>
      </c>
      <c r="G17" s="81">
        <f t="shared" si="0"/>
        <v>17.14</v>
      </c>
      <c r="H17" s="81">
        <f t="shared" si="1"/>
        <v>13.31</v>
      </c>
      <c r="I17" s="81">
        <f t="shared" si="2"/>
        <v>17.14</v>
      </c>
    </row>
    <row r="18" spans="1:9" s="82" customFormat="1" ht="30">
      <c r="A18" s="78" t="s">
        <v>45</v>
      </c>
      <c r="B18" s="79" t="s">
        <v>87</v>
      </c>
      <c r="C18" s="80" t="s">
        <v>88</v>
      </c>
      <c r="D18" s="78" t="s">
        <v>7</v>
      </c>
      <c r="E18" s="81">
        <v>3</v>
      </c>
      <c r="F18" s="81">
        <f>TRUNC('MEMÓRIA DESONERADA'!F47,2)</f>
        <v>55.42</v>
      </c>
      <c r="G18" s="81">
        <f t="shared" si="0"/>
        <v>71.39</v>
      </c>
      <c r="H18" s="81">
        <f t="shared" si="1"/>
        <v>166.26</v>
      </c>
      <c r="I18" s="81">
        <f t="shared" si="2"/>
        <v>214.17</v>
      </c>
    </row>
    <row r="19" spans="1:9" s="82" customFormat="1" ht="30">
      <c r="A19" s="78" t="s">
        <v>46</v>
      </c>
      <c r="B19" s="79" t="s">
        <v>93</v>
      </c>
      <c r="C19" s="80" t="s">
        <v>94</v>
      </c>
      <c r="D19" s="78" t="s">
        <v>7</v>
      </c>
      <c r="E19" s="81">
        <v>8</v>
      </c>
      <c r="F19" s="81">
        <f>TRUNC('MEMÓRIA DESONERADA'!F54,2)</f>
        <v>58.05</v>
      </c>
      <c r="G19" s="81">
        <f t="shared" si="0"/>
        <v>74.78</v>
      </c>
      <c r="H19" s="81">
        <f t="shared" si="1"/>
        <v>464.4</v>
      </c>
      <c r="I19" s="81">
        <f t="shared" si="2"/>
        <v>598.24</v>
      </c>
    </row>
    <row r="20" spans="1:9" s="82" customFormat="1" ht="30">
      <c r="A20" s="78" t="s">
        <v>47</v>
      </c>
      <c r="B20" s="79" t="s">
        <v>191</v>
      </c>
      <c r="C20" s="80" t="s">
        <v>192</v>
      </c>
      <c r="D20" s="78" t="s">
        <v>7</v>
      </c>
      <c r="E20" s="81">
        <v>5</v>
      </c>
      <c r="F20" s="81">
        <f>TRUNC('MEMÓRIA DESONERADA'!F61,2)</f>
        <v>61.25</v>
      </c>
      <c r="G20" s="81">
        <f t="shared" si="0"/>
        <v>78.900000000000006</v>
      </c>
      <c r="H20" s="81">
        <f t="shared" si="1"/>
        <v>306.25</v>
      </c>
      <c r="I20" s="81">
        <f t="shared" si="2"/>
        <v>394.5</v>
      </c>
    </row>
    <row r="21" spans="1:9" s="82" customFormat="1" ht="30">
      <c r="A21" s="78" t="s">
        <v>48</v>
      </c>
      <c r="B21" s="79" t="s">
        <v>97</v>
      </c>
      <c r="C21" s="80" t="s">
        <v>98</v>
      </c>
      <c r="D21" s="78" t="s">
        <v>7</v>
      </c>
      <c r="E21" s="81">
        <v>2</v>
      </c>
      <c r="F21" s="81">
        <f>TRUNC('MEMÓRIA DESONERADA'!F68,2)</f>
        <v>80.260000000000005</v>
      </c>
      <c r="G21" s="81">
        <f t="shared" si="0"/>
        <v>103.39</v>
      </c>
      <c r="H21" s="81">
        <f t="shared" si="1"/>
        <v>160.52000000000001</v>
      </c>
      <c r="I21" s="81">
        <f t="shared" si="2"/>
        <v>206.78</v>
      </c>
    </row>
    <row r="22" spans="1:9" s="82" customFormat="1" ht="30">
      <c r="A22" s="78" t="s">
        <v>49</v>
      </c>
      <c r="B22" s="79" t="s">
        <v>101</v>
      </c>
      <c r="C22" s="80" t="s">
        <v>102</v>
      </c>
      <c r="D22" s="78" t="s">
        <v>7</v>
      </c>
      <c r="E22" s="81">
        <v>2</v>
      </c>
      <c r="F22" s="81">
        <f>TRUNC('MEMÓRIA DESONERADA'!F75,2)</f>
        <v>51.56</v>
      </c>
      <c r="G22" s="81">
        <f t="shared" si="0"/>
        <v>66.41</v>
      </c>
      <c r="H22" s="81">
        <f t="shared" si="1"/>
        <v>103.12</v>
      </c>
      <c r="I22" s="81">
        <f t="shared" si="2"/>
        <v>132.82</v>
      </c>
    </row>
    <row r="23" spans="1:9" s="82" customFormat="1" ht="60">
      <c r="A23" s="78" t="s">
        <v>50</v>
      </c>
      <c r="B23" s="79" t="s">
        <v>193</v>
      </c>
      <c r="C23" s="80" t="s">
        <v>194</v>
      </c>
      <c r="D23" s="78" t="s">
        <v>7</v>
      </c>
      <c r="E23" s="81">
        <v>1</v>
      </c>
      <c r="F23" s="81">
        <f>TRUNC('MEMÓRIA DESONERADA'!F81,2)</f>
        <v>687.22</v>
      </c>
      <c r="G23" s="81">
        <f t="shared" si="0"/>
        <v>885.27</v>
      </c>
      <c r="H23" s="81">
        <f t="shared" si="1"/>
        <v>687.22</v>
      </c>
      <c r="I23" s="81">
        <f t="shared" si="2"/>
        <v>885.27</v>
      </c>
    </row>
    <row r="24" spans="1:9" s="82" customFormat="1" ht="60">
      <c r="A24" s="78" t="s">
        <v>51</v>
      </c>
      <c r="B24" s="79" t="s">
        <v>105</v>
      </c>
      <c r="C24" s="80" t="s">
        <v>106</v>
      </c>
      <c r="D24" s="78" t="s">
        <v>7</v>
      </c>
      <c r="E24" s="81">
        <v>2</v>
      </c>
      <c r="F24" s="81">
        <f>TRUNC('MEMÓRIA DESONERADA'!F87,2)</f>
        <v>453.29</v>
      </c>
      <c r="G24" s="81">
        <f t="shared" si="0"/>
        <v>583.91999999999996</v>
      </c>
      <c r="H24" s="81">
        <f t="shared" si="1"/>
        <v>906.58</v>
      </c>
      <c r="I24" s="81">
        <f t="shared" si="2"/>
        <v>1167.8399999999999</v>
      </c>
    </row>
    <row r="25" spans="1:9" s="82" customFormat="1" ht="75">
      <c r="A25" s="78" t="s">
        <v>52</v>
      </c>
      <c r="B25" s="79" t="s">
        <v>143</v>
      </c>
      <c r="C25" s="80" t="s">
        <v>144</v>
      </c>
      <c r="D25" s="78" t="s">
        <v>7</v>
      </c>
      <c r="E25" s="81">
        <v>1</v>
      </c>
      <c r="F25" s="81">
        <f>TRUNC('MEMÓRIA DESONERADA'!F93,2)</f>
        <v>3553.56</v>
      </c>
      <c r="G25" s="81">
        <f t="shared" si="0"/>
        <v>4577.6899999999996</v>
      </c>
      <c r="H25" s="81">
        <f t="shared" si="1"/>
        <v>3553.56</v>
      </c>
      <c r="I25" s="81">
        <f t="shared" si="2"/>
        <v>4577.6899999999996</v>
      </c>
    </row>
    <row r="26" spans="1:9" s="82" customFormat="1" ht="45">
      <c r="A26" s="78" t="s">
        <v>243</v>
      </c>
      <c r="B26" s="79" t="s">
        <v>170</v>
      </c>
      <c r="C26" s="80" t="s">
        <v>171</v>
      </c>
      <c r="D26" s="78" t="s">
        <v>7</v>
      </c>
      <c r="E26" s="81">
        <v>1</v>
      </c>
      <c r="F26" s="81">
        <f>TRUNC('MEMÓRIA DESONERADA'!F116,2)</f>
        <v>921.85</v>
      </c>
      <c r="G26" s="81">
        <f t="shared" si="0"/>
        <v>1187.52</v>
      </c>
      <c r="H26" s="81">
        <f t="shared" si="1"/>
        <v>921.85</v>
      </c>
      <c r="I26" s="81">
        <f t="shared" si="2"/>
        <v>1187.52</v>
      </c>
    </row>
    <row r="27" spans="1:9" s="82" customFormat="1" ht="30">
      <c r="A27" s="78" t="s">
        <v>244</v>
      </c>
      <c r="B27" s="79" t="s">
        <v>139</v>
      </c>
      <c r="C27" s="80" t="s">
        <v>140</v>
      </c>
      <c r="D27" s="78" t="s">
        <v>7</v>
      </c>
      <c r="E27" s="81">
        <v>5</v>
      </c>
      <c r="F27" s="81">
        <f>TRUNC('MEMÓRIA DESONERADA'!F125,2)</f>
        <v>75.959999999999994</v>
      </c>
      <c r="G27" s="81">
        <f t="shared" si="0"/>
        <v>97.85</v>
      </c>
      <c r="H27" s="81">
        <f t="shared" si="1"/>
        <v>379.8</v>
      </c>
      <c r="I27" s="81">
        <f t="shared" si="2"/>
        <v>489.25</v>
      </c>
    </row>
    <row r="28" spans="1:9" s="76" customFormat="1" ht="45">
      <c r="A28" s="78" t="s">
        <v>245</v>
      </c>
      <c r="B28" s="79" t="s">
        <v>197</v>
      </c>
      <c r="C28" s="80" t="s">
        <v>198</v>
      </c>
      <c r="D28" s="78" t="s">
        <v>18</v>
      </c>
      <c r="E28" s="81">
        <v>22</v>
      </c>
      <c r="F28" s="81">
        <f>TRUNC('MEMÓRIA DESONERADA'!F131,2)</f>
        <v>150.31</v>
      </c>
      <c r="G28" s="81">
        <f t="shared" si="0"/>
        <v>193.62</v>
      </c>
      <c r="H28" s="81">
        <f t="shared" si="1"/>
        <v>3306.82</v>
      </c>
      <c r="I28" s="81">
        <f t="shared" si="2"/>
        <v>4259.6400000000003</v>
      </c>
    </row>
    <row r="29" spans="1:9" s="76" customFormat="1" ht="45">
      <c r="A29" s="78" t="s">
        <v>246</v>
      </c>
      <c r="B29" s="79" t="s">
        <v>201</v>
      </c>
      <c r="C29" s="80" t="s">
        <v>202</v>
      </c>
      <c r="D29" s="78" t="s">
        <v>18</v>
      </c>
      <c r="E29" s="81">
        <v>36</v>
      </c>
      <c r="F29" s="81">
        <f>TRUNC('MEMÓRIA DESONERADA'!F138,2)</f>
        <v>88.53</v>
      </c>
      <c r="G29" s="81">
        <f t="shared" si="0"/>
        <v>114.04</v>
      </c>
      <c r="H29" s="81">
        <f t="shared" si="1"/>
        <v>3187.08</v>
      </c>
      <c r="I29" s="81">
        <f t="shared" si="2"/>
        <v>4105.4399999999996</v>
      </c>
    </row>
    <row r="30" spans="1:9" s="76" customFormat="1" ht="45">
      <c r="A30" s="78" t="s">
        <v>247</v>
      </c>
      <c r="B30" s="79" t="s">
        <v>205</v>
      </c>
      <c r="C30" s="80" t="s">
        <v>206</v>
      </c>
      <c r="D30" s="78" t="s">
        <v>18</v>
      </c>
      <c r="E30" s="81">
        <v>9</v>
      </c>
      <c r="F30" s="81">
        <f>TRUNC('MEMÓRIA DESONERADA'!F145,2)</f>
        <v>54.85</v>
      </c>
      <c r="G30" s="81">
        <f t="shared" si="0"/>
        <v>70.650000000000006</v>
      </c>
      <c r="H30" s="81">
        <f t="shared" si="1"/>
        <v>493.65</v>
      </c>
      <c r="I30" s="81">
        <f t="shared" si="2"/>
        <v>635.85</v>
      </c>
    </row>
    <row r="31" spans="1:9" s="76" customFormat="1" ht="45">
      <c r="A31" s="78" t="s">
        <v>248</v>
      </c>
      <c r="B31" s="79" t="s">
        <v>209</v>
      </c>
      <c r="C31" s="80" t="s">
        <v>210</v>
      </c>
      <c r="D31" s="78" t="s">
        <v>18</v>
      </c>
      <c r="E31" s="81">
        <v>240</v>
      </c>
      <c r="F31" s="81">
        <f>TRUNC('MEMÓRIA DESONERADA'!F152,2)</f>
        <v>27.21</v>
      </c>
      <c r="G31" s="81">
        <f t="shared" si="0"/>
        <v>35.049999999999997</v>
      </c>
      <c r="H31" s="81">
        <f t="shared" si="1"/>
        <v>6530.4</v>
      </c>
      <c r="I31" s="81">
        <f t="shared" si="2"/>
        <v>8412</v>
      </c>
    </row>
    <row r="32" spans="1:9" s="76" customFormat="1" ht="45">
      <c r="A32" s="78" t="s">
        <v>249</v>
      </c>
      <c r="B32" s="79" t="s">
        <v>213</v>
      </c>
      <c r="C32" s="80" t="s">
        <v>214</v>
      </c>
      <c r="D32" s="78" t="s">
        <v>18</v>
      </c>
      <c r="E32" s="81">
        <v>28</v>
      </c>
      <c r="F32" s="81">
        <f>TRUNC('MEMÓRIA DESONERADA'!F159,2)</f>
        <v>13.3</v>
      </c>
      <c r="G32" s="81">
        <f t="shared" si="0"/>
        <v>17.13</v>
      </c>
      <c r="H32" s="81">
        <f t="shared" si="1"/>
        <v>372.4</v>
      </c>
      <c r="I32" s="81">
        <f t="shared" si="2"/>
        <v>479.64</v>
      </c>
    </row>
    <row r="33" spans="1:9" s="76" customFormat="1" ht="45">
      <c r="A33" s="78" t="s">
        <v>250</v>
      </c>
      <c r="B33" s="79" t="s">
        <v>111</v>
      </c>
      <c r="C33" s="80" t="s">
        <v>112</v>
      </c>
      <c r="D33" s="78" t="s">
        <v>18</v>
      </c>
      <c r="E33" s="81">
        <v>6</v>
      </c>
      <c r="F33" s="81">
        <f>TRUNC('MEMÓRIA DESONERADA'!F166,2)</f>
        <v>9.48</v>
      </c>
      <c r="G33" s="81">
        <f t="shared" si="0"/>
        <v>12.21</v>
      </c>
      <c r="H33" s="81">
        <f t="shared" si="1"/>
        <v>56.88</v>
      </c>
      <c r="I33" s="81">
        <f t="shared" si="2"/>
        <v>73.260000000000005</v>
      </c>
    </row>
    <row r="34" spans="1:9" s="76" customFormat="1" ht="45">
      <c r="A34" s="78" t="s">
        <v>251</v>
      </c>
      <c r="B34" s="79" t="s">
        <v>115</v>
      </c>
      <c r="C34" s="80" t="s">
        <v>116</v>
      </c>
      <c r="D34" s="78" t="s">
        <v>18</v>
      </c>
      <c r="E34" s="81">
        <v>239</v>
      </c>
      <c r="F34" s="81">
        <f>TRUNC('MEMÓRIA DESONERADA'!F173,2)</f>
        <v>4.8</v>
      </c>
      <c r="G34" s="81">
        <f t="shared" si="0"/>
        <v>6.18</v>
      </c>
      <c r="H34" s="81">
        <f t="shared" si="1"/>
        <v>1147.2</v>
      </c>
      <c r="I34" s="81">
        <f t="shared" si="2"/>
        <v>1477.02</v>
      </c>
    </row>
    <row r="35" spans="1:9" s="76" customFormat="1" ht="45">
      <c r="A35" s="78" t="s">
        <v>252</v>
      </c>
      <c r="B35" s="79" t="s">
        <v>119</v>
      </c>
      <c r="C35" s="80" t="s">
        <v>120</v>
      </c>
      <c r="D35" s="78" t="s">
        <v>18</v>
      </c>
      <c r="E35" s="81">
        <v>390</v>
      </c>
      <c r="F35" s="81">
        <f>TRUNC('MEMÓRIA DESONERADA'!F180,2)</f>
        <v>3.43</v>
      </c>
      <c r="G35" s="81">
        <f t="shared" si="0"/>
        <v>4.41</v>
      </c>
      <c r="H35" s="81">
        <f t="shared" si="1"/>
        <v>1337.7</v>
      </c>
      <c r="I35" s="81">
        <f t="shared" si="2"/>
        <v>1719.9</v>
      </c>
    </row>
    <row r="36" spans="1:9" s="82" customFormat="1" ht="30">
      <c r="A36" s="78" t="s">
        <v>253</v>
      </c>
      <c r="B36" s="79" t="s">
        <v>217</v>
      </c>
      <c r="C36" s="80" t="s">
        <v>218</v>
      </c>
      <c r="D36" s="78" t="s">
        <v>18</v>
      </c>
      <c r="E36" s="81">
        <v>10</v>
      </c>
      <c r="F36" s="81">
        <f>TRUNC('MEMÓRIA DESONERADA'!F187,2)</f>
        <v>12</v>
      </c>
      <c r="G36" s="81">
        <f t="shared" si="0"/>
        <v>15.45</v>
      </c>
      <c r="H36" s="81">
        <f t="shared" si="1"/>
        <v>120</v>
      </c>
      <c r="I36" s="81">
        <f t="shared" si="2"/>
        <v>154.5</v>
      </c>
    </row>
    <row r="37" spans="1:9" s="76" customFormat="1" ht="45">
      <c r="A37" s="78" t="s">
        <v>254</v>
      </c>
      <c r="B37" s="79" t="s">
        <v>219</v>
      </c>
      <c r="C37" s="80" t="s">
        <v>220</v>
      </c>
      <c r="D37" s="78" t="s">
        <v>18</v>
      </c>
      <c r="E37" s="81">
        <v>38</v>
      </c>
      <c r="F37" s="81">
        <f>TRUNC('MEMÓRIA DESONERADA'!F193,2)</f>
        <v>39.22</v>
      </c>
      <c r="G37" s="81">
        <f t="shared" si="0"/>
        <v>50.52</v>
      </c>
      <c r="H37" s="81">
        <f t="shared" si="1"/>
        <v>1490.36</v>
      </c>
      <c r="I37" s="81">
        <f t="shared" si="2"/>
        <v>1919.76</v>
      </c>
    </row>
    <row r="38" spans="1:9" s="76" customFormat="1" ht="45">
      <c r="A38" s="78" t="s">
        <v>255</v>
      </c>
      <c r="B38" s="79" t="s">
        <v>129</v>
      </c>
      <c r="C38" s="80" t="s">
        <v>130</v>
      </c>
      <c r="D38" s="78" t="s">
        <v>18</v>
      </c>
      <c r="E38" s="81">
        <v>22</v>
      </c>
      <c r="F38" s="81">
        <f>TRUNC('MEMÓRIA DESONERADA'!F199,2)</f>
        <v>21.77</v>
      </c>
      <c r="G38" s="81">
        <f t="shared" si="0"/>
        <v>28.04</v>
      </c>
      <c r="H38" s="81">
        <f t="shared" si="1"/>
        <v>478.94</v>
      </c>
      <c r="I38" s="81">
        <f t="shared" si="2"/>
        <v>616.88</v>
      </c>
    </row>
    <row r="39" spans="1:9" s="76" customFormat="1" ht="45">
      <c r="A39" s="78" t="s">
        <v>256</v>
      </c>
      <c r="B39" s="79" t="s">
        <v>223</v>
      </c>
      <c r="C39" s="80" t="s">
        <v>224</v>
      </c>
      <c r="D39" s="78" t="s">
        <v>18</v>
      </c>
      <c r="E39" s="81">
        <v>10</v>
      </c>
      <c r="F39" s="81">
        <f>TRUNC('MEMÓRIA DESONERADA'!F205,2)</f>
        <v>13.79</v>
      </c>
      <c r="G39" s="81">
        <f t="shared" si="0"/>
        <v>17.760000000000002</v>
      </c>
      <c r="H39" s="81">
        <f t="shared" si="1"/>
        <v>137.9</v>
      </c>
      <c r="I39" s="81">
        <f t="shared" si="2"/>
        <v>177.6</v>
      </c>
    </row>
    <row r="40" spans="1:9" s="76" customFormat="1" ht="45">
      <c r="A40" s="78" t="s">
        <v>257</v>
      </c>
      <c r="B40" s="79" t="s">
        <v>227</v>
      </c>
      <c r="C40" s="80" t="s">
        <v>228</v>
      </c>
      <c r="D40" s="78" t="s">
        <v>18</v>
      </c>
      <c r="E40" s="81">
        <v>4</v>
      </c>
      <c r="F40" s="81">
        <f>TRUNC('MEMÓRIA DESONERADA'!F211,2)</f>
        <v>11.88</v>
      </c>
      <c r="G40" s="81">
        <f t="shared" si="0"/>
        <v>15.3</v>
      </c>
      <c r="H40" s="81">
        <f t="shared" si="1"/>
        <v>47.52</v>
      </c>
      <c r="I40" s="81">
        <f t="shared" si="2"/>
        <v>61.2</v>
      </c>
    </row>
    <row r="41" spans="1:9" s="76" customFormat="1" ht="45">
      <c r="A41" s="78" t="s">
        <v>258</v>
      </c>
      <c r="B41" s="79" t="s">
        <v>125</v>
      </c>
      <c r="C41" s="80" t="s">
        <v>126</v>
      </c>
      <c r="D41" s="78" t="s">
        <v>18</v>
      </c>
      <c r="E41" s="81">
        <v>10</v>
      </c>
      <c r="F41" s="81">
        <f>TRUNC('MEMÓRIA DESONERADA'!F217,2)</f>
        <v>9.19</v>
      </c>
      <c r="G41" s="81">
        <f t="shared" si="0"/>
        <v>11.83</v>
      </c>
      <c r="H41" s="81">
        <f t="shared" si="1"/>
        <v>91.9</v>
      </c>
      <c r="I41" s="81">
        <f t="shared" si="2"/>
        <v>118.3</v>
      </c>
    </row>
    <row r="42" spans="1:9" s="76" customFormat="1" ht="45">
      <c r="A42" s="78" t="s">
        <v>259</v>
      </c>
      <c r="B42" s="79" t="s">
        <v>135</v>
      </c>
      <c r="C42" s="80" t="s">
        <v>136</v>
      </c>
      <c r="D42" s="78" t="s">
        <v>18</v>
      </c>
      <c r="E42" s="81">
        <v>26</v>
      </c>
      <c r="F42" s="81">
        <f>TRUNC('MEMÓRIA DESONERADA'!F223,2)</f>
        <v>8.81</v>
      </c>
      <c r="G42" s="81">
        <f t="shared" si="0"/>
        <v>11.34</v>
      </c>
      <c r="H42" s="81">
        <f t="shared" si="1"/>
        <v>229.06</v>
      </c>
      <c r="I42" s="81">
        <f t="shared" si="2"/>
        <v>294.83999999999997</v>
      </c>
    </row>
    <row r="43" spans="1:9" s="82" customFormat="1" ht="30">
      <c r="A43" s="78" t="s">
        <v>260</v>
      </c>
      <c r="B43" s="79" t="s">
        <v>261</v>
      </c>
      <c r="C43" s="80" t="s">
        <v>262</v>
      </c>
      <c r="D43" s="78" t="s">
        <v>7</v>
      </c>
      <c r="E43" s="81">
        <v>4</v>
      </c>
      <c r="F43" s="81">
        <f>TRUNC('MEMÓRIA DESONERADA'!F230,2)</f>
        <v>65.63</v>
      </c>
      <c r="G43" s="81">
        <f t="shared" si="0"/>
        <v>84.54</v>
      </c>
      <c r="H43" s="81">
        <f t="shared" si="1"/>
        <v>262.52</v>
      </c>
      <c r="I43" s="81">
        <f t="shared" si="2"/>
        <v>338.16</v>
      </c>
    </row>
    <row r="44" spans="1:9" s="82" customFormat="1" ht="45">
      <c r="A44" s="78" t="s">
        <v>267</v>
      </c>
      <c r="B44" s="79" t="s">
        <v>268</v>
      </c>
      <c r="C44" s="80" t="s">
        <v>269</v>
      </c>
      <c r="D44" s="78" t="s">
        <v>18</v>
      </c>
      <c r="E44" s="81">
        <v>18</v>
      </c>
      <c r="F44" s="81">
        <f>TRUNC('MEMÓRIA DESONERADA'!F237,2)</f>
        <v>115.27</v>
      </c>
      <c r="G44" s="81">
        <f t="shared" si="0"/>
        <v>148.49</v>
      </c>
      <c r="H44" s="81">
        <f t="shared" si="1"/>
        <v>2074.86</v>
      </c>
      <c r="I44" s="81">
        <f t="shared" si="2"/>
        <v>2672.82</v>
      </c>
    </row>
    <row r="45" spans="1:9" s="88" customFormat="1" ht="15.75">
      <c r="A45" s="83" t="s">
        <v>17</v>
      </c>
      <c r="B45" s="84"/>
      <c r="C45" s="85"/>
      <c r="D45" s="83"/>
      <c r="E45" s="86"/>
      <c r="F45" s="87"/>
      <c r="G45" s="89" t="s">
        <v>57</v>
      </c>
      <c r="H45" s="87">
        <f>SUM(H13:H44)</f>
        <v>30227.070000000007</v>
      </c>
      <c r="I45" s="87">
        <f>SUM(I13:I44)</f>
        <v>38932.44999999999</v>
      </c>
    </row>
    <row r="46" spans="1:9" ht="14.25" customHeight="1">
      <c r="A46" s="37" t="s">
        <v>287</v>
      </c>
      <c r="B46" s="38"/>
      <c r="C46" s="96" t="s">
        <v>288</v>
      </c>
      <c r="D46" s="96"/>
      <c r="E46" s="96"/>
      <c r="F46" s="96"/>
      <c r="G46" s="96"/>
      <c r="H46" s="96"/>
      <c r="I46" s="96"/>
    </row>
    <row r="47" spans="1:9" s="75" customFormat="1" ht="60">
      <c r="A47" s="78" t="s">
        <v>289</v>
      </c>
      <c r="B47" s="79" t="s">
        <v>292</v>
      </c>
      <c r="C47" s="80" t="s">
        <v>293</v>
      </c>
      <c r="D47" s="78" t="s">
        <v>36</v>
      </c>
      <c r="E47" s="81">
        <v>0.93</v>
      </c>
      <c r="F47" s="81">
        <f>TRUNC('MEMÓRIA DESONERADA'!F252,2)</f>
        <v>626.62</v>
      </c>
      <c r="G47" s="81">
        <f t="shared" ref="G47:G51" si="3">TRUNC(F47*1.2882,2)</f>
        <v>807.21</v>
      </c>
      <c r="H47" s="81">
        <f t="shared" ref="H47:H51" si="4">TRUNC(F47*E47,2)</f>
        <v>582.75</v>
      </c>
      <c r="I47" s="81">
        <f t="shared" ref="I47:I51" si="5">TRUNC(E47*G47,2)</f>
        <v>750.7</v>
      </c>
    </row>
    <row r="48" spans="1:9" s="75" customFormat="1" ht="45">
      <c r="A48" s="78" t="s">
        <v>290</v>
      </c>
      <c r="B48" s="79" t="s">
        <v>305</v>
      </c>
      <c r="C48" s="79" t="s">
        <v>306</v>
      </c>
      <c r="D48" s="78" t="s">
        <v>16</v>
      </c>
      <c r="E48" s="81">
        <v>4.3499999999999996</v>
      </c>
      <c r="F48" s="81">
        <f>TRUNC('MEMÓRIA DESONERADA'!F260,2)</f>
        <v>87.25</v>
      </c>
      <c r="G48" s="81">
        <f t="shared" si="3"/>
        <v>112.39</v>
      </c>
      <c r="H48" s="81">
        <f t="shared" si="4"/>
        <v>379.53</v>
      </c>
      <c r="I48" s="81">
        <f t="shared" si="5"/>
        <v>488.89</v>
      </c>
    </row>
    <row r="49" spans="1:9" ht="30">
      <c r="A49" s="78" t="s">
        <v>291</v>
      </c>
      <c r="B49" s="79" t="s">
        <v>319</v>
      </c>
      <c r="C49" s="79" t="s">
        <v>320</v>
      </c>
      <c r="D49" s="78" t="s">
        <v>32</v>
      </c>
      <c r="E49" s="81">
        <v>6.27</v>
      </c>
      <c r="F49" s="81">
        <f>TRUNC('MEMÓRIA DESONERADA'!F270,2)</f>
        <v>16.32</v>
      </c>
      <c r="G49" s="81">
        <f t="shared" si="3"/>
        <v>21.02</v>
      </c>
      <c r="H49" s="81">
        <f t="shared" si="4"/>
        <v>102.32</v>
      </c>
      <c r="I49" s="81">
        <f t="shared" si="5"/>
        <v>131.79</v>
      </c>
    </row>
    <row r="50" spans="1:9" ht="30">
      <c r="A50" s="78" t="s">
        <v>329</v>
      </c>
      <c r="B50" s="79" t="s">
        <v>330</v>
      </c>
      <c r="C50" s="79" t="s">
        <v>331</v>
      </c>
      <c r="D50" s="78" t="s">
        <v>32</v>
      </c>
      <c r="E50" s="81">
        <v>20.83</v>
      </c>
      <c r="F50" s="81">
        <f>TRUNC('MEMÓRIA DESONERADA'!F278,2)</f>
        <v>13.98</v>
      </c>
      <c r="G50" s="81">
        <f t="shared" si="3"/>
        <v>18</v>
      </c>
      <c r="H50" s="81">
        <f t="shared" si="4"/>
        <v>291.2</v>
      </c>
      <c r="I50" s="81">
        <f t="shared" si="5"/>
        <v>374.94</v>
      </c>
    </row>
    <row r="51" spans="1:9" ht="30">
      <c r="A51" s="78" t="s">
        <v>329</v>
      </c>
      <c r="B51" s="79" t="s">
        <v>335</v>
      </c>
      <c r="C51" s="79" t="s">
        <v>336</v>
      </c>
      <c r="D51" s="78" t="s">
        <v>32</v>
      </c>
      <c r="E51" s="81">
        <v>12.313599999999999</v>
      </c>
      <c r="F51" s="81">
        <f>TRUNC('MEMÓRIA DESONERADA'!F286,2)</f>
        <v>15.77</v>
      </c>
      <c r="G51" s="81">
        <f t="shared" si="3"/>
        <v>20.309999999999999</v>
      </c>
      <c r="H51" s="81">
        <f t="shared" si="4"/>
        <v>194.18</v>
      </c>
      <c r="I51" s="81">
        <f t="shared" si="5"/>
        <v>250.08</v>
      </c>
    </row>
    <row r="52" spans="1:9" s="82" customFormat="1" ht="15">
      <c r="A52" s="78" t="s">
        <v>340</v>
      </c>
      <c r="B52" s="79" t="s">
        <v>343</v>
      </c>
      <c r="C52" s="79" t="s">
        <v>344</v>
      </c>
      <c r="D52" s="78" t="s">
        <v>18</v>
      </c>
      <c r="E52" s="81">
        <v>6</v>
      </c>
      <c r="F52" s="81">
        <f>TRUNC('MEMÓRIA DESONERADA'!F294,2)</f>
        <v>18</v>
      </c>
      <c r="G52" s="81">
        <f t="shared" ref="G52:G55" si="6">TRUNC(F52*1.2882,2)</f>
        <v>23.18</v>
      </c>
      <c r="H52" s="81">
        <f t="shared" ref="H52:H55" si="7">TRUNC(F52*E52,2)</f>
        <v>108</v>
      </c>
      <c r="I52" s="81">
        <f t="shared" ref="I52:I55" si="8">TRUNC(E52*G52,2)</f>
        <v>139.08000000000001</v>
      </c>
    </row>
    <row r="53" spans="1:9" s="82" customFormat="1" ht="45">
      <c r="A53" s="78" t="s">
        <v>341</v>
      </c>
      <c r="B53" s="79" t="s">
        <v>345</v>
      </c>
      <c r="C53" s="79" t="s">
        <v>346</v>
      </c>
      <c r="D53" s="78" t="s">
        <v>32</v>
      </c>
      <c r="E53" s="81">
        <v>148.44</v>
      </c>
      <c r="F53" s="81">
        <f>TRUNC('MEMÓRIA DESONERADA'!F298,2)</f>
        <v>13.71</v>
      </c>
      <c r="G53" s="81">
        <f t="shared" si="6"/>
        <v>17.66</v>
      </c>
      <c r="H53" s="81">
        <f t="shared" si="7"/>
        <v>2035.11</v>
      </c>
      <c r="I53" s="81">
        <f t="shared" si="8"/>
        <v>2621.45</v>
      </c>
    </row>
    <row r="54" spans="1:9" s="82" customFormat="1" ht="30">
      <c r="A54" s="78" t="s">
        <v>342</v>
      </c>
      <c r="B54" s="79" t="s">
        <v>355</v>
      </c>
      <c r="C54" s="79" t="s">
        <v>356</v>
      </c>
      <c r="D54" s="78" t="s">
        <v>7</v>
      </c>
      <c r="E54" s="81">
        <v>8</v>
      </c>
      <c r="F54" s="81">
        <f>TRUNC('MEMÓRIA DESONERADA'!F305,2)</f>
        <v>10.64</v>
      </c>
      <c r="G54" s="81">
        <f t="shared" si="6"/>
        <v>13.7</v>
      </c>
      <c r="H54" s="81">
        <f t="shared" si="7"/>
        <v>85.12</v>
      </c>
      <c r="I54" s="81">
        <f t="shared" si="8"/>
        <v>109.6</v>
      </c>
    </row>
    <row r="55" spans="1:9" s="82" customFormat="1" ht="90">
      <c r="A55" s="78" t="s">
        <v>360</v>
      </c>
      <c r="B55" s="79" t="s">
        <v>361</v>
      </c>
      <c r="C55" s="79" t="s">
        <v>362</v>
      </c>
      <c r="D55" s="78" t="s">
        <v>16</v>
      </c>
      <c r="E55" s="81">
        <v>7.7859999999999996</v>
      </c>
      <c r="F55" s="81">
        <f>TRUNC('MEMÓRIA DESONERADA'!F309,2)</f>
        <v>78.459999999999994</v>
      </c>
      <c r="G55" s="81">
        <f t="shared" si="6"/>
        <v>101.07</v>
      </c>
      <c r="H55" s="81">
        <f t="shared" si="7"/>
        <v>610.88</v>
      </c>
      <c r="I55" s="81">
        <f t="shared" si="8"/>
        <v>786.93</v>
      </c>
    </row>
    <row r="56" spans="1:9" s="57" customFormat="1" ht="15.75">
      <c r="A56" s="58" t="s">
        <v>17</v>
      </c>
      <c r="B56" s="59"/>
      <c r="C56" s="60"/>
      <c r="D56" s="58"/>
      <c r="E56" s="61"/>
      <c r="F56" s="62"/>
      <c r="G56" s="93" t="s">
        <v>334</v>
      </c>
      <c r="H56" s="62">
        <f>SUM(H47:H55)</f>
        <v>4389.09</v>
      </c>
      <c r="I56" s="62">
        <f>SUM(I47:I55)</f>
        <v>5653.4600000000009</v>
      </c>
    </row>
    <row r="57" spans="1:9" s="88" customFormat="1" ht="15.75">
      <c r="A57" s="83" t="s">
        <v>17</v>
      </c>
      <c r="B57" s="84"/>
      <c r="C57" s="85"/>
      <c r="D57" s="83"/>
      <c r="E57" s="86"/>
      <c r="F57" s="87"/>
      <c r="G57" s="89" t="s">
        <v>339</v>
      </c>
      <c r="H57" s="87">
        <f>H45+H56</f>
        <v>34616.160000000003</v>
      </c>
      <c r="I57" s="87">
        <f>I45+I56</f>
        <v>44585.909999999989</v>
      </c>
    </row>
  </sheetData>
  <mergeCells count="22">
    <mergeCell ref="F10:I10"/>
    <mergeCell ref="A10:A11"/>
    <mergeCell ref="B10:B11"/>
    <mergeCell ref="C10:C11"/>
    <mergeCell ref="D10:D11"/>
    <mergeCell ref="E10:E11"/>
    <mergeCell ref="C46:I46"/>
    <mergeCell ref="C1:E1"/>
    <mergeCell ref="C2:E2"/>
    <mergeCell ref="C3:E3"/>
    <mergeCell ref="F3:I3"/>
    <mergeCell ref="C4:E4"/>
    <mergeCell ref="F4:I4"/>
    <mergeCell ref="C5:E5"/>
    <mergeCell ref="F5:I5"/>
    <mergeCell ref="C6:E6"/>
    <mergeCell ref="F6:I6"/>
    <mergeCell ref="C7:E7"/>
    <mergeCell ref="F7:I7"/>
    <mergeCell ref="C12:I12"/>
    <mergeCell ref="F8:I8"/>
    <mergeCell ref="A9:I9"/>
  </mergeCells>
  <printOptions horizontalCentered="1"/>
  <pageMargins left="0.59055118110236227" right="0.39370078740157483" top="0.39370078740157483" bottom="0.59055118110236227" header="0" footer="0"/>
  <pageSetup paperSize="9" scale="56" fitToHeight="1000" orientation="landscape" r:id="rId1"/>
  <headerFooter alignWithMargins="0">
    <oddFooter>&amp;A&amp;RPágina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"/>
  <sheetViews>
    <sheetView tabSelected="1" view="pageBreakPreview" topLeftCell="A13" zoomScale="60" zoomScaleNormal="50" workbookViewId="0">
      <selection activeCell="G15" sqref="G15:G18"/>
    </sheetView>
  </sheetViews>
  <sheetFormatPr defaultRowHeight="15"/>
  <cols>
    <col min="2" max="2" width="62.140625" bestFit="1" customWidth="1"/>
    <col min="3" max="3" width="17" bestFit="1" customWidth="1"/>
    <col min="4" max="4" width="13.7109375" customWidth="1"/>
    <col min="5" max="5" width="15.140625" bestFit="1" customWidth="1"/>
    <col min="6" max="6" width="13.7109375" customWidth="1"/>
    <col min="7" max="7" width="31.85546875" customWidth="1"/>
    <col min="8" max="8" width="16.28515625" bestFit="1" customWidth="1"/>
    <col min="9" max="9" width="17.5703125" bestFit="1" customWidth="1"/>
    <col min="258" max="258" width="62.140625" bestFit="1" customWidth="1"/>
    <col min="259" max="259" width="11.5703125" bestFit="1" customWidth="1"/>
    <col min="260" max="260" width="10.28515625" bestFit="1" customWidth="1"/>
    <col min="261" max="261" width="11.5703125" bestFit="1" customWidth="1"/>
    <col min="262" max="262" width="10.28515625" bestFit="1" customWidth="1"/>
    <col min="263" max="263" width="19.7109375" customWidth="1"/>
    <col min="264" max="264" width="14.5703125" bestFit="1" customWidth="1"/>
    <col min="265" max="265" width="11.5703125" bestFit="1" customWidth="1"/>
    <col min="514" max="514" width="62.140625" bestFit="1" customWidth="1"/>
    <col min="515" max="515" width="11.5703125" bestFit="1" customWidth="1"/>
    <col min="516" max="516" width="10.28515625" bestFit="1" customWidth="1"/>
    <col min="517" max="517" width="11.5703125" bestFit="1" customWidth="1"/>
    <col min="518" max="518" width="10.28515625" bestFit="1" customWidth="1"/>
    <col min="519" max="519" width="19.7109375" customWidth="1"/>
    <col min="520" max="520" width="14.5703125" bestFit="1" customWidth="1"/>
    <col min="521" max="521" width="11.5703125" bestFit="1" customWidth="1"/>
    <col min="770" max="770" width="62.140625" bestFit="1" customWidth="1"/>
    <col min="771" max="771" width="11.5703125" bestFit="1" customWidth="1"/>
    <col min="772" max="772" width="10.28515625" bestFit="1" customWidth="1"/>
    <col min="773" max="773" width="11.5703125" bestFit="1" customWidth="1"/>
    <col min="774" max="774" width="10.28515625" bestFit="1" customWidth="1"/>
    <col min="775" max="775" width="19.7109375" customWidth="1"/>
    <col min="776" max="776" width="14.5703125" bestFit="1" customWidth="1"/>
    <col min="777" max="777" width="11.5703125" bestFit="1" customWidth="1"/>
    <col min="1026" max="1026" width="62.140625" bestFit="1" customWidth="1"/>
    <col min="1027" max="1027" width="11.5703125" bestFit="1" customWidth="1"/>
    <col min="1028" max="1028" width="10.28515625" bestFit="1" customWidth="1"/>
    <col min="1029" max="1029" width="11.5703125" bestFit="1" customWidth="1"/>
    <col min="1030" max="1030" width="10.28515625" bestFit="1" customWidth="1"/>
    <col min="1031" max="1031" width="19.7109375" customWidth="1"/>
    <col min="1032" max="1032" width="14.5703125" bestFit="1" customWidth="1"/>
    <col min="1033" max="1033" width="11.5703125" bestFit="1" customWidth="1"/>
    <col min="1282" max="1282" width="62.140625" bestFit="1" customWidth="1"/>
    <col min="1283" max="1283" width="11.5703125" bestFit="1" customWidth="1"/>
    <col min="1284" max="1284" width="10.28515625" bestFit="1" customWidth="1"/>
    <col min="1285" max="1285" width="11.5703125" bestFit="1" customWidth="1"/>
    <col min="1286" max="1286" width="10.28515625" bestFit="1" customWidth="1"/>
    <col min="1287" max="1287" width="19.7109375" customWidth="1"/>
    <col min="1288" max="1288" width="14.5703125" bestFit="1" customWidth="1"/>
    <col min="1289" max="1289" width="11.5703125" bestFit="1" customWidth="1"/>
    <col min="1538" max="1538" width="62.140625" bestFit="1" customWidth="1"/>
    <col min="1539" max="1539" width="11.5703125" bestFit="1" customWidth="1"/>
    <col min="1540" max="1540" width="10.28515625" bestFit="1" customWidth="1"/>
    <col min="1541" max="1541" width="11.5703125" bestFit="1" customWidth="1"/>
    <col min="1542" max="1542" width="10.28515625" bestFit="1" customWidth="1"/>
    <col min="1543" max="1543" width="19.7109375" customWidth="1"/>
    <col min="1544" max="1544" width="14.5703125" bestFit="1" customWidth="1"/>
    <col min="1545" max="1545" width="11.5703125" bestFit="1" customWidth="1"/>
    <col min="1794" max="1794" width="62.140625" bestFit="1" customWidth="1"/>
    <col min="1795" max="1795" width="11.5703125" bestFit="1" customWidth="1"/>
    <col min="1796" max="1796" width="10.28515625" bestFit="1" customWidth="1"/>
    <col min="1797" max="1797" width="11.5703125" bestFit="1" customWidth="1"/>
    <col min="1798" max="1798" width="10.28515625" bestFit="1" customWidth="1"/>
    <col min="1799" max="1799" width="19.7109375" customWidth="1"/>
    <col min="1800" max="1800" width="14.5703125" bestFit="1" customWidth="1"/>
    <col min="1801" max="1801" width="11.5703125" bestFit="1" customWidth="1"/>
    <col min="2050" max="2050" width="62.140625" bestFit="1" customWidth="1"/>
    <col min="2051" max="2051" width="11.5703125" bestFit="1" customWidth="1"/>
    <col min="2052" max="2052" width="10.28515625" bestFit="1" customWidth="1"/>
    <col min="2053" max="2053" width="11.5703125" bestFit="1" customWidth="1"/>
    <col min="2054" max="2054" width="10.28515625" bestFit="1" customWidth="1"/>
    <col min="2055" max="2055" width="19.7109375" customWidth="1"/>
    <col min="2056" max="2056" width="14.5703125" bestFit="1" customWidth="1"/>
    <col min="2057" max="2057" width="11.5703125" bestFit="1" customWidth="1"/>
    <col min="2306" max="2306" width="62.140625" bestFit="1" customWidth="1"/>
    <col min="2307" max="2307" width="11.5703125" bestFit="1" customWidth="1"/>
    <col min="2308" max="2308" width="10.28515625" bestFit="1" customWidth="1"/>
    <col min="2309" max="2309" width="11.5703125" bestFit="1" customWidth="1"/>
    <col min="2310" max="2310" width="10.28515625" bestFit="1" customWidth="1"/>
    <col min="2311" max="2311" width="19.7109375" customWidth="1"/>
    <col min="2312" max="2312" width="14.5703125" bestFit="1" customWidth="1"/>
    <col min="2313" max="2313" width="11.5703125" bestFit="1" customWidth="1"/>
    <col min="2562" max="2562" width="62.140625" bestFit="1" customWidth="1"/>
    <col min="2563" max="2563" width="11.5703125" bestFit="1" customWidth="1"/>
    <col min="2564" max="2564" width="10.28515625" bestFit="1" customWidth="1"/>
    <col min="2565" max="2565" width="11.5703125" bestFit="1" customWidth="1"/>
    <col min="2566" max="2566" width="10.28515625" bestFit="1" customWidth="1"/>
    <col min="2567" max="2567" width="19.7109375" customWidth="1"/>
    <col min="2568" max="2568" width="14.5703125" bestFit="1" customWidth="1"/>
    <col min="2569" max="2569" width="11.5703125" bestFit="1" customWidth="1"/>
    <col min="2818" max="2818" width="62.140625" bestFit="1" customWidth="1"/>
    <col min="2819" max="2819" width="11.5703125" bestFit="1" customWidth="1"/>
    <col min="2820" max="2820" width="10.28515625" bestFit="1" customWidth="1"/>
    <col min="2821" max="2821" width="11.5703125" bestFit="1" customWidth="1"/>
    <col min="2822" max="2822" width="10.28515625" bestFit="1" customWidth="1"/>
    <col min="2823" max="2823" width="19.7109375" customWidth="1"/>
    <col min="2824" max="2824" width="14.5703125" bestFit="1" customWidth="1"/>
    <col min="2825" max="2825" width="11.5703125" bestFit="1" customWidth="1"/>
    <col min="3074" max="3074" width="62.140625" bestFit="1" customWidth="1"/>
    <col min="3075" max="3075" width="11.5703125" bestFit="1" customWidth="1"/>
    <col min="3076" max="3076" width="10.28515625" bestFit="1" customWidth="1"/>
    <col min="3077" max="3077" width="11.5703125" bestFit="1" customWidth="1"/>
    <col min="3078" max="3078" width="10.28515625" bestFit="1" customWidth="1"/>
    <col min="3079" max="3079" width="19.7109375" customWidth="1"/>
    <col min="3080" max="3080" width="14.5703125" bestFit="1" customWidth="1"/>
    <col min="3081" max="3081" width="11.5703125" bestFit="1" customWidth="1"/>
    <col min="3330" max="3330" width="62.140625" bestFit="1" customWidth="1"/>
    <col min="3331" max="3331" width="11.5703125" bestFit="1" customWidth="1"/>
    <col min="3332" max="3332" width="10.28515625" bestFit="1" customWidth="1"/>
    <col min="3333" max="3333" width="11.5703125" bestFit="1" customWidth="1"/>
    <col min="3334" max="3334" width="10.28515625" bestFit="1" customWidth="1"/>
    <col min="3335" max="3335" width="19.7109375" customWidth="1"/>
    <col min="3336" max="3336" width="14.5703125" bestFit="1" customWidth="1"/>
    <col min="3337" max="3337" width="11.5703125" bestFit="1" customWidth="1"/>
    <col min="3586" max="3586" width="62.140625" bestFit="1" customWidth="1"/>
    <col min="3587" max="3587" width="11.5703125" bestFit="1" customWidth="1"/>
    <col min="3588" max="3588" width="10.28515625" bestFit="1" customWidth="1"/>
    <col min="3589" max="3589" width="11.5703125" bestFit="1" customWidth="1"/>
    <col min="3590" max="3590" width="10.28515625" bestFit="1" customWidth="1"/>
    <col min="3591" max="3591" width="19.7109375" customWidth="1"/>
    <col min="3592" max="3592" width="14.5703125" bestFit="1" customWidth="1"/>
    <col min="3593" max="3593" width="11.5703125" bestFit="1" customWidth="1"/>
    <col min="3842" max="3842" width="62.140625" bestFit="1" customWidth="1"/>
    <col min="3843" max="3843" width="11.5703125" bestFit="1" customWidth="1"/>
    <col min="3844" max="3844" width="10.28515625" bestFit="1" customWidth="1"/>
    <col min="3845" max="3845" width="11.5703125" bestFit="1" customWidth="1"/>
    <col min="3846" max="3846" width="10.28515625" bestFit="1" customWidth="1"/>
    <col min="3847" max="3847" width="19.7109375" customWidth="1"/>
    <col min="3848" max="3848" width="14.5703125" bestFit="1" customWidth="1"/>
    <col min="3849" max="3849" width="11.5703125" bestFit="1" customWidth="1"/>
    <col min="4098" max="4098" width="62.140625" bestFit="1" customWidth="1"/>
    <col min="4099" max="4099" width="11.5703125" bestFit="1" customWidth="1"/>
    <col min="4100" max="4100" width="10.28515625" bestFit="1" customWidth="1"/>
    <col min="4101" max="4101" width="11.5703125" bestFit="1" customWidth="1"/>
    <col min="4102" max="4102" width="10.28515625" bestFit="1" customWidth="1"/>
    <col min="4103" max="4103" width="19.7109375" customWidth="1"/>
    <col min="4104" max="4104" width="14.5703125" bestFit="1" customWidth="1"/>
    <col min="4105" max="4105" width="11.5703125" bestFit="1" customWidth="1"/>
    <col min="4354" max="4354" width="62.140625" bestFit="1" customWidth="1"/>
    <col min="4355" max="4355" width="11.5703125" bestFit="1" customWidth="1"/>
    <col min="4356" max="4356" width="10.28515625" bestFit="1" customWidth="1"/>
    <col min="4357" max="4357" width="11.5703125" bestFit="1" customWidth="1"/>
    <col min="4358" max="4358" width="10.28515625" bestFit="1" customWidth="1"/>
    <col min="4359" max="4359" width="19.7109375" customWidth="1"/>
    <col min="4360" max="4360" width="14.5703125" bestFit="1" customWidth="1"/>
    <col min="4361" max="4361" width="11.5703125" bestFit="1" customWidth="1"/>
    <col min="4610" max="4610" width="62.140625" bestFit="1" customWidth="1"/>
    <col min="4611" max="4611" width="11.5703125" bestFit="1" customWidth="1"/>
    <col min="4612" max="4612" width="10.28515625" bestFit="1" customWidth="1"/>
    <col min="4613" max="4613" width="11.5703125" bestFit="1" customWidth="1"/>
    <col min="4614" max="4614" width="10.28515625" bestFit="1" customWidth="1"/>
    <col min="4615" max="4615" width="19.7109375" customWidth="1"/>
    <col min="4616" max="4616" width="14.5703125" bestFit="1" customWidth="1"/>
    <col min="4617" max="4617" width="11.5703125" bestFit="1" customWidth="1"/>
    <col min="4866" max="4866" width="62.140625" bestFit="1" customWidth="1"/>
    <col min="4867" max="4867" width="11.5703125" bestFit="1" customWidth="1"/>
    <col min="4868" max="4868" width="10.28515625" bestFit="1" customWidth="1"/>
    <col min="4869" max="4869" width="11.5703125" bestFit="1" customWidth="1"/>
    <col min="4870" max="4870" width="10.28515625" bestFit="1" customWidth="1"/>
    <col min="4871" max="4871" width="19.7109375" customWidth="1"/>
    <col min="4872" max="4872" width="14.5703125" bestFit="1" customWidth="1"/>
    <col min="4873" max="4873" width="11.5703125" bestFit="1" customWidth="1"/>
    <col min="5122" max="5122" width="62.140625" bestFit="1" customWidth="1"/>
    <col min="5123" max="5123" width="11.5703125" bestFit="1" customWidth="1"/>
    <col min="5124" max="5124" width="10.28515625" bestFit="1" customWidth="1"/>
    <col min="5125" max="5125" width="11.5703125" bestFit="1" customWidth="1"/>
    <col min="5126" max="5126" width="10.28515625" bestFit="1" customWidth="1"/>
    <col min="5127" max="5127" width="19.7109375" customWidth="1"/>
    <col min="5128" max="5128" width="14.5703125" bestFit="1" customWidth="1"/>
    <col min="5129" max="5129" width="11.5703125" bestFit="1" customWidth="1"/>
    <col min="5378" max="5378" width="62.140625" bestFit="1" customWidth="1"/>
    <col min="5379" max="5379" width="11.5703125" bestFit="1" customWidth="1"/>
    <col min="5380" max="5380" width="10.28515625" bestFit="1" customWidth="1"/>
    <col min="5381" max="5381" width="11.5703125" bestFit="1" customWidth="1"/>
    <col min="5382" max="5382" width="10.28515625" bestFit="1" customWidth="1"/>
    <col min="5383" max="5383" width="19.7109375" customWidth="1"/>
    <col min="5384" max="5384" width="14.5703125" bestFit="1" customWidth="1"/>
    <col min="5385" max="5385" width="11.5703125" bestFit="1" customWidth="1"/>
    <col min="5634" max="5634" width="62.140625" bestFit="1" customWidth="1"/>
    <col min="5635" max="5635" width="11.5703125" bestFit="1" customWidth="1"/>
    <col min="5636" max="5636" width="10.28515625" bestFit="1" customWidth="1"/>
    <col min="5637" max="5637" width="11.5703125" bestFit="1" customWidth="1"/>
    <col min="5638" max="5638" width="10.28515625" bestFit="1" customWidth="1"/>
    <col min="5639" max="5639" width="19.7109375" customWidth="1"/>
    <col min="5640" max="5640" width="14.5703125" bestFit="1" customWidth="1"/>
    <col min="5641" max="5641" width="11.5703125" bestFit="1" customWidth="1"/>
    <col min="5890" max="5890" width="62.140625" bestFit="1" customWidth="1"/>
    <col min="5891" max="5891" width="11.5703125" bestFit="1" customWidth="1"/>
    <col min="5892" max="5892" width="10.28515625" bestFit="1" customWidth="1"/>
    <col min="5893" max="5893" width="11.5703125" bestFit="1" customWidth="1"/>
    <col min="5894" max="5894" width="10.28515625" bestFit="1" customWidth="1"/>
    <col min="5895" max="5895" width="19.7109375" customWidth="1"/>
    <col min="5896" max="5896" width="14.5703125" bestFit="1" customWidth="1"/>
    <col min="5897" max="5897" width="11.5703125" bestFit="1" customWidth="1"/>
    <col min="6146" max="6146" width="62.140625" bestFit="1" customWidth="1"/>
    <col min="6147" max="6147" width="11.5703125" bestFit="1" customWidth="1"/>
    <col min="6148" max="6148" width="10.28515625" bestFit="1" customWidth="1"/>
    <col min="6149" max="6149" width="11.5703125" bestFit="1" customWidth="1"/>
    <col min="6150" max="6150" width="10.28515625" bestFit="1" customWidth="1"/>
    <col min="6151" max="6151" width="19.7109375" customWidth="1"/>
    <col min="6152" max="6152" width="14.5703125" bestFit="1" customWidth="1"/>
    <col min="6153" max="6153" width="11.5703125" bestFit="1" customWidth="1"/>
    <col min="6402" max="6402" width="62.140625" bestFit="1" customWidth="1"/>
    <col min="6403" max="6403" width="11.5703125" bestFit="1" customWidth="1"/>
    <col min="6404" max="6404" width="10.28515625" bestFit="1" customWidth="1"/>
    <col min="6405" max="6405" width="11.5703125" bestFit="1" customWidth="1"/>
    <col min="6406" max="6406" width="10.28515625" bestFit="1" customWidth="1"/>
    <col min="6407" max="6407" width="19.7109375" customWidth="1"/>
    <col min="6408" max="6408" width="14.5703125" bestFit="1" customWidth="1"/>
    <col min="6409" max="6409" width="11.5703125" bestFit="1" customWidth="1"/>
    <col min="6658" max="6658" width="62.140625" bestFit="1" customWidth="1"/>
    <col min="6659" max="6659" width="11.5703125" bestFit="1" customWidth="1"/>
    <col min="6660" max="6660" width="10.28515625" bestFit="1" customWidth="1"/>
    <col min="6661" max="6661" width="11.5703125" bestFit="1" customWidth="1"/>
    <col min="6662" max="6662" width="10.28515625" bestFit="1" customWidth="1"/>
    <col min="6663" max="6663" width="19.7109375" customWidth="1"/>
    <col min="6664" max="6664" width="14.5703125" bestFit="1" customWidth="1"/>
    <col min="6665" max="6665" width="11.5703125" bestFit="1" customWidth="1"/>
    <col min="6914" max="6914" width="62.140625" bestFit="1" customWidth="1"/>
    <col min="6915" max="6915" width="11.5703125" bestFit="1" customWidth="1"/>
    <col min="6916" max="6916" width="10.28515625" bestFit="1" customWidth="1"/>
    <col min="6917" max="6917" width="11.5703125" bestFit="1" customWidth="1"/>
    <col min="6918" max="6918" width="10.28515625" bestFit="1" customWidth="1"/>
    <col min="6919" max="6919" width="19.7109375" customWidth="1"/>
    <col min="6920" max="6920" width="14.5703125" bestFit="1" customWidth="1"/>
    <col min="6921" max="6921" width="11.5703125" bestFit="1" customWidth="1"/>
    <col min="7170" max="7170" width="62.140625" bestFit="1" customWidth="1"/>
    <col min="7171" max="7171" width="11.5703125" bestFit="1" customWidth="1"/>
    <col min="7172" max="7172" width="10.28515625" bestFit="1" customWidth="1"/>
    <col min="7173" max="7173" width="11.5703125" bestFit="1" customWidth="1"/>
    <col min="7174" max="7174" width="10.28515625" bestFit="1" customWidth="1"/>
    <col min="7175" max="7175" width="19.7109375" customWidth="1"/>
    <col min="7176" max="7176" width="14.5703125" bestFit="1" customWidth="1"/>
    <col min="7177" max="7177" width="11.5703125" bestFit="1" customWidth="1"/>
    <col min="7426" max="7426" width="62.140625" bestFit="1" customWidth="1"/>
    <col min="7427" max="7427" width="11.5703125" bestFit="1" customWidth="1"/>
    <col min="7428" max="7428" width="10.28515625" bestFit="1" customWidth="1"/>
    <col min="7429" max="7429" width="11.5703125" bestFit="1" customWidth="1"/>
    <col min="7430" max="7430" width="10.28515625" bestFit="1" customWidth="1"/>
    <col min="7431" max="7431" width="19.7109375" customWidth="1"/>
    <col min="7432" max="7432" width="14.5703125" bestFit="1" customWidth="1"/>
    <col min="7433" max="7433" width="11.5703125" bestFit="1" customWidth="1"/>
    <col min="7682" max="7682" width="62.140625" bestFit="1" customWidth="1"/>
    <col min="7683" max="7683" width="11.5703125" bestFit="1" customWidth="1"/>
    <col min="7684" max="7684" width="10.28515625" bestFit="1" customWidth="1"/>
    <col min="7685" max="7685" width="11.5703125" bestFit="1" customWidth="1"/>
    <col min="7686" max="7686" width="10.28515625" bestFit="1" customWidth="1"/>
    <col min="7687" max="7687" width="19.7109375" customWidth="1"/>
    <col min="7688" max="7688" width="14.5703125" bestFit="1" customWidth="1"/>
    <col min="7689" max="7689" width="11.5703125" bestFit="1" customWidth="1"/>
    <col min="7938" max="7938" width="62.140625" bestFit="1" customWidth="1"/>
    <col min="7939" max="7939" width="11.5703125" bestFit="1" customWidth="1"/>
    <col min="7940" max="7940" width="10.28515625" bestFit="1" customWidth="1"/>
    <col min="7941" max="7941" width="11.5703125" bestFit="1" customWidth="1"/>
    <col min="7942" max="7942" width="10.28515625" bestFit="1" customWidth="1"/>
    <col min="7943" max="7943" width="19.7109375" customWidth="1"/>
    <col min="7944" max="7944" width="14.5703125" bestFit="1" customWidth="1"/>
    <col min="7945" max="7945" width="11.5703125" bestFit="1" customWidth="1"/>
    <col min="8194" max="8194" width="62.140625" bestFit="1" customWidth="1"/>
    <col min="8195" max="8195" width="11.5703125" bestFit="1" customWidth="1"/>
    <col min="8196" max="8196" width="10.28515625" bestFit="1" customWidth="1"/>
    <col min="8197" max="8197" width="11.5703125" bestFit="1" customWidth="1"/>
    <col min="8198" max="8198" width="10.28515625" bestFit="1" customWidth="1"/>
    <col min="8199" max="8199" width="19.7109375" customWidth="1"/>
    <col min="8200" max="8200" width="14.5703125" bestFit="1" customWidth="1"/>
    <col min="8201" max="8201" width="11.5703125" bestFit="1" customWidth="1"/>
    <col min="8450" max="8450" width="62.140625" bestFit="1" customWidth="1"/>
    <col min="8451" max="8451" width="11.5703125" bestFit="1" customWidth="1"/>
    <col min="8452" max="8452" width="10.28515625" bestFit="1" customWidth="1"/>
    <col min="8453" max="8453" width="11.5703125" bestFit="1" customWidth="1"/>
    <col min="8454" max="8454" width="10.28515625" bestFit="1" customWidth="1"/>
    <col min="8455" max="8455" width="19.7109375" customWidth="1"/>
    <col min="8456" max="8456" width="14.5703125" bestFit="1" customWidth="1"/>
    <col min="8457" max="8457" width="11.5703125" bestFit="1" customWidth="1"/>
    <col min="8706" max="8706" width="62.140625" bestFit="1" customWidth="1"/>
    <col min="8707" max="8707" width="11.5703125" bestFit="1" customWidth="1"/>
    <col min="8708" max="8708" width="10.28515625" bestFit="1" customWidth="1"/>
    <col min="8709" max="8709" width="11.5703125" bestFit="1" customWidth="1"/>
    <col min="8710" max="8710" width="10.28515625" bestFit="1" customWidth="1"/>
    <col min="8711" max="8711" width="19.7109375" customWidth="1"/>
    <col min="8712" max="8712" width="14.5703125" bestFit="1" customWidth="1"/>
    <col min="8713" max="8713" width="11.5703125" bestFit="1" customWidth="1"/>
    <col min="8962" max="8962" width="62.140625" bestFit="1" customWidth="1"/>
    <col min="8963" max="8963" width="11.5703125" bestFit="1" customWidth="1"/>
    <col min="8964" max="8964" width="10.28515625" bestFit="1" customWidth="1"/>
    <col min="8965" max="8965" width="11.5703125" bestFit="1" customWidth="1"/>
    <col min="8966" max="8966" width="10.28515625" bestFit="1" customWidth="1"/>
    <col min="8967" max="8967" width="19.7109375" customWidth="1"/>
    <col min="8968" max="8968" width="14.5703125" bestFit="1" customWidth="1"/>
    <col min="8969" max="8969" width="11.5703125" bestFit="1" customWidth="1"/>
    <col min="9218" max="9218" width="62.140625" bestFit="1" customWidth="1"/>
    <col min="9219" max="9219" width="11.5703125" bestFit="1" customWidth="1"/>
    <col min="9220" max="9220" width="10.28515625" bestFit="1" customWidth="1"/>
    <col min="9221" max="9221" width="11.5703125" bestFit="1" customWidth="1"/>
    <col min="9222" max="9222" width="10.28515625" bestFit="1" customWidth="1"/>
    <col min="9223" max="9223" width="19.7109375" customWidth="1"/>
    <col min="9224" max="9224" width="14.5703125" bestFit="1" customWidth="1"/>
    <col min="9225" max="9225" width="11.5703125" bestFit="1" customWidth="1"/>
    <col min="9474" max="9474" width="62.140625" bestFit="1" customWidth="1"/>
    <col min="9475" max="9475" width="11.5703125" bestFit="1" customWidth="1"/>
    <col min="9476" max="9476" width="10.28515625" bestFit="1" customWidth="1"/>
    <col min="9477" max="9477" width="11.5703125" bestFit="1" customWidth="1"/>
    <col min="9478" max="9478" width="10.28515625" bestFit="1" customWidth="1"/>
    <col min="9479" max="9479" width="19.7109375" customWidth="1"/>
    <col min="9480" max="9480" width="14.5703125" bestFit="1" customWidth="1"/>
    <col min="9481" max="9481" width="11.5703125" bestFit="1" customWidth="1"/>
    <col min="9730" max="9730" width="62.140625" bestFit="1" customWidth="1"/>
    <col min="9731" max="9731" width="11.5703125" bestFit="1" customWidth="1"/>
    <col min="9732" max="9732" width="10.28515625" bestFit="1" customWidth="1"/>
    <col min="9733" max="9733" width="11.5703125" bestFit="1" customWidth="1"/>
    <col min="9734" max="9734" width="10.28515625" bestFit="1" customWidth="1"/>
    <col min="9735" max="9735" width="19.7109375" customWidth="1"/>
    <col min="9736" max="9736" width="14.5703125" bestFit="1" customWidth="1"/>
    <col min="9737" max="9737" width="11.5703125" bestFit="1" customWidth="1"/>
    <col min="9986" max="9986" width="62.140625" bestFit="1" customWidth="1"/>
    <col min="9987" max="9987" width="11.5703125" bestFit="1" customWidth="1"/>
    <col min="9988" max="9988" width="10.28515625" bestFit="1" customWidth="1"/>
    <col min="9989" max="9989" width="11.5703125" bestFit="1" customWidth="1"/>
    <col min="9990" max="9990" width="10.28515625" bestFit="1" customWidth="1"/>
    <col min="9991" max="9991" width="19.7109375" customWidth="1"/>
    <col min="9992" max="9992" width="14.5703125" bestFit="1" customWidth="1"/>
    <col min="9993" max="9993" width="11.5703125" bestFit="1" customWidth="1"/>
    <col min="10242" max="10242" width="62.140625" bestFit="1" customWidth="1"/>
    <col min="10243" max="10243" width="11.5703125" bestFit="1" customWidth="1"/>
    <col min="10244" max="10244" width="10.28515625" bestFit="1" customWidth="1"/>
    <col min="10245" max="10245" width="11.5703125" bestFit="1" customWidth="1"/>
    <col min="10246" max="10246" width="10.28515625" bestFit="1" customWidth="1"/>
    <col min="10247" max="10247" width="19.7109375" customWidth="1"/>
    <col min="10248" max="10248" width="14.5703125" bestFit="1" customWidth="1"/>
    <col min="10249" max="10249" width="11.5703125" bestFit="1" customWidth="1"/>
    <col min="10498" max="10498" width="62.140625" bestFit="1" customWidth="1"/>
    <col min="10499" max="10499" width="11.5703125" bestFit="1" customWidth="1"/>
    <col min="10500" max="10500" width="10.28515625" bestFit="1" customWidth="1"/>
    <col min="10501" max="10501" width="11.5703125" bestFit="1" customWidth="1"/>
    <col min="10502" max="10502" width="10.28515625" bestFit="1" customWidth="1"/>
    <col min="10503" max="10503" width="19.7109375" customWidth="1"/>
    <col min="10504" max="10504" width="14.5703125" bestFit="1" customWidth="1"/>
    <col min="10505" max="10505" width="11.5703125" bestFit="1" customWidth="1"/>
    <col min="10754" max="10754" width="62.140625" bestFit="1" customWidth="1"/>
    <col min="10755" max="10755" width="11.5703125" bestFit="1" customWidth="1"/>
    <col min="10756" max="10756" width="10.28515625" bestFit="1" customWidth="1"/>
    <col min="10757" max="10757" width="11.5703125" bestFit="1" customWidth="1"/>
    <col min="10758" max="10758" width="10.28515625" bestFit="1" customWidth="1"/>
    <col min="10759" max="10759" width="19.7109375" customWidth="1"/>
    <col min="10760" max="10760" width="14.5703125" bestFit="1" customWidth="1"/>
    <col min="10761" max="10761" width="11.5703125" bestFit="1" customWidth="1"/>
    <col min="11010" max="11010" width="62.140625" bestFit="1" customWidth="1"/>
    <col min="11011" max="11011" width="11.5703125" bestFit="1" customWidth="1"/>
    <col min="11012" max="11012" width="10.28515625" bestFit="1" customWidth="1"/>
    <col min="11013" max="11013" width="11.5703125" bestFit="1" customWidth="1"/>
    <col min="11014" max="11014" width="10.28515625" bestFit="1" customWidth="1"/>
    <col min="11015" max="11015" width="19.7109375" customWidth="1"/>
    <col min="11016" max="11016" width="14.5703125" bestFit="1" customWidth="1"/>
    <col min="11017" max="11017" width="11.5703125" bestFit="1" customWidth="1"/>
    <col min="11266" max="11266" width="62.140625" bestFit="1" customWidth="1"/>
    <col min="11267" max="11267" width="11.5703125" bestFit="1" customWidth="1"/>
    <col min="11268" max="11268" width="10.28515625" bestFit="1" customWidth="1"/>
    <col min="11269" max="11269" width="11.5703125" bestFit="1" customWidth="1"/>
    <col min="11270" max="11270" width="10.28515625" bestFit="1" customWidth="1"/>
    <col min="11271" max="11271" width="19.7109375" customWidth="1"/>
    <col min="11272" max="11272" width="14.5703125" bestFit="1" customWidth="1"/>
    <col min="11273" max="11273" width="11.5703125" bestFit="1" customWidth="1"/>
    <col min="11522" max="11522" width="62.140625" bestFit="1" customWidth="1"/>
    <col min="11523" max="11523" width="11.5703125" bestFit="1" customWidth="1"/>
    <col min="11524" max="11524" width="10.28515625" bestFit="1" customWidth="1"/>
    <col min="11525" max="11525" width="11.5703125" bestFit="1" customWidth="1"/>
    <col min="11526" max="11526" width="10.28515625" bestFit="1" customWidth="1"/>
    <col min="11527" max="11527" width="19.7109375" customWidth="1"/>
    <col min="11528" max="11528" width="14.5703125" bestFit="1" customWidth="1"/>
    <col min="11529" max="11529" width="11.5703125" bestFit="1" customWidth="1"/>
    <col min="11778" max="11778" width="62.140625" bestFit="1" customWidth="1"/>
    <col min="11779" max="11779" width="11.5703125" bestFit="1" customWidth="1"/>
    <col min="11780" max="11780" width="10.28515625" bestFit="1" customWidth="1"/>
    <col min="11781" max="11781" width="11.5703125" bestFit="1" customWidth="1"/>
    <col min="11782" max="11782" width="10.28515625" bestFit="1" customWidth="1"/>
    <col min="11783" max="11783" width="19.7109375" customWidth="1"/>
    <col min="11784" max="11784" width="14.5703125" bestFit="1" customWidth="1"/>
    <col min="11785" max="11785" width="11.5703125" bestFit="1" customWidth="1"/>
    <col min="12034" max="12034" width="62.140625" bestFit="1" customWidth="1"/>
    <col min="12035" max="12035" width="11.5703125" bestFit="1" customWidth="1"/>
    <col min="12036" max="12036" width="10.28515625" bestFit="1" customWidth="1"/>
    <col min="12037" max="12037" width="11.5703125" bestFit="1" customWidth="1"/>
    <col min="12038" max="12038" width="10.28515625" bestFit="1" customWidth="1"/>
    <col min="12039" max="12039" width="19.7109375" customWidth="1"/>
    <col min="12040" max="12040" width="14.5703125" bestFit="1" customWidth="1"/>
    <col min="12041" max="12041" width="11.5703125" bestFit="1" customWidth="1"/>
    <col min="12290" max="12290" width="62.140625" bestFit="1" customWidth="1"/>
    <col min="12291" max="12291" width="11.5703125" bestFit="1" customWidth="1"/>
    <col min="12292" max="12292" width="10.28515625" bestFit="1" customWidth="1"/>
    <col min="12293" max="12293" width="11.5703125" bestFit="1" customWidth="1"/>
    <col min="12294" max="12294" width="10.28515625" bestFit="1" customWidth="1"/>
    <col min="12295" max="12295" width="19.7109375" customWidth="1"/>
    <col min="12296" max="12296" width="14.5703125" bestFit="1" customWidth="1"/>
    <col min="12297" max="12297" width="11.5703125" bestFit="1" customWidth="1"/>
    <col min="12546" max="12546" width="62.140625" bestFit="1" customWidth="1"/>
    <col min="12547" max="12547" width="11.5703125" bestFit="1" customWidth="1"/>
    <col min="12548" max="12548" width="10.28515625" bestFit="1" customWidth="1"/>
    <col min="12549" max="12549" width="11.5703125" bestFit="1" customWidth="1"/>
    <col min="12550" max="12550" width="10.28515625" bestFit="1" customWidth="1"/>
    <col min="12551" max="12551" width="19.7109375" customWidth="1"/>
    <col min="12552" max="12552" width="14.5703125" bestFit="1" customWidth="1"/>
    <col min="12553" max="12553" width="11.5703125" bestFit="1" customWidth="1"/>
    <col min="12802" max="12802" width="62.140625" bestFit="1" customWidth="1"/>
    <col min="12803" max="12803" width="11.5703125" bestFit="1" customWidth="1"/>
    <col min="12804" max="12804" width="10.28515625" bestFit="1" customWidth="1"/>
    <col min="12805" max="12805" width="11.5703125" bestFit="1" customWidth="1"/>
    <col min="12806" max="12806" width="10.28515625" bestFit="1" customWidth="1"/>
    <col min="12807" max="12807" width="19.7109375" customWidth="1"/>
    <col min="12808" max="12808" width="14.5703125" bestFit="1" customWidth="1"/>
    <col min="12809" max="12809" width="11.5703125" bestFit="1" customWidth="1"/>
    <col min="13058" max="13058" width="62.140625" bestFit="1" customWidth="1"/>
    <col min="13059" max="13059" width="11.5703125" bestFit="1" customWidth="1"/>
    <col min="13060" max="13060" width="10.28515625" bestFit="1" customWidth="1"/>
    <col min="13061" max="13061" width="11.5703125" bestFit="1" customWidth="1"/>
    <col min="13062" max="13062" width="10.28515625" bestFit="1" customWidth="1"/>
    <col min="13063" max="13063" width="19.7109375" customWidth="1"/>
    <col min="13064" max="13064" width="14.5703125" bestFit="1" customWidth="1"/>
    <col min="13065" max="13065" width="11.5703125" bestFit="1" customWidth="1"/>
    <col min="13314" max="13314" width="62.140625" bestFit="1" customWidth="1"/>
    <col min="13315" max="13315" width="11.5703125" bestFit="1" customWidth="1"/>
    <col min="13316" max="13316" width="10.28515625" bestFit="1" customWidth="1"/>
    <col min="13317" max="13317" width="11.5703125" bestFit="1" customWidth="1"/>
    <col min="13318" max="13318" width="10.28515625" bestFit="1" customWidth="1"/>
    <col min="13319" max="13319" width="19.7109375" customWidth="1"/>
    <col min="13320" max="13320" width="14.5703125" bestFit="1" customWidth="1"/>
    <col min="13321" max="13321" width="11.5703125" bestFit="1" customWidth="1"/>
    <col min="13570" max="13570" width="62.140625" bestFit="1" customWidth="1"/>
    <col min="13571" max="13571" width="11.5703125" bestFit="1" customWidth="1"/>
    <col min="13572" max="13572" width="10.28515625" bestFit="1" customWidth="1"/>
    <col min="13573" max="13573" width="11.5703125" bestFit="1" customWidth="1"/>
    <col min="13574" max="13574" width="10.28515625" bestFit="1" customWidth="1"/>
    <col min="13575" max="13575" width="19.7109375" customWidth="1"/>
    <col min="13576" max="13576" width="14.5703125" bestFit="1" customWidth="1"/>
    <col min="13577" max="13577" width="11.5703125" bestFit="1" customWidth="1"/>
    <col min="13826" max="13826" width="62.140625" bestFit="1" customWidth="1"/>
    <col min="13827" max="13827" width="11.5703125" bestFit="1" customWidth="1"/>
    <col min="13828" max="13828" width="10.28515625" bestFit="1" customWidth="1"/>
    <col min="13829" max="13829" width="11.5703125" bestFit="1" customWidth="1"/>
    <col min="13830" max="13830" width="10.28515625" bestFit="1" customWidth="1"/>
    <col min="13831" max="13831" width="19.7109375" customWidth="1"/>
    <col min="13832" max="13832" width="14.5703125" bestFit="1" customWidth="1"/>
    <col min="13833" max="13833" width="11.5703125" bestFit="1" customWidth="1"/>
    <col min="14082" max="14082" width="62.140625" bestFit="1" customWidth="1"/>
    <col min="14083" max="14083" width="11.5703125" bestFit="1" customWidth="1"/>
    <col min="14084" max="14084" width="10.28515625" bestFit="1" customWidth="1"/>
    <col min="14085" max="14085" width="11.5703125" bestFit="1" customWidth="1"/>
    <col min="14086" max="14086" width="10.28515625" bestFit="1" customWidth="1"/>
    <col min="14087" max="14087" width="19.7109375" customWidth="1"/>
    <col min="14088" max="14088" width="14.5703125" bestFit="1" customWidth="1"/>
    <col min="14089" max="14089" width="11.5703125" bestFit="1" customWidth="1"/>
    <col min="14338" max="14338" width="62.140625" bestFit="1" customWidth="1"/>
    <col min="14339" max="14339" width="11.5703125" bestFit="1" customWidth="1"/>
    <col min="14340" max="14340" width="10.28515625" bestFit="1" customWidth="1"/>
    <col min="14341" max="14341" width="11.5703125" bestFit="1" customWidth="1"/>
    <col min="14342" max="14342" width="10.28515625" bestFit="1" customWidth="1"/>
    <col min="14343" max="14343" width="19.7109375" customWidth="1"/>
    <col min="14344" max="14344" width="14.5703125" bestFit="1" customWidth="1"/>
    <col min="14345" max="14345" width="11.5703125" bestFit="1" customWidth="1"/>
    <col min="14594" max="14594" width="62.140625" bestFit="1" customWidth="1"/>
    <col min="14595" max="14595" width="11.5703125" bestFit="1" customWidth="1"/>
    <col min="14596" max="14596" width="10.28515625" bestFit="1" customWidth="1"/>
    <col min="14597" max="14597" width="11.5703125" bestFit="1" customWidth="1"/>
    <col min="14598" max="14598" width="10.28515625" bestFit="1" customWidth="1"/>
    <col min="14599" max="14599" width="19.7109375" customWidth="1"/>
    <col min="14600" max="14600" width="14.5703125" bestFit="1" customWidth="1"/>
    <col min="14601" max="14601" width="11.5703125" bestFit="1" customWidth="1"/>
    <col min="14850" max="14850" width="62.140625" bestFit="1" customWidth="1"/>
    <col min="14851" max="14851" width="11.5703125" bestFit="1" customWidth="1"/>
    <col min="14852" max="14852" width="10.28515625" bestFit="1" customWidth="1"/>
    <col min="14853" max="14853" width="11.5703125" bestFit="1" customWidth="1"/>
    <col min="14854" max="14854" width="10.28515625" bestFit="1" customWidth="1"/>
    <col min="14855" max="14855" width="19.7109375" customWidth="1"/>
    <col min="14856" max="14856" width="14.5703125" bestFit="1" customWidth="1"/>
    <col min="14857" max="14857" width="11.5703125" bestFit="1" customWidth="1"/>
    <col min="15106" max="15106" width="62.140625" bestFit="1" customWidth="1"/>
    <col min="15107" max="15107" width="11.5703125" bestFit="1" customWidth="1"/>
    <col min="15108" max="15108" width="10.28515625" bestFit="1" customWidth="1"/>
    <col min="15109" max="15109" width="11.5703125" bestFit="1" customWidth="1"/>
    <col min="15110" max="15110" width="10.28515625" bestFit="1" customWidth="1"/>
    <col min="15111" max="15111" width="19.7109375" customWidth="1"/>
    <col min="15112" max="15112" width="14.5703125" bestFit="1" customWidth="1"/>
    <col min="15113" max="15113" width="11.5703125" bestFit="1" customWidth="1"/>
    <col min="15362" max="15362" width="62.140625" bestFit="1" customWidth="1"/>
    <col min="15363" max="15363" width="11.5703125" bestFit="1" customWidth="1"/>
    <col min="15364" max="15364" width="10.28515625" bestFit="1" customWidth="1"/>
    <col min="15365" max="15365" width="11.5703125" bestFit="1" customWidth="1"/>
    <col min="15366" max="15366" width="10.28515625" bestFit="1" customWidth="1"/>
    <col min="15367" max="15367" width="19.7109375" customWidth="1"/>
    <col min="15368" max="15368" width="14.5703125" bestFit="1" customWidth="1"/>
    <col min="15369" max="15369" width="11.5703125" bestFit="1" customWidth="1"/>
    <col min="15618" max="15618" width="62.140625" bestFit="1" customWidth="1"/>
    <col min="15619" max="15619" width="11.5703125" bestFit="1" customWidth="1"/>
    <col min="15620" max="15620" width="10.28515625" bestFit="1" customWidth="1"/>
    <col min="15621" max="15621" width="11.5703125" bestFit="1" customWidth="1"/>
    <col min="15622" max="15622" width="10.28515625" bestFit="1" customWidth="1"/>
    <col min="15623" max="15623" width="19.7109375" customWidth="1"/>
    <col min="15624" max="15624" width="14.5703125" bestFit="1" customWidth="1"/>
    <col min="15625" max="15625" width="11.5703125" bestFit="1" customWidth="1"/>
    <col min="15874" max="15874" width="62.140625" bestFit="1" customWidth="1"/>
    <col min="15875" max="15875" width="11.5703125" bestFit="1" customWidth="1"/>
    <col min="15876" max="15876" width="10.28515625" bestFit="1" customWidth="1"/>
    <col min="15877" max="15877" width="11.5703125" bestFit="1" customWidth="1"/>
    <col min="15878" max="15878" width="10.28515625" bestFit="1" customWidth="1"/>
    <col min="15879" max="15879" width="19.7109375" customWidth="1"/>
    <col min="15880" max="15880" width="14.5703125" bestFit="1" customWidth="1"/>
    <col min="15881" max="15881" width="11.5703125" bestFit="1" customWidth="1"/>
    <col min="16130" max="16130" width="62.140625" bestFit="1" customWidth="1"/>
    <col min="16131" max="16131" width="11.5703125" bestFit="1" customWidth="1"/>
    <col min="16132" max="16132" width="10.28515625" bestFit="1" customWidth="1"/>
    <col min="16133" max="16133" width="11.5703125" bestFit="1" customWidth="1"/>
    <col min="16134" max="16134" width="10.28515625" bestFit="1" customWidth="1"/>
    <col min="16135" max="16135" width="19.7109375" customWidth="1"/>
    <col min="16136" max="16136" width="14.5703125" bestFit="1" customWidth="1"/>
    <col min="16137" max="16137" width="11.5703125" bestFit="1" customWidth="1"/>
  </cols>
  <sheetData>
    <row r="1" spans="1:26" s="16" customFormat="1" ht="20.25">
      <c r="A1" s="156" t="s">
        <v>0</v>
      </c>
      <c r="B1" s="157"/>
      <c r="C1" s="157"/>
      <c r="D1" s="157"/>
      <c r="E1" s="157"/>
      <c r="F1" s="157"/>
      <c r="G1" s="22"/>
      <c r="H1" s="15"/>
      <c r="I1" s="15"/>
    </row>
    <row r="2" spans="1:26" s="16" customFormat="1" ht="23.25">
      <c r="A2" s="158" t="s">
        <v>1</v>
      </c>
      <c r="B2" s="159"/>
      <c r="C2" s="159"/>
      <c r="D2" s="159"/>
      <c r="E2" s="159"/>
      <c r="F2" s="159"/>
      <c r="G2" s="23"/>
      <c r="H2" s="15"/>
      <c r="I2" s="15"/>
    </row>
    <row r="3" spans="1:26" s="16" customFormat="1" ht="23.25">
      <c r="A3" s="158" t="s">
        <v>185</v>
      </c>
      <c r="B3" s="159"/>
      <c r="C3" s="159"/>
      <c r="D3" s="159"/>
      <c r="E3" s="159"/>
      <c r="F3" s="159"/>
      <c r="G3" s="23"/>
      <c r="H3" s="15"/>
      <c r="I3" s="15"/>
    </row>
    <row r="4" spans="1:26" s="16" customFormat="1" ht="23.25">
      <c r="A4" s="160" t="s">
        <v>188</v>
      </c>
      <c r="B4" s="161"/>
      <c r="C4" s="161"/>
      <c r="D4" s="161"/>
      <c r="E4" s="161"/>
      <c r="F4" s="161"/>
      <c r="G4" s="24"/>
      <c r="H4" s="15"/>
      <c r="I4" s="15"/>
    </row>
    <row r="5" spans="1:26" s="16" customFormat="1" ht="23.25">
      <c r="A5" s="162" t="s">
        <v>368</v>
      </c>
      <c r="B5" s="163"/>
      <c r="C5" s="163"/>
      <c r="D5" s="163"/>
      <c r="E5" s="163"/>
      <c r="F5" s="163"/>
      <c r="G5" s="25"/>
      <c r="H5" s="15"/>
      <c r="I5" s="15"/>
    </row>
    <row r="6" spans="1:26" s="16" customFormat="1" ht="23.25">
      <c r="A6" s="154" t="s">
        <v>19</v>
      </c>
      <c r="B6" s="155"/>
      <c r="C6" s="155"/>
      <c r="D6" s="155"/>
      <c r="E6" s="155"/>
      <c r="F6" s="155"/>
      <c r="G6" s="26"/>
      <c r="H6" s="15"/>
      <c r="I6" s="15"/>
    </row>
    <row r="7" spans="1:26" s="16" customFormat="1" ht="23.25">
      <c r="A7" s="144" t="s">
        <v>186</v>
      </c>
      <c r="B7" s="145"/>
      <c r="C7" s="145"/>
      <c r="D7" s="145"/>
      <c r="E7" s="145"/>
      <c r="F7" s="145"/>
      <c r="G7" s="27"/>
      <c r="H7" s="15"/>
      <c r="I7" s="15"/>
    </row>
    <row r="8" spans="1:26" s="16" customFormat="1" ht="20.25">
      <c r="A8" s="17"/>
      <c r="B8" s="18"/>
      <c r="C8" s="18"/>
      <c r="D8" s="18"/>
      <c r="E8" s="18"/>
      <c r="F8" s="18"/>
      <c r="G8" s="28"/>
      <c r="H8" s="15"/>
      <c r="I8" s="15"/>
    </row>
    <row r="9" spans="1:26" s="16" customFormat="1" ht="63" customHeight="1">
      <c r="A9" s="146" t="s">
        <v>20</v>
      </c>
      <c r="B9" s="146"/>
      <c r="C9" s="146"/>
      <c r="D9" s="146"/>
      <c r="E9" s="146"/>
      <c r="F9" s="146"/>
      <c r="G9" s="146"/>
      <c r="H9" s="19"/>
      <c r="I9" s="15"/>
    </row>
    <row r="10" spans="1:26" ht="63" customHeight="1">
      <c r="A10" s="147" t="s">
        <v>4</v>
      </c>
      <c r="B10" s="147" t="s">
        <v>21</v>
      </c>
      <c r="C10" s="149" t="s">
        <v>22</v>
      </c>
      <c r="D10" s="150"/>
      <c r="E10" s="151" t="s">
        <v>23</v>
      </c>
      <c r="F10" s="150"/>
      <c r="G10" s="152" t="s">
        <v>24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63" customHeight="1">
      <c r="A11" s="148"/>
      <c r="B11" s="148"/>
      <c r="C11" s="65" t="s">
        <v>25</v>
      </c>
      <c r="D11" s="66" t="s">
        <v>26</v>
      </c>
      <c r="E11" s="66" t="s">
        <v>25</v>
      </c>
      <c r="F11" s="66" t="s">
        <v>26</v>
      </c>
      <c r="G11" s="15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3" customHeight="1">
      <c r="A12" s="72" t="s">
        <v>14</v>
      </c>
      <c r="B12" s="73" t="s">
        <v>66</v>
      </c>
      <c r="C12" s="67">
        <f>D12*G12</f>
        <v>31145.959999999992</v>
      </c>
      <c r="D12" s="68">
        <v>0.8</v>
      </c>
      <c r="E12" s="69">
        <f>F12*G12</f>
        <v>7786.489999999998</v>
      </c>
      <c r="F12" s="68">
        <v>0.2</v>
      </c>
      <c r="G12" s="70">
        <f>'PLANILHA ORÇAMENTÁRIA'!I45</f>
        <v>38932.44999999999</v>
      </c>
      <c r="H12" s="21">
        <f>C12+E12</f>
        <v>38932.44999999999</v>
      </c>
      <c r="I12" s="21">
        <f t="shared" ref="I12" si="0">G12-H12</f>
        <v>0</v>
      </c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63" customHeight="1">
      <c r="A13" s="72" t="s">
        <v>287</v>
      </c>
      <c r="B13" s="73" t="s">
        <v>288</v>
      </c>
      <c r="C13" s="94"/>
      <c r="D13" s="95"/>
      <c r="E13" s="69">
        <f>F13*G13</f>
        <v>5653.4600000000009</v>
      </c>
      <c r="F13" s="68">
        <v>1</v>
      </c>
      <c r="G13" s="70">
        <f>'PLANILHA ORÇAMENTÁRIA'!I56</f>
        <v>5653.4600000000009</v>
      </c>
      <c r="H13" s="21">
        <f>C13+E13</f>
        <v>5653.4600000000009</v>
      </c>
      <c r="I13" s="21">
        <f t="shared" ref="I13" si="1">G13-H13</f>
        <v>0</v>
      </c>
      <c r="J13" s="2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63" customHeight="1">
      <c r="A14" s="74"/>
      <c r="B14" s="64"/>
      <c r="C14" s="71"/>
      <c r="D14" s="71"/>
      <c r="E14" s="71"/>
      <c r="F14" s="71"/>
      <c r="G14" s="70">
        <f>SUM(G12:G13)</f>
        <v>44585.909999999989</v>
      </c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63" customHeight="1">
      <c r="A15" s="141" t="s">
        <v>27</v>
      </c>
      <c r="B15" s="141"/>
      <c r="C15" s="142">
        <f>SUM(C12:C13)</f>
        <v>31145.959999999992</v>
      </c>
      <c r="D15" s="143"/>
      <c r="E15" s="142">
        <f>SUM(E12:E13)</f>
        <v>13439.949999999999</v>
      </c>
      <c r="F15" s="143"/>
      <c r="G15" s="13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63" customHeight="1">
      <c r="A16" s="134" t="s">
        <v>28</v>
      </c>
      <c r="B16" s="134"/>
      <c r="C16" s="135">
        <f>C15</f>
        <v>31145.959999999992</v>
      </c>
      <c r="D16" s="136"/>
      <c r="E16" s="135">
        <f>C16+E15</f>
        <v>44585.909999999989</v>
      </c>
      <c r="F16" s="136"/>
      <c r="G16" s="13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63" customHeight="1">
      <c r="A17" s="137" t="s">
        <v>29</v>
      </c>
      <c r="B17" s="137"/>
      <c r="C17" s="138">
        <f>C15/G14</f>
        <v>0.6985605990771524</v>
      </c>
      <c r="D17" s="139"/>
      <c r="E17" s="138">
        <f>E15/$G$14</f>
        <v>0.30143940092284766</v>
      </c>
      <c r="F17" s="139"/>
      <c r="G17" s="13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63" customHeight="1">
      <c r="A18" s="140" t="s">
        <v>30</v>
      </c>
      <c r="B18" s="140"/>
      <c r="C18" s="138">
        <f>C17</f>
        <v>0.6985605990771524</v>
      </c>
      <c r="D18" s="139"/>
      <c r="E18" s="138">
        <f>C18+E17</f>
        <v>1</v>
      </c>
      <c r="F18" s="139"/>
      <c r="G18" s="13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</sheetData>
  <mergeCells count="26">
    <mergeCell ref="A6:F6"/>
    <mergeCell ref="A1:F1"/>
    <mergeCell ref="A2:F2"/>
    <mergeCell ref="A3:F3"/>
    <mergeCell ref="A4:F4"/>
    <mergeCell ref="A5:F5"/>
    <mergeCell ref="A7:F7"/>
    <mergeCell ref="A9:G9"/>
    <mergeCell ref="A10:A11"/>
    <mergeCell ref="B10:B11"/>
    <mergeCell ref="C10:D10"/>
    <mergeCell ref="E10:F10"/>
    <mergeCell ref="G10:G11"/>
    <mergeCell ref="G15:G18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</mergeCells>
  <phoneticPr fontId="27" type="noConversion"/>
  <pageMargins left="1.5748031496062993" right="0.78740157480314965" top="0.78740157480314965" bottom="0.78740157480314965" header="0.31496062992125984" footer="0.31496062992125984"/>
  <pageSetup paperSize="9" scale="61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MEMÓRIA DESONERADA</vt:lpstr>
      <vt:lpstr>PLANILHA ORÇAMENTÁRIA</vt:lpstr>
      <vt:lpstr>CRONOGRAMA</vt:lpstr>
      <vt:lpstr>CRONOGRAMA!Area_de_impressao</vt:lpstr>
      <vt:lpstr>'MEMÓRIA DESONERADA'!Area_de_impressao</vt:lpstr>
      <vt:lpstr>'PLANILHA ORÇAMENTÁRIA'!Area_de_impressao</vt:lpstr>
      <vt:lpstr>'MEMÓRIA DESONERADA'!Titulos_de_impressao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 Carla de A. Calhau Ganem</dc:creator>
  <cp:lastModifiedBy>Alfredo Antonio Nicolau Macedo Cunha</cp:lastModifiedBy>
  <cp:lastPrinted>2022-11-17T16:59:36Z</cp:lastPrinted>
  <dcterms:created xsi:type="dcterms:W3CDTF">2021-11-11T16:53:32Z</dcterms:created>
  <dcterms:modified xsi:type="dcterms:W3CDTF">2022-11-17T16:59:39Z</dcterms:modified>
</cp:coreProperties>
</file>