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MEMÓRIA ONERADA " sheetId="1" r:id="rId1"/>
    <sheet name="PLANILHA SEM BDI" sheetId="2" r:id="rId2"/>
    <sheet name="PLANILHA FINAL" sheetId="3" r:id="rId3"/>
    <sheet name="Cronograma " sheetId="4" r:id="rId4"/>
  </sheets>
  <externalReferences>
    <externalReference r:id="rId7"/>
  </externalReferences>
  <definedNames>
    <definedName name="EXTRACT" localSheetId="3">'Cronograma '!#REF!</definedName>
    <definedName name="_xlnm.Print_Area" localSheetId="3">'Cronograma '!$A$1:$G$19</definedName>
    <definedName name="_xlnm.Print_Area" localSheetId="0">'MEMÓRIA ONERADA '!$A$1:$G$186</definedName>
    <definedName name="_xlnm.Print_Area" localSheetId="2">'PLANILHA FINAL'!$A$1:$I$34</definedName>
    <definedName name="_xlnm.Print_Area" localSheetId="1">'PLANILHA SEM BDI'!$A$1:$G$34</definedName>
    <definedName name="BDI" localSheetId="3">#REF!</definedName>
    <definedName name="BDI" localSheetId="0">#REF!</definedName>
    <definedName name="BDI" localSheetId="1">#REF!</definedName>
    <definedName name="BDI">#REF!</definedName>
    <definedName name="CRITERIA" localSheetId="3">'Cronograma '!#REF!</definedName>
    <definedName name="_xlnm.Print_Titles" localSheetId="3">'Cronograma '!$10:$12</definedName>
  </definedNames>
  <calcPr fullCalcOnLoad="1"/>
</workbook>
</file>

<file path=xl/sharedStrings.xml><?xml version="1.0" encoding="utf-8"?>
<sst xmlns="http://schemas.openxmlformats.org/spreadsheetml/2006/main" count="682" uniqueCount="279">
  <si>
    <t>M3</t>
  </si>
  <si>
    <t>SERVENTE COM ENCARGOS COMPLEMENTARES</t>
  </si>
  <si>
    <t>H</t>
  </si>
  <si>
    <t>TOTAL</t>
  </si>
  <si>
    <t>ESCAVACAO MANUAL DE VALA/CAVA EM MATERIAL DE 1¦ CATEGORIA (A(AREIA,ARGILA OU PICARRA),ATE 1,50M DE PROFUNDIDADE,EXCLUSIV E ESCORAMENTO E ESGOTAMENTO (OBS.:3% - DESGASTE DE FERRAMENTAS E EPI).</t>
  </si>
  <si>
    <t>ESCAVACAO MANUAL DE VALA/CAVA EM MATERIAL DE 1¦ CATEGORIA (AREIA,ARGILA OU PICARRA),ENTRE 1,50 E 3,00M DE PROFUNDIDADE,E XCLUSIVE ESCORAMENTO E ESGOTAMENTO (OBS.:3% - DESGASTE DE FERRAMENTAS E EPI).</t>
  </si>
  <si>
    <t>1.1</t>
  </si>
  <si>
    <t>1.2</t>
  </si>
  <si>
    <t>1.3</t>
  </si>
  <si>
    <t>1.4</t>
  </si>
  <si>
    <t>05845</t>
  </si>
  <si>
    <t>ACO CA-50, ESTIRADO, PRECO DE REVENDEDOR, NO DIAMETRO DE 08,0MM</t>
  </si>
  <si>
    <t>KG</t>
  </si>
  <si>
    <t>05844</t>
  </si>
  <si>
    <t>ACO CA-50, ESTIRADO, PRECO DE REVENDEDOR, NO DIAMETRO DE 06,3MM</t>
  </si>
  <si>
    <t>00021</t>
  </si>
  <si>
    <t>ACO CA-50, ESTIRADO, PRECO DE REVENDEDOR, NO DIAMETRO, DE 25,0MM</t>
  </si>
  <si>
    <t>00019</t>
  </si>
  <si>
    <t>ACO CA-50, ESTIRADO, PRECO DE REVENDEDOR, NO DIAMETRO DE 16,0MM</t>
  </si>
  <si>
    <t>00018</t>
  </si>
  <si>
    <t>ACO CA-50, ESTIRADO, PRECO DE REVENDEDOR, NO DIAMETRO DE 12,5MM</t>
  </si>
  <si>
    <t>00017</t>
  </si>
  <si>
    <t>ACO CA-50, ESTIRADO, PRECO DE REVENDEDOR, NO DIAMETRO DE 10,0MM</t>
  </si>
  <si>
    <t>00004</t>
  </si>
  <si>
    <t>M2</t>
  </si>
  <si>
    <t>REATERRO DE VALA/CAVA COMPACTADA A MACO,EM CAMADAS DE 30CM DE ESPESSURA MAXIMA,COM MATERIAL DE BOA QUALIDADE,EXCLUSIVE ESTE (OBS.:3%- DESGASTE DE FERRAMENTAS E EPI).</t>
  </si>
  <si>
    <t>REATERRO DE VALA/CAVA COMPACTADA A MACO,EM CAMADAS DE 30CM DE ESPESSURA MAXIMA,COM MATERIAL DE BOA QUALIDADE,EXCLUSIVE ESTE.</t>
  </si>
  <si>
    <t>TOTAL GERAL=</t>
  </si>
  <si>
    <t>1.5</t>
  </si>
  <si>
    <t>TUBO PVC (NBR-7362), PARA ESGOTO SANITARIO, COM DIAMETRO NOMINAL DE 100MM, INCLUSIVE ANEL DE BORRACHA. FORNECIMENTO</t>
  </si>
  <si>
    <t>M</t>
  </si>
  <si>
    <t>05116</t>
  </si>
  <si>
    <t>UN</t>
  </si>
  <si>
    <t>CAP PVC ESGOTO 100MM (TAMPÃO) - FORNECIMENTO E INSTALAÇÃO</t>
  </si>
  <si>
    <t>CAP PVC, SOLDAVEL, DN 100 MM, SERIE NORMAL, PARA ESGOTO PREDIAL</t>
  </si>
  <si>
    <t>ENCANADOR OU BOMBEIRO HIDRÁULICO COM ENCARGOS COMPLEMENTARES</t>
  </si>
  <si>
    <t>1.6</t>
  </si>
  <si>
    <t>CHP</t>
  </si>
  <si>
    <t>1.7</t>
  </si>
  <si>
    <t>CAMADA DRENANTE COM BRITA NUM 3</t>
  </si>
  <si>
    <t>PEDRA BRITADA N. 3 (38 A 50 MM) POSTO PEDREIRA/FORNECEDOR, SEM FRETE</t>
  </si>
  <si>
    <t>1.8</t>
  </si>
  <si>
    <t>AUXILIAR DE ENCANADOR OU BOMBEIRO HIDRÁULICO COM ENCARGOS COMPLEMENTARES</t>
  </si>
  <si>
    <t>1.9</t>
  </si>
  <si>
    <t>TRANSPORTE COMERCIAL COM CAMINHAO BASCULANTE 6 M3, RODOVIA PAVIMENTADA</t>
  </si>
  <si>
    <t>TXKM</t>
  </si>
  <si>
    <t>1.10</t>
  </si>
  <si>
    <t>CARGA MANUAL DE ENTULHO EM CAMINHAO BASCULANTE 6 M3</t>
  </si>
  <si>
    <t>CHI</t>
  </si>
  <si>
    <t>TRANSPORTE COMERCIAL COM CAMINHAO BASCULANTE 6 M3, RODOVIA PAVIMENTADA . DMT= 8,7 Km até o CTR Barra Mansa.</t>
  </si>
  <si>
    <t>1.11</t>
  </si>
  <si>
    <t>DESCARGA DE MATERIAIS E RESIDUOS ORIGINARIOS DA CONSTRUCAO CIVIL(RCC),CLASSE B(RECICLAVEIS PARA OUTRAS DESTINACOES),EM L OCAIS DE DISPOSICAO FINAL AUTORIZADOS E/OU LICENCIADOS A OPERAR PELOS ORGAOS DE CONTROLE AMBIENTAL</t>
  </si>
  <si>
    <t>CTR</t>
  </si>
  <si>
    <t>TARIFA DE VAZAMENTO DE RESIDUOS ORIGINARIOS DA CONSTRUCAO CIVIL, CLASSE B (RESOLUCAO 307 DA CONAMA)</t>
  </si>
  <si>
    <t>1.12</t>
  </si>
  <si>
    <t>ITEM</t>
  </si>
  <si>
    <t>CÓDIGO</t>
  </si>
  <si>
    <t>DESCRIÇÃO</t>
  </si>
  <si>
    <t>UNID</t>
  </si>
  <si>
    <t>QUANT</t>
  </si>
  <si>
    <t>UNIT</t>
  </si>
  <si>
    <t>PREÇO</t>
  </si>
  <si>
    <t>MEMÓRIA DE CÁLCULO</t>
  </si>
  <si>
    <t xml:space="preserve">Estado do Rio de Janeiro                                                        </t>
  </si>
  <si>
    <t>Prefeitura Municipal de Barra Mansa</t>
  </si>
  <si>
    <t>Secretaria Municipal de Planejamento</t>
  </si>
  <si>
    <t>DISCRIMINAÇÃO</t>
  </si>
  <si>
    <t>QUANT.</t>
  </si>
  <si>
    <t>PREÇOS (R$)</t>
  </si>
  <si>
    <t>Serviço : Construção de Fossa e Filtro na UPA</t>
  </si>
  <si>
    <t>Local: Rua Luis Ponce, Centro- Barra Mansa - RJ</t>
  </si>
  <si>
    <t>Orçamento : Eng. Alfredo Cunha</t>
  </si>
  <si>
    <r>
      <t xml:space="preserve">PLANILHA ORÇAMENTÁRIA </t>
    </r>
    <r>
      <rPr>
        <b/>
        <sz val="12"/>
        <color indexed="10"/>
        <rFont val="Arial"/>
        <family val="2"/>
      </rPr>
      <t>COM BDI</t>
    </r>
    <r>
      <rPr>
        <b/>
        <sz val="12"/>
        <rFont val="Arial"/>
        <family val="2"/>
      </rPr>
      <t xml:space="preserve"> INCLUSO NOS PREÇOS UNITÁRIOS</t>
    </r>
  </si>
  <si>
    <r>
      <t>Secretaria Municipal de Planejamento Urbano</t>
    </r>
    <r>
      <rPr>
        <sz val="20"/>
        <color indexed="8"/>
        <rFont val="Arial"/>
        <family val="2"/>
      </rPr>
      <t xml:space="preserve"> </t>
    </r>
  </si>
  <si>
    <t>Orçamentista: Eng. Alfredo Antonio Nicolau M. Cunha</t>
  </si>
  <si>
    <t xml:space="preserve">CRONOGRAMA  FÍSICO-FINANCEIRO </t>
  </si>
  <si>
    <t>PERÍODO</t>
  </si>
  <si>
    <t>30 DIAS</t>
  </si>
  <si>
    <t>60 DIAS</t>
  </si>
  <si>
    <t>TOTAL DOS</t>
  </si>
  <si>
    <t>FÍSICO</t>
  </si>
  <si>
    <t>FINANCEIRO</t>
  </si>
  <si>
    <t>SERVIÇOS</t>
  </si>
  <si>
    <t>1.0</t>
  </si>
  <si>
    <t>TOTAL DA OBRA POR MEDIÇÃO</t>
  </si>
  <si>
    <t>TOTAL ACUMULADO DA OBRA</t>
  </si>
  <si>
    <t>Desembolso parcial por medição %</t>
  </si>
  <si>
    <t>Desembolso máximo acumulado %</t>
  </si>
  <si>
    <t xml:space="preserve">SERVIÇOS </t>
  </si>
  <si>
    <t>Local:  Rua Luis Ponce, Centro- Barra Mansa - RJ</t>
  </si>
  <si>
    <t>Projeto: Arq. Abimar</t>
  </si>
  <si>
    <t>Levantamento: Arq. Abimar</t>
  </si>
  <si>
    <t>Aprovação: Eng. Eros dos Santos</t>
  </si>
  <si>
    <t>ESCAVACAO MANUAL DE VALA/CAVA EM MATERIAL DE 1ª CATEGORIA (AREIA,ARGILA OU PICARRA),ENTRE 1,50 E 3,00M DE PROFUNDIDADE,EXCLUSIVE ESCORAMENTO E ESGOTAMENTO . (TANQUES)</t>
  </si>
  <si>
    <t>CONCRETO ARMADO,FCK=25MPA,INCLUINDO MATERIAIS PARA 1,00M3 DE CONCRETO(IMPORTADO DE USINA)ADENSADO E COLOCADO,12,00M2 DE AREA MOLDADA,FORMAS E ESCORAMENTO CONFORME ITENS 11.004.0022E 11.004.0035,80KG DE ACO CA-50,INCLUINDO MAO-DE-OBRA PARA CORTE,DOBRAGEM,MONTAGEM E COLOCACAO NAS FORMAS (OBS.:3%-DESGASTE DE FERRAMENTAS E EPI).</t>
  </si>
  <si>
    <t>CONCRETO DOSADO RACIONALMENTE PARA UMA RESISTENCIA CARACTERISTICA A COMPRESSAO DE 25MPA,INCLUSIVE MATERIAIS,TRANSPORTE,P REPARO COM BETONEIRA,LANCAMENTO E ADENSAMENTO (OBS.:5%-PERDAS).</t>
  </si>
  <si>
    <t>14543</t>
  </si>
  <si>
    <t>PEDRA BRITADA 1 E 2 (MEDIA), PARA REGIAOMETROPOLITANA DO RIO DE JANEIRO</t>
  </si>
  <si>
    <t>T</t>
  </si>
  <si>
    <t>00149</t>
  </si>
  <si>
    <t>CIMENTO PORTLAND CP II 32, EM SACO DE 50KG</t>
  </si>
  <si>
    <t>00001</t>
  </si>
  <si>
    <t>AREIA LAVADA, GROSSA, PARA REGIAO METROPOLITANA DO RIO DE JANEIRO</t>
  </si>
  <si>
    <t>11.013.0105-5</t>
  </si>
  <si>
    <t>PRE-LAJE COM PAINEL TRELICADO,MACICA,PARA VAO DE 4,10 A 5,20M,CAPEAMENTO DE 9CM DE ESPESSURA,FCK=25MPA,SOBRECARGA DE 2,5 A 3,5KN/M2,INCLUSIVE ARMACAO NEGATIVA E POSITIVA ADICIONAL.FORNECIMENTO E ASSENTAMENTO (OBS.:3%-DESGASTE DE FERRAMENTAS E EPI).</t>
  </si>
  <si>
    <t>13499</t>
  </si>
  <si>
    <t>07330</t>
  </si>
  <si>
    <t>CONCRETO BOMBEAVEL, UTILIZANDO BRITA 1,DE 25MPA</t>
  </si>
  <si>
    <t>00031</t>
  </si>
  <si>
    <t>ACO CA-25, ESTIRADO, PRECO DE REVENDEDOR, NO DIAMETRO DE 10,0MM</t>
  </si>
  <si>
    <t>00014</t>
  </si>
  <si>
    <t>ACO CA-60, ESTIRADO, PRECO DE REVENDEDOR, NO DIAMETRO DE 05,0MM</t>
  </si>
  <si>
    <t>02523</t>
  </si>
  <si>
    <t>INSTALACAO AVULSA DE BOMBA DE CONCRETO</t>
  </si>
  <si>
    <t>ALVENARIA DE BLOCOS DE CONCRETO 20X20X40CM,ASSENTES COM ARGAMASSA DE CIMENTO E AREIA,NO TRACO 1:6,EM PAREDES DE 0,20M DE ESPESSURA,DE SUPERFICIE CORRIDA,ATE 3,00M DE ALTURA E MEDIDA PELA AREA REAL (OBS.:3%-DESGASTE DE FERRAMENTAS E EPI).</t>
  </si>
  <si>
    <t>00104</t>
  </si>
  <si>
    <t>BLOCO DE CONCRETO PRENSADO, PARA ALVENARIA, DE (20X20X40)CM</t>
  </si>
  <si>
    <t>PREENCHIMENTO COM CONCRETO DE 20MPA EM VAZIOS DE ALVENARIA DE BLOCOS DE CONCRETO 20X20X40CM,EM PAREDES DE 20CM,MEDIDO PE LA AREA REAL,EXCLUSIVE ARMACAO E A ALVENARIA (OBS.:3%-DESGASTE DE FERRAMENTAS E EPI).</t>
  </si>
  <si>
    <t>IMPERMEABILIZAÇÃO DE PAREDES COM ARGAMASSA DE CIMENTO E AREIA, COM ADITIVO IMPERMEABILIZANTE, E = 2CM. AF_06/2018</t>
  </si>
  <si>
    <t>PEDREIRO COM ENCARGOS COMPLEMENTARES</t>
  </si>
  <si>
    <t>1.13</t>
  </si>
  <si>
    <t>TUBO DE PVC PARA ESGOTO, REFORCADO, PONTA E BOLSA, INCLUSIVE ANEL DE BORRACHA, ABNT-NBR 7362, DE 100MM</t>
  </si>
  <si>
    <t>1.14</t>
  </si>
  <si>
    <t>CAMINHÃO BASCULANTE 6 M3, PESO BRUTO TOTAL 16.000 KG, CARGA ÚTIL MÁXIMA 13.071 KG, DISTÂNCIA ENTRE EIXOS 4,80 M, POTÊNCIA 230 CV INCLUSIVE CAÇAMBA METÁLICA - CHP DIURNO. AF_06/2014</t>
  </si>
  <si>
    <t>1.15</t>
  </si>
  <si>
    <t>1.16</t>
  </si>
  <si>
    <t>x</t>
  </si>
  <si>
    <t>UNIT C BDI</t>
  </si>
  <si>
    <t>TOTAL C BDI</t>
  </si>
  <si>
    <t>03.001.0001-1</t>
  </si>
  <si>
    <t>01999</t>
  </si>
  <si>
    <t>MAO-DE-OBRA DE SERVENTE DA CONSTRUCAO CIVIL, INCLUSIVE ENCARGOS SOCIAIS</t>
  </si>
  <si>
    <t>03.001.0002-1</t>
  </si>
  <si>
    <t>03.013.0001-1</t>
  </si>
  <si>
    <t>11.013.0105-0</t>
  </si>
  <si>
    <t>01998</t>
  </si>
  <si>
    <t>MAO-DE-OBRA DE ARMADOR DE CONCRETO ARMADO, INCLUSIVE ENCARGOS SOCIAIS</t>
  </si>
  <si>
    <t>01990</t>
  </si>
  <si>
    <t>MAO-DE-OBRA DE CARPINTEIRO DE FORMA DE CONCRETO, INCLUSIVE ENCARGOS SOCIAIS</t>
  </si>
  <si>
    <t>01968</t>
  </si>
  <si>
    <t>MAO-DE-OBRA DE PEDREIRO, INCLUSIVE ENCARGOS SOCIAIS</t>
  </si>
  <si>
    <t>03000</t>
  </si>
  <si>
    <t>54.001.0100-1 FORMAS MADEIRA P/MOLDAGEM, INCL. ESCOR.</t>
  </si>
  <si>
    <t>01158</t>
  </si>
  <si>
    <t>19.007.0013-4 VIBRADOR IMERSAO ELETR. 2CV (CI)</t>
  </si>
  <si>
    <t>01157</t>
  </si>
  <si>
    <t>19.007.0013-2 VIBRADOR IMERSAO ELETR. 2CV (CP)</t>
  </si>
  <si>
    <t>11.003.0005-1</t>
  </si>
  <si>
    <t>01752</t>
  </si>
  <si>
    <t>11.002.0023-1 LANCAMENTO CONC.C/ARM.2,0M3/H,HORIZ/VERT</t>
  </si>
  <si>
    <t>01745</t>
  </si>
  <si>
    <t>11.002.0013-1 PREPARO CONCR. BETON. 320L; 2,0M3/H</t>
  </si>
  <si>
    <t>11.003.00058-1 CONCRETO DOSADO RACIONALMENTE PARA UMA RESISTENCIA CARACTERISTICA A COMPRESSAO DE 25MPA,INCLUSIVE MATERIAIS,TRANSPORTE,P REPARO COM BETONEIRA,LANCAMENTO E ADENSAMENTO (OBS.:5%-PERDAS).</t>
  </si>
  <si>
    <t>11.031.0050-0</t>
  </si>
  <si>
    <t>01605</t>
  </si>
  <si>
    <t>07.002.0025-1 ARGAMASSA CIM.,AREIA TRACO 1:3,PREPAROMECANICO</t>
  </si>
  <si>
    <t>12.005.0080-0</t>
  </si>
  <si>
    <t>01608</t>
  </si>
  <si>
    <t>07.002.0040-1 ARGAMASSA CIM.,AREIA TRACO 1:6,PREPAROMECANICO</t>
  </si>
  <si>
    <t>11.003.0072-0</t>
  </si>
  <si>
    <t>01637</t>
  </si>
  <si>
    <t>11.001.0006-1 CONCRETO FCK 20MPA</t>
  </si>
  <si>
    <t>So73902/001</t>
  </si>
  <si>
    <t>06.272.0002-0</t>
  </si>
  <si>
    <t>04.014.0116-0</t>
  </si>
  <si>
    <t>02.020.0001-0</t>
  </si>
  <si>
    <t>PLACA DE IDENTIFICACAO DE OBRA PUBLICA,INCLUSIVE PINTURA E SUPORTES DE MADEIRA.FORNECIMENTO E COLOCACAO (OBS.:3% - DESGASTE DE FERRAMENTAS E EPI).</t>
  </si>
  <si>
    <t>00453</t>
  </si>
  <si>
    <t>00368</t>
  </si>
  <si>
    <t>PINUS, EM PECAS DE 7,50X7,50CM (3"X3")</t>
  </si>
  <si>
    <t>00294</t>
  </si>
  <si>
    <t>TINTA A OLEO BRILHANTE, P/USO GERAL, EMINTERIORES E EXTERIORES</t>
  </si>
  <si>
    <t>GL</t>
  </si>
  <si>
    <t>00160</t>
  </si>
  <si>
    <t>CHAPA DE ACO CARBONO, GALVANIZADA, PARAUSOS GERAIS, TAMANHO PADRAO, PRECO DE REVENDEDOR, COM ESPESSURA DE 0,5MM</t>
  </si>
  <si>
    <t>01967</t>
  </si>
  <si>
    <t>MAO-DE-OBRA DE CARPINTEIRO DE ESQUADRIASDE MADEIRA INCLUSIVE ENCARGOS SOCIAIS</t>
  </si>
  <si>
    <t>01966</t>
  </si>
  <si>
    <t>MAO-DE-OBRA DE PINTOR, INCLUSIVE ENCARGOS SOCIAIS</t>
  </si>
  <si>
    <t>01001</t>
  </si>
  <si>
    <t>19.004.0001-2 CAMINHAO CARROC. FIXA, 3,5T (CP)</t>
  </si>
  <si>
    <t>DEMOLIÇÃO DE LAJES, DE FORMA MECANIZADA COM MARTELETE, SEM REAPROVEITAMENTO. AF_12/2017</t>
  </si>
  <si>
    <t>05.001.0025-0</t>
  </si>
  <si>
    <t>DEMOLICAO MANUAL DE ALVENARIA DE BLOCOS DE CONCRETO,INCLUSIVE EMPILHAMENTO LATERAL DENTRO DO CANTEIRO DE SERVICO (OBS.:3%-DESGASTE DE FERRAMENTAS E EPI).</t>
  </si>
  <si>
    <t>CONCRETO ARMADO,FCK=25MPA,INCLUINDO MATERIAIS PARA 1,00M3 DE CONCRETO, PREPARO COM BETONEIRA,ADENSADO E COLOCADO,12,00M2 DE AREA MOLDADA,FORMAS E ESCORAMENTO CONFORME ITENS 11.004.0022E 11.004.0035,80KG DE ACO CA-50,INCLUINDO MAO-DE-OBRA PARA CORTE,DOBRAGEM,MONTAGEM E COLOCACAO NAS FORMAS ( CINTAMENTO, PILARES e laje do fundo).</t>
  </si>
  <si>
    <t>ESCAVACAO MANUAL DE VALA/CAVA EM MATERIAL DE 1ª CATEGORIA (A(AREIA,ARGILA OU PICARRA),ATE 1,50M DE PROFUNDIDADE,EXCLUSIVE ESCORAMENTO E ESGOTAMENTO .(TANQUES ,CINTAMENTO, valas de rede e caixas de inspeção)</t>
  </si>
  <si>
    <t>TAMPAO COMPLETO DE F§F§,ARTICULADO,DE 0,60M DE DIAMETRO,PADRAO PMRJ(RIOLUZ),TIPO LEVE,CARGA MINIMA PARA TESTE 6T,RESISTE NCIA MAXIMA DE ROMPIMENTO 7,5T E FLECHA RESIDUAL MAXIMA DE 17MM,ASSENTADO COM ARGAMASSA DE CIMENTO E AREIA,NO TRACO 1:4 EM VOLUME.FORNECIMENTO E ASSENTAMENTO</t>
  </si>
  <si>
    <t>06.016.0040-0</t>
  </si>
  <si>
    <t>04446</t>
  </si>
  <si>
    <t>01607</t>
  </si>
  <si>
    <t>07.002.0030-1 ARGAMASSA CIM.,AREIA TRACO 1:4,PREPAROMECANICO</t>
  </si>
  <si>
    <t>ANEL BORRACHA PARA TUBO ESGOTO PREDIAL, DN 100 MM (NBR 5688)</t>
  </si>
  <si>
    <t>TÊ, PVC, SERIE R, ÁGUA PLUVIAL, DN 100 X 100 MM, JUNTA ELÁSTICA, FORNECIDO E INSTALADO EM RAMAL DE ENCAMINHAMENTO. AF_12/2014</t>
  </si>
  <si>
    <t>1.17</t>
  </si>
  <si>
    <t>1.18</t>
  </si>
  <si>
    <t>1.19</t>
  </si>
  <si>
    <t>15.001.0034-0</t>
  </si>
  <si>
    <t>CAIXA DE ALVENARIA EM TIJOLOS MACICOS(7X10X20CM),EM PAREDES DE MEIA VEZ,COM DIMENSOES DE 0,60X0,60X1,20M,ASSENTADA COM A RGAMASSA DE CIMENTO E AREIA,NO TRACO 1:4,REVESTIDA INTERNAMENTE COM A MESMA ARGAMASSA,COM FUNDO DE CONCRETO,SEM TAMPA (OBS.:3%-DESGASTE DE FERRAMENTAS E EPI).</t>
  </si>
  <si>
    <t>03087</t>
  </si>
  <si>
    <t>13.001.0030-1 EMBOCO ARG. CIM. E AREIA TRACO 1:4</t>
  </si>
  <si>
    <t>01633</t>
  </si>
  <si>
    <t>11.001.0001-1 CONCRETO FCK 10MPA</t>
  </si>
  <si>
    <t>12.005.0135-1</t>
  </si>
  <si>
    <t>ALVENARIA PARA CAIXAS ENTERRADAS,ATE 1,60M DE PROFUNDIDADE,COM BLOCOS DE CONCRETO DE 20X20X40CM,COM ARGAMASSA DE CIMENTO E AREIA,NO TRACO 1:4 E CONCRETO 20MPA,PARA PREENCHIMENTO DOSFUROS DOS MESMOS,EM PAREDES DE UMA VEZ(0,20M) (OBS.:3%-DESGASTE DE FERRAMENTAS E EPI).</t>
  </si>
  <si>
    <t>12.005.0135-1 ALVENARIA P/ CX.ENTERRADA 0,80M A 1,60M</t>
  </si>
  <si>
    <t>15.001.0034-5</t>
  </si>
  <si>
    <t>CAIXA DE ALVENARIA DE BLOCOS DE CONCRETO(20X20X40CM),EM PAREDES DE UMAVEZ (0,20M),COM DIMENSOES DE 0,60X0,60X1,20M,ASSENTADA COM ARGAMASSA DE CIMENTO E AREIA,NO TRACO 1:4 E CONCRETO 20MPA PARA PREENCHIMENTO DOS FUROS DOS MESMOS, REVESTIDA INTERNAMENTE COM A MESMA ARGAMASSA,COM FUNDO DE CONCRETO,SEM TAMPA .</t>
  </si>
  <si>
    <t>1.20</t>
  </si>
  <si>
    <t>ALVENARIA DE BLOCOS DE CONCRETO 20X20X40CM,ASSENTES COM ARGAMASSA DE CIMENTO E AREIA,NO TRACO 1:6,EM PAREDES DE 0,20M DE ESPESSURA,DE SUPERFICIE CORRIDA,ATE 3,00M DE ALTURA E MEDIDA PELA AREA REAL (PAREDES DOS TANQUES E RECOMPOSIÇÃO DO MURO).</t>
  </si>
  <si>
    <t>PREENCHIMENTO COM CONCRETO DE 20MPA EM VAZIOS DE ALVENARIA DE BLOCOS DE CONCRETO 20X20X40CM,EM PAREDES DE 20CM,MEDIDO PE LA AREA REAL,EXCLUSIVE ARMACAO E A ALVENARIA (PAREDES DOS TANQUES E RECOMPOSIÇÃO DO MURO).</t>
  </si>
  <si>
    <t>13.001.0026-0</t>
  </si>
  <si>
    <t>EMBOCO COM ARGAMASSA DE CIMENTO E AREIA,NO TRACO 1:3 COM 2CM DE ESPESSURA,INCLUSIVE CHAPISCO DE CIMENTO E AREIA,NO TRACO 0,04375 (OBS.:3%-DESGASTE DE FERRAMENTAS E EPI).</t>
  </si>
  <si>
    <t>03084</t>
  </si>
  <si>
    <t>13.001.0010-1 CHAPISCO SUPERF. CONCR./ALVEN.,COM ARGAMASSA DE CIMENTO E AREIA NO TRACO 1:3</t>
  </si>
  <si>
    <t>EMBOCO COM ARGAMASSA DE CIMENTO E AREIA,NO TRACO 1:3 COM 2CM DE ESPESSURA,INCLUSIVE CHAPISCO DE CIMENTO E AREIA,NO TRACO 0,04375 (RECOMPOSIÇÃO DO MURO).</t>
  </si>
  <si>
    <t>1.21</t>
  </si>
  <si>
    <t>1.22</t>
  </si>
  <si>
    <t xml:space="preserve">ENCARGOS SOCIAIS ONERADOS </t>
  </si>
  <si>
    <t>PRE-LAJE COM PAINEL TRELICADO PARA LAJEMACICA, CARGA PERMANENTE DE 2,5 A 3,5KN/M2, VAO DE 4,10M A 5,20M</t>
  </si>
  <si>
    <t>TAMPAO COMPLETO DE FERRO FUNDIDO DUCTIL (NODULAR),ARTICULADO,DE 0,56M DE DIAMETRO,PADRAO PMRJ(RIOLUZ),TIPO LEVE,CARGA MI NIMA PARA TESTE 6T,RESISTENCIA MAXIMA DE ROMPIMENTO 7,5T E FLECHA RESIDUAL MAXIMA DE 17MM,ASSENTADO COM ARGAMASSA DE CIM ENTO E AREIA,NO TRACO 1:4 EM VOLUME.FORNECIMENTO E ASSENTAMENTO (OBS.:3% - DESGASTE DE FERRAMENTAS E EPI).</t>
  </si>
  <si>
    <t>TAMPAO DE FERRO FUNDIDO DUCTIL (NODULAR), TIPO LEVE, COM DIAMETRO DE 56CM, PADRAO RIOLUZ</t>
  </si>
  <si>
    <t>So00000097629</t>
  </si>
  <si>
    <t>So00000088316</t>
  </si>
  <si>
    <t>So00000088309</t>
  </si>
  <si>
    <t>So00000005952</t>
  </si>
  <si>
    <t>So00000005795</t>
  </si>
  <si>
    <t>So00000098561</t>
  </si>
  <si>
    <t>So00000072295</t>
  </si>
  <si>
    <t>So0000123</t>
  </si>
  <si>
    <t>ADITIVO IMPERMEABILIZANTE DE PEGA NORMAL PARA ARGAMASSAS E CONCRETOS SEM ARMACAO, LIQUIDO E ISENTO DE CLORETOS</t>
  </si>
  <si>
    <t>L</t>
  </si>
  <si>
    <t>So00000087286</t>
  </si>
  <si>
    <t>So0001200</t>
  </si>
  <si>
    <t>So0000122</t>
  </si>
  <si>
    <t>So00000088267</t>
  </si>
  <si>
    <t>So0020083</t>
  </si>
  <si>
    <t>So0073902/001</t>
  </si>
  <si>
    <t>So0004722</t>
  </si>
  <si>
    <t>So00000089571</t>
  </si>
  <si>
    <t>So0020179</t>
  </si>
  <si>
    <t>TE, PVC, SERIE R, 100 X 100 MM, PARA ESGOTO OU AGUAS PLUVIAIS PREDIAIS</t>
  </si>
  <si>
    <t>So0000301</t>
  </si>
  <si>
    <t>So0020078</t>
  </si>
  <si>
    <t>So00000088248</t>
  </si>
  <si>
    <t>So00000072897</t>
  </si>
  <si>
    <t>So00000005961</t>
  </si>
  <si>
    <t>CAMINHÃO BASCULANTE 6 M3, PESO BRUTO TOTAL 16.000 KG, CARGA ÚTIL MÁXIMA 13.071 KG, DISTÂNCIA ENTRE EIXOS 4,80 M, POTÊNCIA 230 CV INCLUSIVE CAÇAMBA METÁLICA - CHI DIURNO. AF_06/2014</t>
  </si>
  <si>
    <t>SO00000072843</t>
  </si>
  <si>
    <t>So00000005811</t>
  </si>
  <si>
    <t>SI00000088316</t>
  </si>
  <si>
    <t>TOTAL GERAL COM BDI DE 22,47%=</t>
  </si>
  <si>
    <t>Orçamento: 026/2021</t>
  </si>
  <si>
    <t>ARGAMASSA TRAÇO 1:1:6 (EM VOLUME DE CIMENTO, CAL E AREIA MÉDIA ÚMIDA) PARA EMBOÇO/MASSA ÚNICA/ASSENTAMENTO DE ALVENARIA DE VEDAÇÃO, PREPARO MECÂNICO COM BETONEIRA 400 L. AF_08/2019</t>
  </si>
  <si>
    <t>SOLUCAO PREPARADORA / LIMPADORA PARA PVC, FRASCO COM 1000 CM3</t>
  </si>
  <si>
    <t>ADESIVO PLASTICO PARA PVC, FRASCO COM *850* GR</t>
  </si>
  <si>
    <t>PASTA LUBRIFICANTE PARA TUBOS E CONEXOES COM JUNTA ELASTICA, EMBALAGEM DE *400* GR (USO EM PVC, ACO, POLIETILENO E OUTROS)</t>
  </si>
  <si>
    <t>ENCARGOS SOCIAIS ONERADOS</t>
  </si>
  <si>
    <t>So00000095694</t>
  </si>
  <si>
    <t>CURVA 90 GRAUS, PVC, SERIE R, ÁGUA PLUVIAL, DN 100 MM, JUNTA ELÁSTICA, FORNECIDO E INSTALADO EM RAMAL DE ENCAMINHAMENTO. AF_12/2014</t>
  </si>
  <si>
    <t>So0038423</t>
  </si>
  <si>
    <t>CURVA DE PVC, 90 GRAUS, SERIE R, DN 100 MM, PARA ESGOTO OU AGUAS PLUVIAIS PREDIAIS</t>
  </si>
  <si>
    <t>SI00000090733</t>
  </si>
  <si>
    <t>ASSENTAMENTO DE TUBO DE PVC PARA REDE COLETORA DE ESGOTO DE PAREDE MACIÇA, DN 100 MM, JUNTA ELÁSTICA (NÃO INCLUI FORNECIMENTO). AF_01/2021</t>
  </si>
  <si>
    <t>SI00000088246</t>
  </si>
  <si>
    <t>ASSENTADOR DE TUBOS COM ENCARGOS COMPLEMENTARES</t>
  </si>
  <si>
    <t>06.272.0002-0 + SI00000090733</t>
  </si>
  <si>
    <t>TUBO PVC (NBR-7362), PARA ESGOTO SANITARIO, COM DIAMETRO NOMINAL DE 100MM, INCLUSIVE ANEL DE BORRACHA. FORNECIMENTO E ASSENTAMENTO</t>
  </si>
  <si>
    <t>PREGO COM OU SEM CABECA, EM CAIXAS DE 50KG, OU QUANTIDADES EQUIVALENTES, Nº12X12A 18X30</t>
  </si>
  <si>
    <t>MARTELETE OU ROMPEDOR PNEUMÁTICO MANUAL, 28 KG, COM SILENCIADOR - CHI DIURNO. AF_07/2016</t>
  </si>
  <si>
    <t>MARTELETE OU ROMPEDOR PNEUMÁTICO MANUAL, 28 KG, COM SILENCIADOR - CHP DIURNO. AF_07/2016</t>
  </si>
  <si>
    <t>Data-Base:   EMOP -  RJ - Onerado - Base fevereiro-2022</t>
  </si>
  <si>
    <t>DATA:22-04-2022</t>
  </si>
  <si>
    <t>ARAME RECOZIDO Nº 18</t>
  </si>
  <si>
    <t>PRE-LAJE COM PAINEL TRELICADO,MACICA,PARA VAO DE 4,10 A 5,20M,CAPEAMENTO DE 9CM DE ESPESSURA,FCK=25MPA,SOBRECARGA DE 2,5A 3,5KN/M2,INCLUSIVE ARMACAO NEGATIVA E POSITIVA ADICIONAL.FORNECIMENTO E ASSENTAMENTO</t>
  </si>
  <si>
    <t>Data-Base:   EMOP -  RJ - Onerado - Base FEVEREIRO-2022</t>
  </si>
  <si>
    <t>DATA:22/04/2022</t>
  </si>
  <si>
    <t>DATA: 08/11/2021 - REVISÃO 22-04-2022</t>
  </si>
  <si>
    <t>Data-Base:   EMOP -  RJ - onerado - Base FEVEREIRO-2022</t>
  </si>
  <si>
    <t>Data-Base:   EMOP -  RJ / SINAPI e SCO-RJ- Onerado - Base FEV-2022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</si>
</sst>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00"/>
    <numFmt numFmtId="171" formatCode="0.0"/>
    <numFmt numFmtId="172" formatCode="dd/mm/yy;@"/>
    <numFmt numFmtId="173" formatCode="#,##0.00_ ;\-#,##0.00\ "/>
    <numFmt numFmtId="174" formatCode="0.0%"/>
    <numFmt numFmtId="175" formatCode="_([$€]* #,##0.00_);_([$€]* \(#,##0.00\);_([$€]* &quot;-&quot;??_);_(@_)"/>
    <numFmt numFmtId="176" formatCode="_(* #,##0.00_);_(* \(#,##0.00\);_(* &quot;-&quot;??_);_(@_)"/>
    <numFmt numFmtId="177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20"/>
      <color indexed="8"/>
      <name val="Arial"/>
      <family val="2"/>
    </font>
    <font>
      <sz val="10"/>
      <name val="Switzerland"/>
      <family val="0"/>
    </font>
    <font>
      <sz val="20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name val="Switzerland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6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justify" vertical="justify" wrapText="1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52" fillId="34" borderId="10" xfId="0" applyFont="1" applyFill="1" applyBorder="1" applyAlignment="1">
      <alignment/>
    </xf>
    <xf numFmtId="0" fontId="52" fillId="34" borderId="10" xfId="0" applyFont="1" applyFill="1" applyBorder="1" applyAlignment="1">
      <alignment horizontal="justify" vertical="justify" wrapText="1"/>
    </xf>
    <xf numFmtId="4" fontId="53" fillId="34" borderId="10" xfId="0" applyNumberFormat="1" applyFont="1" applyFill="1" applyBorder="1" applyAlignment="1">
      <alignment/>
    </xf>
    <xf numFmtId="0" fontId="52" fillId="0" borderId="11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0" xfId="0" applyFont="1" applyBorder="1" applyAlignment="1">
      <alignment horizontal="justify" vertical="justify" wrapText="1"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justify" vertical="justify" wrapText="1"/>
    </xf>
    <xf numFmtId="2" fontId="52" fillId="33" borderId="10" xfId="0" applyNumberFormat="1" applyFont="1" applyFill="1" applyBorder="1" applyAlignment="1">
      <alignment/>
    </xf>
    <xf numFmtId="4" fontId="53" fillId="33" borderId="10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4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49" fontId="4" fillId="0" borderId="14" xfId="57" applyNumberFormat="1" applyFont="1" applyFill="1" applyBorder="1" applyAlignment="1">
      <alignment horizontal="center"/>
      <protection/>
    </xf>
    <xf numFmtId="49" fontId="4" fillId="0" borderId="15" xfId="51" applyNumberFormat="1" applyFont="1" applyFill="1" applyBorder="1">
      <alignment/>
      <protection/>
    </xf>
    <xf numFmtId="4" fontId="4" fillId="0" borderId="15" xfId="51" applyNumberFormat="1" applyFont="1" applyFill="1" applyBorder="1" applyAlignment="1">
      <alignment horizontal="left" readingOrder="1"/>
      <protection/>
    </xf>
    <xf numFmtId="4" fontId="4" fillId="0" borderId="15" xfId="58" applyNumberFormat="1" applyFont="1" applyFill="1" applyBorder="1" applyAlignment="1">
      <alignment horizontal="center" vertical="center"/>
      <protection/>
    </xf>
    <xf numFmtId="4" fontId="4" fillId="0" borderId="15" xfId="0" applyNumberFormat="1" applyFont="1" applyFill="1" applyBorder="1" applyAlignment="1">
      <alignment/>
    </xf>
    <xf numFmtId="4" fontId="4" fillId="0" borderId="15" xfId="57" applyNumberFormat="1" applyFont="1" applyFill="1" applyBorder="1">
      <alignment/>
      <protection/>
    </xf>
    <xf numFmtId="49" fontId="4" fillId="0" borderId="11" xfId="57" applyNumberFormat="1" applyFont="1" applyFill="1" applyBorder="1" applyAlignment="1">
      <alignment horizontal="center"/>
      <protection/>
    </xf>
    <xf numFmtId="49" fontId="4" fillId="0" borderId="0" xfId="51" applyNumberFormat="1" applyFont="1" applyFill="1" applyBorder="1">
      <alignment/>
      <protection/>
    </xf>
    <xf numFmtId="4" fontId="4" fillId="0" borderId="0" xfId="51" applyNumberFormat="1" applyFont="1" applyFill="1" applyBorder="1" applyAlignment="1">
      <alignment horizontal="left" readingOrder="1"/>
      <protection/>
    </xf>
    <xf numFmtId="4" fontId="4" fillId="0" borderId="0" xfId="58" applyNumberFormat="1" applyFont="1" applyFill="1" applyBorder="1" applyAlignment="1">
      <alignment horizontal="center" vertical="center"/>
      <protection/>
    </xf>
    <xf numFmtId="4" fontId="4" fillId="0" borderId="0" xfId="57" applyNumberFormat="1" applyFont="1" applyFill="1" applyBorder="1">
      <alignment/>
      <protection/>
    </xf>
    <xf numFmtId="4" fontId="4" fillId="0" borderId="0" xfId="51" applyNumberFormat="1" applyFont="1" applyFill="1" applyBorder="1" applyAlignment="1">
      <alignment horizontal="center"/>
      <protection/>
    </xf>
    <xf numFmtId="4" fontId="4" fillId="0" borderId="0" xfId="51" applyNumberFormat="1" applyFont="1" applyFill="1" applyBorder="1" applyAlignment="1">
      <alignment/>
      <protection/>
    </xf>
    <xf numFmtId="4" fontId="3" fillId="0" borderId="0" xfId="51" applyNumberFormat="1" applyFont="1" applyFill="1" applyBorder="1" applyAlignment="1">
      <alignment vertical="center" wrapText="1" readingOrder="1"/>
      <protection/>
    </xf>
    <xf numFmtId="4" fontId="3" fillId="0" borderId="0" xfId="51" applyNumberFormat="1" applyFont="1" applyFill="1" applyBorder="1" applyAlignment="1">
      <alignment horizontal="center" vertical="center"/>
      <protection/>
    </xf>
    <xf numFmtId="4" fontId="3" fillId="0" borderId="0" xfId="58" applyNumberFormat="1" applyFont="1" applyFill="1" applyBorder="1" applyAlignment="1">
      <alignment horizontal="left"/>
      <protection/>
    </xf>
    <xf numFmtId="49" fontId="4" fillId="0" borderId="16" xfId="57" applyNumberFormat="1" applyFont="1" applyFill="1" applyBorder="1" applyAlignment="1">
      <alignment horizontal="center"/>
      <protection/>
    </xf>
    <xf numFmtId="49" fontId="4" fillId="0" borderId="17" xfId="58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 readingOrder="1"/>
    </xf>
    <xf numFmtId="0" fontId="3" fillId="0" borderId="17" xfId="58" applyFont="1" applyFill="1" applyBorder="1" applyAlignment="1">
      <alignment/>
      <protection/>
    </xf>
    <xf numFmtId="49" fontId="3" fillId="0" borderId="17" xfId="58" applyNumberFormat="1" applyFont="1" applyBorder="1" applyAlignment="1">
      <alignment horizontal="center" vertical="center"/>
      <protection/>
    </xf>
    <xf numFmtId="0" fontId="3" fillId="0" borderId="17" xfId="58" applyFont="1" applyFill="1" applyBorder="1">
      <alignment/>
      <protection/>
    </xf>
    <xf numFmtId="4" fontId="3" fillId="0" borderId="17" xfId="58" applyNumberFormat="1" applyFont="1" applyBorder="1" applyAlignment="1">
      <alignment horizontal="center"/>
      <protection/>
    </xf>
    <xf numFmtId="0" fontId="5" fillId="0" borderId="18" xfId="54" applyFont="1" applyBorder="1">
      <alignment/>
      <protection/>
    </xf>
    <xf numFmtId="0" fontId="5" fillId="0" borderId="0" xfId="54" applyFont="1">
      <alignment/>
      <protection/>
    </xf>
    <xf numFmtId="0" fontId="9" fillId="0" borderId="0" xfId="54">
      <alignment/>
      <protection/>
    </xf>
    <xf numFmtId="0" fontId="5" fillId="0" borderId="12" xfId="54" applyFont="1" applyBorder="1">
      <alignment/>
      <protection/>
    </xf>
    <xf numFmtId="0" fontId="5" fillId="0" borderId="19" xfId="54" applyFont="1" applyBorder="1">
      <alignment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center"/>
      <protection/>
    </xf>
    <xf numFmtId="0" fontId="9" fillId="0" borderId="0" xfId="54" applyBorder="1">
      <alignment/>
      <protection/>
    </xf>
    <xf numFmtId="0" fontId="13" fillId="0" borderId="13" xfId="54" applyFont="1" applyBorder="1" applyAlignment="1">
      <alignment horizontal="center"/>
      <protection/>
    </xf>
    <xf numFmtId="0" fontId="13" fillId="0" borderId="18" xfId="54" applyFont="1" applyBorder="1" applyAlignment="1">
      <alignment horizontal="center"/>
      <protection/>
    </xf>
    <xf numFmtId="0" fontId="12" fillId="0" borderId="20" xfId="55" applyFont="1" applyFill="1" applyBorder="1" applyAlignment="1">
      <alignment vertical="top"/>
      <protection/>
    </xf>
    <xf numFmtId="39" fontId="11" fillId="0" borderId="20" xfId="54" applyNumberFormat="1" applyFont="1" applyBorder="1" applyAlignment="1">
      <alignment/>
      <protection/>
    </xf>
    <xf numFmtId="0" fontId="11" fillId="0" borderId="0" xfId="54" applyFont="1">
      <alignment/>
      <protection/>
    </xf>
    <xf numFmtId="0" fontId="12" fillId="0" borderId="10" xfId="57" applyFont="1" applyFill="1" applyBorder="1" applyAlignment="1">
      <alignment vertical="top"/>
      <protection/>
    </xf>
    <xf numFmtId="0" fontId="11" fillId="0" borderId="10" xfId="57" applyFont="1" applyFill="1" applyBorder="1" applyAlignment="1">
      <alignment horizontal="left" vertical="top"/>
      <protection/>
    </xf>
    <xf numFmtId="10" fontId="11" fillId="0" borderId="10" xfId="62" applyNumberFormat="1" applyFont="1" applyFill="1" applyBorder="1" applyAlignment="1">
      <alignment/>
    </xf>
    <xf numFmtId="4" fontId="11" fillId="0" borderId="10" xfId="54" applyNumberFormat="1" applyFont="1" applyFill="1" applyBorder="1" applyAlignment="1">
      <alignment/>
      <protection/>
    </xf>
    <xf numFmtId="4" fontId="12" fillId="0" borderId="10" xfId="49" applyNumberFormat="1" applyFont="1" applyFill="1" applyBorder="1" applyAlignment="1">
      <alignment horizontal="right"/>
      <protection/>
    </xf>
    <xf numFmtId="39" fontId="11" fillId="0" borderId="0" xfId="54" applyNumberFormat="1" applyFont="1">
      <alignment/>
      <protection/>
    </xf>
    <xf numFmtId="4" fontId="9" fillId="0" borderId="0" xfId="54" applyNumberFormat="1">
      <alignment/>
      <protection/>
    </xf>
    <xf numFmtId="0" fontId="14" fillId="0" borderId="10" xfId="57" applyFont="1" applyBorder="1" applyAlignment="1">
      <alignment vertical="top"/>
      <protection/>
    </xf>
    <xf numFmtId="0" fontId="14" fillId="0" borderId="10" xfId="57" applyFont="1" applyBorder="1" applyAlignment="1">
      <alignment horizontal="left" vertical="top"/>
      <protection/>
    </xf>
    <xf numFmtId="10" fontId="15" fillId="0" borderId="10" xfId="62" applyNumberFormat="1" applyFont="1" applyBorder="1" applyAlignment="1" quotePrefix="1">
      <alignment/>
    </xf>
    <xf numFmtId="39" fontId="15" fillId="0" borderId="10" xfId="54" applyNumberFormat="1" applyFont="1" applyBorder="1" applyAlignment="1">
      <alignment/>
      <protection/>
    </xf>
    <xf numFmtId="4" fontId="12" fillId="0" borderId="10" xfId="49" applyNumberFormat="1" applyFont="1" applyBorder="1">
      <alignment/>
      <protection/>
    </xf>
    <xf numFmtId="4" fontId="11" fillId="35" borderId="13" xfId="49" applyNumberFormat="1" applyFont="1" applyFill="1" applyBorder="1">
      <alignment/>
      <protection/>
    </xf>
    <xf numFmtId="0" fontId="11" fillId="35" borderId="21" xfId="49" applyFont="1" applyFill="1" applyBorder="1">
      <alignment/>
      <protection/>
    </xf>
    <xf numFmtId="174" fontId="12" fillId="35" borderId="21" xfId="62" applyNumberFormat="1" applyFont="1" applyFill="1" applyBorder="1" applyAlignment="1">
      <alignment horizontal="center"/>
    </xf>
    <xf numFmtId="0" fontId="11" fillId="35" borderId="22" xfId="54" applyFont="1" applyFill="1" applyBorder="1">
      <alignment/>
      <protection/>
    </xf>
    <xf numFmtId="0" fontId="16" fillId="0" borderId="0" xfId="54" applyFont="1">
      <alignment/>
      <protection/>
    </xf>
    <xf numFmtId="4" fontId="3" fillId="0" borderId="0" xfId="58" applyNumberFormat="1" applyFont="1" applyFill="1" applyBorder="1" applyAlignment="1">
      <alignment/>
      <protection/>
    </xf>
    <xf numFmtId="170" fontId="0" fillId="33" borderId="10" xfId="0" applyNumberFormat="1" applyFill="1" applyBorder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justify" vertical="justify" wrapText="1"/>
    </xf>
    <xf numFmtId="0" fontId="53" fillId="0" borderId="12" xfId="0" applyFont="1" applyBorder="1" applyAlignment="1">
      <alignment/>
    </xf>
    <xf numFmtId="0" fontId="51" fillId="0" borderId="0" xfId="0" applyFont="1" applyAlignment="1">
      <alignment/>
    </xf>
    <xf numFmtId="0" fontId="52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2" fillId="34" borderId="10" xfId="0" applyFont="1" applyFill="1" applyBorder="1" applyAlignment="1">
      <alignment horizontal="center"/>
    </xf>
    <xf numFmtId="49" fontId="4" fillId="0" borderId="0" xfId="58" applyNumberFormat="1" applyFont="1" applyFill="1" applyBorder="1" applyAlignment="1">
      <alignment horizontal="center"/>
      <protection/>
    </xf>
    <xf numFmtId="0" fontId="3" fillId="0" borderId="0" xfId="58" applyFont="1" applyFill="1" applyBorder="1" applyAlignment="1">
      <alignment/>
      <protection/>
    </xf>
    <xf numFmtId="49" fontId="3" fillId="0" borderId="0" xfId="58" applyNumberFormat="1" applyFont="1" applyBorder="1" applyAlignment="1">
      <alignment horizontal="center" vertical="center"/>
      <protection/>
    </xf>
    <xf numFmtId="4" fontId="4" fillId="0" borderId="14" xfId="57" applyNumberFormat="1" applyFont="1" applyFill="1" applyBorder="1">
      <alignment/>
      <protection/>
    </xf>
    <xf numFmtId="4" fontId="4" fillId="0" borderId="18" xfId="57" applyNumberFormat="1" applyFont="1" applyFill="1" applyBorder="1">
      <alignment/>
      <protection/>
    </xf>
    <xf numFmtId="4" fontId="4" fillId="0" borderId="12" xfId="51" applyNumberFormat="1" applyFont="1" applyFill="1" applyBorder="1" applyAlignment="1">
      <alignment/>
      <protection/>
    </xf>
    <xf numFmtId="0" fontId="3" fillId="0" borderId="16" xfId="58" applyFont="1" applyFill="1" applyBorder="1">
      <alignment/>
      <protection/>
    </xf>
    <xf numFmtId="4" fontId="3" fillId="0" borderId="19" xfId="58" applyNumberFormat="1" applyFont="1" applyBorder="1" applyAlignment="1">
      <alignment horizontal="center"/>
      <protection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justify" vertical="justify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justify" vertical="justify" wrapText="1"/>
    </xf>
    <xf numFmtId="0" fontId="3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justify" vertical="justify" wrapText="1"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5" xfId="0" applyFont="1" applyFill="1" applyBorder="1" applyAlignment="1">
      <alignment horizontal="justify" vertical="justify" wrapText="1"/>
    </xf>
    <xf numFmtId="0" fontId="3" fillId="34" borderId="18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justify" vertical="justify" wrapText="1"/>
    </xf>
    <xf numFmtId="0" fontId="3" fillId="34" borderId="12" xfId="0" applyFont="1" applyFill="1" applyBorder="1" applyAlignment="1">
      <alignment/>
    </xf>
    <xf numFmtId="2" fontId="35" fillId="0" borderId="0" xfId="0" applyNumberFormat="1" applyFont="1" applyAlignment="1">
      <alignment/>
    </xf>
    <xf numFmtId="0" fontId="3" fillId="0" borderId="14" xfId="59" applyFont="1" applyFill="1" applyBorder="1" applyAlignment="1">
      <alignment horizontal="center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justify" vertical="top" wrapText="1"/>
      <protection/>
    </xf>
    <xf numFmtId="4" fontId="3" fillId="0" borderId="15" xfId="59" applyNumberFormat="1" applyFont="1" applyFill="1" applyBorder="1" applyAlignment="1">
      <alignment horizontal="center"/>
      <protection/>
    </xf>
    <xf numFmtId="173" fontId="3" fillId="0" borderId="15" xfId="45" applyNumberFormat="1" applyFont="1" applyFill="1" applyBorder="1" applyAlignment="1">
      <alignment horizontal="center"/>
    </xf>
    <xf numFmtId="169" fontId="3" fillId="0" borderId="18" xfId="45" applyFont="1" applyFill="1" applyBorder="1" applyAlignment="1">
      <alignment horizontal="right"/>
    </xf>
    <xf numFmtId="169" fontId="3" fillId="0" borderId="0" xfId="45" applyFont="1" applyFill="1" applyBorder="1" applyAlignment="1">
      <alignment horizontal="right"/>
    </xf>
    <xf numFmtId="0" fontId="4" fillId="0" borderId="11" xfId="59" applyFont="1" applyFill="1" applyBorder="1" applyAlignment="1">
      <alignment horizontal="center"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4" fillId="0" borderId="0" xfId="59" applyFont="1" applyFill="1" applyBorder="1" applyAlignment="1">
      <alignment horizontal="justify" vertical="top" wrapText="1"/>
      <protection/>
    </xf>
    <xf numFmtId="4" fontId="4" fillId="0" borderId="0" xfId="59" applyNumberFormat="1" applyFont="1" applyFill="1" applyBorder="1" applyAlignment="1">
      <alignment horizontal="center"/>
      <protection/>
    </xf>
    <xf numFmtId="173" fontId="4" fillId="0" borderId="0" xfId="45" applyNumberFormat="1" applyFont="1" applyFill="1" applyBorder="1" applyAlignment="1">
      <alignment horizontal="center"/>
    </xf>
    <xf numFmtId="169" fontId="4" fillId="0" borderId="12" xfId="45" applyFont="1" applyFill="1" applyBorder="1" applyAlignment="1">
      <alignment horizontal="right"/>
    </xf>
    <xf numFmtId="169" fontId="4" fillId="0" borderId="0" xfId="45" applyFont="1" applyFill="1" applyBorder="1" applyAlignment="1">
      <alignment horizontal="right"/>
    </xf>
    <xf numFmtId="0" fontId="3" fillId="0" borderId="11" xfId="59" applyFont="1" applyFill="1" applyBorder="1" applyAlignment="1">
      <alignment horizontal="center"/>
      <protection/>
    </xf>
    <xf numFmtId="0" fontId="3" fillId="0" borderId="0" xfId="59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horizontal="justify" vertical="top" wrapText="1"/>
      <protection/>
    </xf>
    <xf numFmtId="4" fontId="3" fillId="0" borderId="0" xfId="59" applyNumberFormat="1" applyFont="1" applyFill="1" applyBorder="1" applyAlignment="1">
      <alignment horizontal="center"/>
      <protection/>
    </xf>
    <xf numFmtId="173" fontId="3" fillId="0" borderId="0" xfId="45" applyNumberFormat="1" applyFont="1" applyFill="1" applyBorder="1" applyAlignment="1">
      <alignment horizontal="center"/>
    </xf>
    <xf numFmtId="169" fontId="3" fillId="0" borderId="12" xfId="45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justify" vertical="justify" wrapText="1"/>
    </xf>
    <xf numFmtId="2" fontId="35" fillId="34" borderId="0" xfId="0" applyNumberFormat="1" applyFont="1" applyFill="1" applyAlignment="1">
      <alignment/>
    </xf>
    <xf numFmtId="0" fontId="35" fillId="34" borderId="0" xfId="0" applyFont="1" applyFill="1" applyAlignment="1">
      <alignment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>
      <alignment horizontal="justify" vertical="justify" wrapText="1"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justify" vertical="justify" wrapText="1"/>
    </xf>
    <xf numFmtId="0" fontId="3" fillId="34" borderId="19" xfId="0" applyFont="1" applyFill="1" applyBorder="1" applyAlignment="1">
      <alignment/>
    </xf>
    <xf numFmtId="0" fontId="4" fillId="0" borderId="10" xfId="0" applyFont="1" applyBorder="1" applyAlignment="1">
      <alignment/>
    </xf>
    <xf numFmtId="170" fontId="3" fillId="34" borderId="10" xfId="0" applyNumberFormat="1" applyFont="1" applyFill="1" applyBorder="1" applyAlignment="1">
      <alignment/>
    </xf>
    <xf numFmtId="4" fontId="3" fillId="0" borderId="0" xfId="57" applyNumberFormat="1" applyFont="1" applyFill="1" applyBorder="1">
      <alignment/>
      <protection/>
    </xf>
    <xf numFmtId="4" fontId="3" fillId="0" borderId="11" xfId="51" applyNumberFormat="1" applyFont="1" applyFill="1" applyBorder="1" applyAlignment="1">
      <alignment horizontal="left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justify" vertical="center" wrapText="1"/>
    </xf>
    <xf numFmtId="4" fontId="4" fillId="34" borderId="10" xfId="0" applyNumberFormat="1" applyFont="1" applyFill="1" applyBorder="1" applyAlignment="1">
      <alignment vertical="center"/>
    </xf>
    <xf numFmtId="0" fontId="35" fillId="34" borderId="0" xfId="0" applyFont="1" applyFill="1" applyAlignment="1">
      <alignment vertical="center"/>
    </xf>
    <xf numFmtId="2" fontId="52" fillId="34" borderId="10" xfId="0" applyNumberFormat="1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21" xfId="0" applyFont="1" applyFill="1" applyBorder="1" applyAlignment="1">
      <alignment horizontal="justify" vertical="justify" wrapText="1"/>
    </xf>
    <xf numFmtId="0" fontId="0" fillId="34" borderId="0" xfId="0" applyFill="1" applyAlignment="1">
      <alignment horizontal="justify" vertical="justify" wrapText="1"/>
    </xf>
    <xf numFmtId="49" fontId="4" fillId="0" borderId="15" xfId="51" applyNumberFormat="1" applyFont="1" applyFill="1" applyBorder="1" applyAlignment="1">
      <alignment horizontal="center"/>
      <protection/>
    </xf>
    <xf numFmtId="49" fontId="4" fillId="0" borderId="0" xfId="51" applyNumberFormat="1" applyFont="1" applyFill="1" applyBorder="1" applyAlignment="1">
      <alignment horizontal="center"/>
      <protection/>
    </xf>
    <xf numFmtId="0" fontId="3" fillId="34" borderId="10" xfId="0" applyFont="1" applyFill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/>
    </xf>
    <xf numFmtId="4" fontId="4" fillId="0" borderId="0" xfId="57" applyNumberFormat="1" applyFont="1" applyFill="1" applyBorder="1" applyAlignment="1">
      <alignment horizontal="left"/>
      <protection/>
    </xf>
    <xf numFmtId="0" fontId="3" fillId="0" borderId="0" xfId="0" applyFont="1" applyBorder="1" applyAlignment="1">
      <alignment horizontal="left" vertical="center" wrapText="1" readingOrder="1"/>
    </xf>
    <xf numFmtId="4" fontId="3" fillId="0" borderId="0" xfId="57" applyNumberFormat="1" applyFont="1" applyFill="1" applyBorder="1" applyAlignment="1">
      <alignment horizontal="left"/>
      <protection/>
    </xf>
    <xf numFmtId="49" fontId="4" fillId="0" borderId="23" xfId="57" applyNumberFormat="1" applyFont="1" applyFill="1" applyBorder="1" applyAlignment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53" fillId="33" borderId="23" xfId="0" applyFont="1" applyFill="1" applyBorder="1" applyAlignment="1">
      <alignment horizontal="center"/>
    </xf>
    <xf numFmtId="0" fontId="53" fillId="33" borderId="20" xfId="0" applyFont="1" applyFill="1" applyBorder="1" applyAlignment="1">
      <alignment horizontal="center"/>
    </xf>
    <xf numFmtId="0" fontId="53" fillId="33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justify" vertical="justify" wrapText="1"/>
    </xf>
    <xf numFmtId="0" fontId="4" fillId="0" borderId="13" xfId="0" applyFont="1" applyFill="1" applyBorder="1" applyAlignment="1">
      <alignment horizontal="justify" vertical="justify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53" fillId="34" borderId="23" xfId="0" applyFont="1" applyFill="1" applyBorder="1" applyAlignment="1">
      <alignment horizontal="center"/>
    </xf>
    <xf numFmtId="0" fontId="53" fillId="34" borderId="20" xfId="0" applyFont="1" applyFill="1" applyBorder="1" applyAlignment="1">
      <alignment horizontal="center"/>
    </xf>
    <xf numFmtId="0" fontId="53" fillId="34" borderId="24" xfId="0" applyFont="1" applyFill="1" applyBorder="1" applyAlignment="1">
      <alignment horizontal="center"/>
    </xf>
    <xf numFmtId="0" fontId="53" fillId="34" borderId="23" xfId="0" applyFont="1" applyFill="1" applyBorder="1" applyAlignment="1">
      <alignment horizontal="right"/>
    </xf>
    <xf numFmtId="0" fontId="53" fillId="34" borderId="20" xfId="0" applyFont="1" applyFill="1" applyBorder="1" applyAlignment="1">
      <alignment horizontal="right"/>
    </xf>
    <xf numFmtId="0" fontId="53" fillId="34" borderId="24" xfId="0" applyFont="1" applyFill="1" applyBorder="1" applyAlignment="1">
      <alignment horizontal="right"/>
    </xf>
    <xf numFmtId="0" fontId="4" fillId="34" borderId="23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justify" wrapText="1"/>
    </xf>
    <xf numFmtId="4" fontId="4" fillId="0" borderId="11" xfId="57" applyNumberFormat="1" applyFont="1" applyFill="1" applyBorder="1" applyAlignment="1">
      <alignment horizontal="left"/>
      <protection/>
    </xf>
    <xf numFmtId="4" fontId="4" fillId="0" borderId="12" xfId="57" applyNumberFormat="1" applyFont="1" applyFill="1" applyBorder="1" applyAlignment="1">
      <alignment horizontal="left"/>
      <protection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" fontId="3" fillId="0" borderId="11" xfId="57" applyNumberFormat="1" applyFont="1" applyFill="1" applyBorder="1" applyAlignment="1">
      <alignment horizontal="left"/>
      <protection/>
    </xf>
    <xf numFmtId="4" fontId="3" fillId="0" borderId="12" xfId="57" applyNumberFormat="1" applyFont="1" applyFill="1" applyBorder="1" applyAlignment="1">
      <alignment horizontal="left"/>
      <protection/>
    </xf>
    <xf numFmtId="169" fontId="8" fillId="0" borderId="14" xfId="51" applyNumberFormat="1" applyFont="1" applyBorder="1" applyAlignment="1">
      <alignment horizontal="center" vertical="center" wrapText="1" readingOrder="1"/>
      <protection/>
    </xf>
    <xf numFmtId="169" fontId="8" fillId="0" borderId="15" xfId="51" applyNumberFormat="1" applyFont="1" applyBorder="1" applyAlignment="1">
      <alignment horizontal="center" vertical="center" wrapText="1" readingOrder="1"/>
      <protection/>
    </xf>
    <xf numFmtId="169" fontId="8" fillId="0" borderId="11" xfId="51" applyNumberFormat="1" applyFont="1" applyBorder="1" applyAlignment="1">
      <alignment horizontal="center" vertical="center" wrapText="1" readingOrder="1"/>
      <protection/>
    </xf>
    <xf numFmtId="169" fontId="8" fillId="0" borderId="0" xfId="51" applyNumberFormat="1" applyFont="1" applyBorder="1" applyAlignment="1">
      <alignment horizontal="center" vertical="center" wrapText="1" readingOrder="1"/>
      <protection/>
    </xf>
    <xf numFmtId="4" fontId="54" fillId="0" borderId="11" xfId="51" applyNumberFormat="1" applyFont="1" applyFill="1" applyBorder="1" applyAlignment="1">
      <alignment horizontal="center" vertical="center" wrapText="1" readingOrder="1"/>
      <protection/>
    </xf>
    <xf numFmtId="4" fontId="54" fillId="0" borderId="0" xfId="51" applyNumberFormat="1" applyFont="1" applyFill="1" applyBorder="1" applyAlignment="1">
      <alignment horizontal="center" vertical="center" wrapText="1" readingOrder="1"/>
      <protection/>
    </xf>
    <xf numFmtId="0" fontId="11" fillId="0" borderId="11" xfId="58" applyFont="1" applyFill="1" applyBorder="1" applyAlignment="1">
      <alignment horizontal="center"/>
      <protection/>
    </xf>
    <xf numFmtId="0" fontId="11" fillId="0" borderId="0" xfId="58" applyFont="1" applyFill="1" applyBorder="1" applyAlignment="1">
      <alignment horizontal="center"/>
      <protection/>
    </xf>
    <xf numFmtId="4" fontId="54" fillId="0" borderId="11" xfId="51" applyNumberFormat="1" applyFont="1" applyFill="1" applyBorder="1" applyAlignment="1">
      <alignment horizontal="center" vertical="center" wrapText="1"/>
      <protection/>
    </xf>
    <xf numFmtId="4" fontId="54" fillId="0" borderId="0" xfId="51" applyNumberFormat="1" applyFont="1" applyFill="1" applyBorder="1" applyAlignment="1">
      <alignment horizontal="center" vertical="center" wrapText="1"/>
      <protection/>
    </xf>
    <xf numFmtId="4" fontId="54" fillId="0" borderId="11" xfId="58" applyNumberFormat="1" applyFont="1" applyFill="1" applyBorder="1" applyAlignment="1">
      <alignment horizontal="center" vertical="center" wrapText="1"/>
      <protection/>
    </xf>
    <xf numFmtId="4" fontId="54" fillId="0" borderId="0" xfId="58" applyNumberFormat="1" applyFont="1" applyFill="1" applyBorder="1" applyAlignment="1">
      <alignment horizontal="center" vertical="center" wrapText="1"/>
      <protection/>
    </xf>
    <xf numFmtId="4" fontId="54" fillId="0" borderId="16" xfId="58" applyNumberFormat="1" applyFont="1" applyFill="1" applyBorder="1" applyAlignment="1">
      <alignment horizontal="center" vertical="center" wrapText="1"/>
      <protection/>
    </xf>
    <xf numFmtId="4" fontId="54" fillId="0" borderId="17" xfId="58" applyNumberFormat="1" applyFont="1" applyFill="1" applyBorder="1" applyAlignment="1">
      <alignment horizontal="center" vertical="center" wrapText="1"/>
      <protection/>
    </xf>
    <xf numFmtId="0" fontId="12" fillId="0" borderId="10" xfId="58" applyFont="1" applyFill="1" applyBorder="1" applyAlignment="1">
      <alignment horizontal="center" vertical="center" wrapText="1"/>
      <protection/>
    </xf>
    <xf numFmtId="0" fontId="13" fillId="0" borderId="13" xfId="54" applyFont="1" applyBorder="1" applyAlignment="1">
      <alignment horizontal="center" wrapText="1"/>
      <protection/>
    </xf>
    <xf numFmtId="0" fontId="13" fillId="0" borderId="21" xfId="54" applyFont="1" applyBorder="1" applyAlignment="1">
      <alignment horizontal="center" wrapText="1"/>
      <protection/>
    </xf>
    <xf numFmtId="0" fontId="13" fillId="0" borderId="22" xfId="54" applyFont="1" applyBorder="1" applyAlignment="1">
      <alignment horizontal="center" wrapText="1"/>
      <protection/>
    </xf>
    <xf numFmtId="0" fontId="13" fillId="0" borderId="23" xfId="54" applyFont="1" applyBorder="1" applyAlignment="1">
      <alignment horizontal="center"/>
      <protection/>
    </xf>
    <xf numFmtId="0" fontId="13" fillId="0" borderId="20" xfId="54" applyFont="1" applyBorder="1" applyAlignment="1">
      <alignment horizontal="center"/>
      <protection/>
    </xf>
    <xf numFmtId="0" fontId="13" fillId="0" borderId="24" xfId="54" applyFont="1" applyBorder="1" applyAlignment="1">
      <alignment horizontal="center"/>
      <protection/>
    </xf>
    <xf numFmtId="1" fontId="12" fillId="0" borderId="23" xfId="54" applyNumberFormat="1" applyFont="1" applyBorder="1" applyAlignment="1">
      <alignment horizontal="left" vertical="top"/>
      <protection/>
    </xf>
    <xf numFmtId="1" fontId="12" fillId="0" borderId="24" xfId="54" applyNumberFormat="1" applyFont="1" applyBorder="1" applyAlignment="1">
      <alignment horizontal="left" vertical="top"/>
      <protection/>
    </xf>
    <xf numFmtId="39" fontId="12" fillId="0" borderId="23" xfId="54" applyNumberFormat="1" applyFont="1" applyBorder="1" applyAlignment="1">
      <alignment horizontal="center"/>
      <protection/>
    </xf>
    <xf numFmtId="39" fontId="12" fillId="0" borderId="24" xfId="54" applyNumberFormat="1" applyFont="1" applyBorder="1" applyAlignment="1">
      <alignment horizontal="center"/>
      <protection/>
    </xf>
    <xf numFmtId="0" fontId="12" fillId="0" borderId="10" xfId="55" applyFont="1" applyFill="1" applyBorder="1" applyAlignment="1">
      <alignment horizontal="center" vertical="top"/>
      <protection/>
    </xf>
    <xf numFmtId="4" fontId="12" fillId="0" borderId="23" xfId="56" applyNumberFormat="1" applyFont="1" applyBorder="1" applyAlignment="1">
      <alignment horizontal="center"/>
      <protection/>
    </xf>
    <xf numFmtId="4" fontId="12" fillId="0" borderId="24" xfId="56" applyNumberFormat="1" applyFont="1" applyBorder="1" applyAlignment="1">
      <alignment horizontal="center"/>
      <protection/>
    </xf>
    <xf numFmtId="0" fontId="12" fillId="0" borderId="23" xfId="54" applyFont="1" applyBorder="1" applyAlignment="1">
      <alignment horizontal="left" vertical="top"/>
      <protection/>
    </xf>
    <xf numFmtId="0" fontId="12" fillId="0" borderId="24" xfId="54" applyFont="1" applyBorder="1" applyAlignment="1">
      <alignment horizontal="left" vertical="top"/>
      <protection/>
    </xf>
    <xf numFmtId="10" fontId="12" fillId="0" borderId="23" xfId="62" applyNumberFormat="1" applyFont="1" applyBorder="1" applyAlignment="1">
      <alignment horizontal="center"/>
    </xf>
    <xf numFmtId="10" fontId="12" fillId="0" borderId="24" xfId="62" applyNumberFormat="1" applyFont="1" applyBorder="1" applyAlignment="1">
      <alignment horizontal="center"/>
    </xf>
    <xf numFmtId="10" fontId="12" fillId="0" borderId="23" xfId="54" applyNumberFormat="1" applyFont="1" applyBorder="1" applyAlignment="1">
      <alignment horizontal="center"/>
      <protection/>
    </xf>
    <xf numFmtId="0" fontId="12" fillId="0" borderId="24" xfId="54" applyFont="1" applyBorder="1" applyAlignment="1">
      <alignment horizontal="center"/>
      <protection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Currency" xfId="45"/>
    <cellStyle name="Currency [0]" xfId="46"/>
    <cellStyle name="Moeda 2" xfId="47"/>
    <cellStyle name="Neutro" xfId="48"/>
    <cellStyle name="Normal 2" xfId="49"/>
    <cellStyle name="Normal 2 2" xfId="50"/>
    <cellStyle name="Normal 2 3" xfId="51"/>
    <cellStyle name="Normal 3" xfId="52"/>
    <cellStyle name="Normal 4 2" xfId="53"/>
    <cellStyle name="Normal_CRONOGRAMA" xfId="54"/>
    <cellStyle name="Normal_CRUZEI~1" xfId="55"/>
    <cellStyle name="Normal_Orçamento nº057-2003- Esc. Munic. AMPARO revisão" xfId="56"/>
    <cellStyle name="Normal_P_Getulio Vargas" xfId="57"/>
    <cellStyle name="Normal_P_Getulio Vargas 2" xfId="58"/>
    <cellStyle name="Normal_RUAS 3,4,7 e 8 R-1 2 2" xfId="59"/>
    <cellStyle name="Nota" xfId="60"/>
    <cellStyle name="Percent" xfId="61"/>
    <cellStyle name="Porcentagem 2" xfId="62"/>
    <cellStyle name="Porcentagem 3" xfId="63"/>
    <cellStyle name="Ruim" xfId="64"/>
    <cellStyle name="Saída" xfId="65"/>
    <cellStyle name="Comma [0]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Vírgula 2" xfId="76"/>
    <cellStyle name="Vírgula 3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66675</xdr:rowOff>
    </xdr:from>
    <xdr:to>
      <xdr:col>1</xdr:col>
      <xdr:colOff>571500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66700"/>
          <a:ext cx="1095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66675</xdr:rowOff>
    </xdr:from>
    <xdr:to>
      <xdr:col>1</xdr:col>
      <xdr:colOff>571500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66700"/>
          <a:ext cx="1095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66675</xdr:rowOff>
    </xdr:from>
    <xdr:to>
      <xdr:col>1</xdr:col>
      <xdr:colOff>571500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66700"/>
          <a:ext cx="1095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</xdr:row>
      <xdr:rowOff>171450</xdr:rowOff>
    </xdr:from>
    <xdr:to>
      <xdr:col>6</xdr:col>
      <xdr:colOff>2114550</xdr:colOff>
      <xdr:row>7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1181100"/>
          <a:ext cx="20764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fredo.cunha\Documents\Meus%20Documentos\ALFREDO\QUADRA%20PARQUE%20INDEPEND&#202;NCIA\Or&#231;amento%20n&#186;0xx-2014_%20Constru&#231;&#227;o%20de%20Quadra%20Poliesportiva%20Coberta%20Parque%20Independ&#234;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ÓRIA"/>
      <sheetName val="EMOP"/>
      <sheetName val="SUSESP"/>
      <sheetName val="SUSESP SP"/>
      <sheetName val="Cronograma "/>
      <sheetName val="Cronograma  s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view="pageBreakPreview" zoomScale="70" zoomScaleSheetLayoutView="70" zoomScalePageLayoutView="0" workbookViewId="0" topLeftCell="A1">
      <selection activeCell="B180" sqref="B180"/>
    </sheetView>
  </sheetViews>
  <sheetFormatPr defaultColWidth="9.140625" defaultRowHeight="15"/>
  <cols>
    <col min="1" max="1" width="9.140625" style="4" customWidth="1"/>
    <col min="2" max="2" width="17.140625" style="4" customWidth="1"/>
    <col min="3" max="3" width="77.8515625" style="2" customWidth="1"/>
    <col min="4" max="5" width="9.140625" style="4" customWidth="1"/>
    <col min="6" max="6" width="11.140625" style="4" bestFit="1" customWidth="1"/>
    <col min="7" max="7" width="13.57421875" style="4" bestFit="1" customWidth="1"/>
    <col min="8" max="16384" width="9.140625" style="4" customWidth="1"/>
  </cols>
  <sheetData>
    <row r="1" spans="1:7" s="37" customFormat="1" ht="15.75">
      <c r="A1" s="19"/>
      <c r="B1" s="20"/>
      <c r="C1" s="21" t="s">
        <v>63</v>
      </c>
      <c r="D1" s="22"/>
      <c r="E1" s="23"/>
      <c r="F1" s="24"/>
      <c r="G1" s="24"/>
    </row>
    <row r="2" spans="1:7" s="37" customFormat="1" ht="15.75">
      <c r="A2" s="25"/>
      <c r="B2" s="26"/>
      <c r="C2" s="27" t="s">
        <v>64</v>
      </c>
      <c r="D2" s="28"/>
      <c r="E2" s="140" t="s">
        <v>251</v>
      </c>
      <c r="F2" s="30"/>
      <c r="G2" s="31"/>
    </row>
    <row r="3" spans="1:7" s="37" customFormat="1" ht="15.75">
      <c r="A3" s="25"/>
      <c r="B3" s="26"/>
      <c r="C3" s="27" t="s">
        <v>65</v>
      </c>
      <c r="D3" s="28"/>
      <c r="E3" s="156" t="s">
        <v>271</v>
      </c>
      <c r="F3" s="156"/>
      <c r="G3" s="156"/>
    </row>
    <row r="4" spans="1:7" s="37" customFormat="1" ht="15.75">
      <c r="A4" s="25"/>
      <c r="B4" s="26"/>
      <c r="C4" s="32" t="s">
        <v>69</v>
      </c>
      <c r="D4" s="38"/>
      <c r="E4" s="157" t="s">
        <v>90</v>
      </c>
      <c r="F4" s="157"/>
      <c r="G4" s="157"/>
    </row>
    <row r="5" spans="1:7" s="37" customFormat="1" ht="15.75">
      <c r="A5" s="25"/>
      <c r="B5" s="26"/>
      <c r="C5" s="32" t="s">
        <v>70</v>
      </c>
      <c r="D5" s="38"/>
      <c r="E5" s="157" t="s">
        <v>91</v>
      </c>
      <c r="F5" s="157"/>
      <c r="G5" s="157"/>
    </row>
    <row r="6" spans="1:7" s="37" customFormat="1" ht="15.75">
      <c r="A6" s="25"/>
      <c r="B6" s="26"/>
      <c r="C6" s="34" t="s">
        <v>270</v>
      </c>
      <c r="D6" s="33"/>
      <c r="E6" s="158" t="s">
        <v>71</v>
      </c>
      <c r="F6" s="158"/>
      <c r="G6" s="158"/>
    </row>
    <row r="7" spans="1:7" s="37" customFormat="1" ht="15.75">
      <c r="A7" s="25"/>
      <c r="B7" s="26"/>
      <c r="C7" s="73" t="s">
        <v>217</v>
      </c>
      <c r="D7" s="33"/>
      <c r="E7" s="158" t="s">
        <v>92</v>
      </c>
      <c r="F7" s="158"/>
      <c r="G7" s="158"/>
    </row>
    <row r="8" spans="1:7" s="37" customFormat="1" ht="15.75">
      <c r="A8" s="35"/>
      <c r="B8" s="36"/>
      <c r="D8" s="39"/>
      <c r="E8" s="40"/>
      <c r="F8" s="41"/>
      <c r="G8" s="42"/>
    </row>
    <row r="9" spans="1:7" s="37" customFormat="1" ht="15" customHeight="1">
      <c r="A9" s="159" t="s">
        <v>62</v>
      </c>
      <c r="B9" s="160"/>
      <c r="C9" s="160"/>
      <c r="D9" s="160"/>
      <c r="E9" s="160"/>
      <c r="F9" s="160"/>
      <c r="G9" s="160"/>
    </row>
    <row r="10" spans="1:9" s="16" customFormat="1" ht="15.75">
      <c r="A10" s="165" t="s">
        <v>55</v>
      </c>
      <c r="B10" s="165" t="s">
        <v>56</v>
      </c>
      <c r="C10" s="167" t="s">
        <v>66</v>
      </c>
      <c r="D10" s="169" t="s">
        <v>32</v>
      </c>
      <c r="E10" s="170" t="s">
        <v>67</v>
      </c>
      <c r="F10" s="172" t="s">
        <v>68</v>
      </c>
      <c r="G10" s="172"/>
      <c r="H10" s="161"/>
      <c r="I10" s="161"/>
    </row>
    <row r="11" spans="1:7" s="16" customFormat="1" ht="15.75">
      <c r="A11" s="166"/>
      <c r="B11" s="166"/>
      <c r="C11" s="168"/>
      <c r="D11" s="166"/>
      <c r="E11" s="171"/>
      <c r="F11" s="17" t="s">
        <v>60</v>
      </c>
      <c r="G11" s="18" t="s">
        <v>3</v>
      </c>
    </row>
    <row r="12" spans="1:9" ht="45">
      <c r="A12" s="12" t="s">
        <v>6</v>
      </c>
      <c r="B12" s="12" t="s">
        <v>165</v>
      </c>
      <c r="C12" s="13" t="s">
        <v>166</v>
      </c>
      <c r="D12" s="12" t="s">
        <v>24</v>
      </c>
      <c r="E12" s="14">
        <v>6</v>
      </c>
      <c r="F12" s="12">
        <f>TRUNC(F13,2)</f>
        <v>504.27</v>
      </c>
      <c r="G12" s="12">
        <f>TRUNC((E12*F12),2)</f>
        <v>3025.62</v>
      </c>
      <c r="H12" s="74">
        <f>3.96*4.4*1.5+4.43*4.4*1.5+(2*6.41+3*2)*0.4*0.2</f>
        <v>56.879599999999996</v>
      </c>
      <c r="I12" s="3"/>
    </row>
    <row r="13" spans="1:7" ht="45">
      <c r="A13" s="8"/>
      <c r="B13" s="9" t="s">
        <v>165</v>
      </c>
      <c r="C13" s="11" t="s">
        <v>166</v>
      </c>
      <c r="D13" s="9" t="s">
        <v>24</v>
      </c>
      <c r="E13" s="9">
        <v>1</v>
      </c>
      <c r="F13" s="9">
        <f>G22</f>
        <v>504.27</v>
      </c>
      <c r="G13" s="10">
        <f aca="true" t="shared" si="0" ref="G13:G21">TRUNC(E13*F13,2)</f>
        <v>504.27</v>
      </c>
    </row>
    <row r="14" spans="1:7" ht="30">
      <c r="A14" s="8"/>
      <c r="B14" s="9" t="s">
        <v>167</v>
      </c>
      <c r="C14" s="11" t="s">
        <v>267</v>
      </c>
      <c r="D14" s="9" t="s">
        <v>12</v>
      </c>
      <c r="E14" s="9">
        <v>0.3</v>
      </c>
      <c r="F14" s="9">
        <v>18.8</v>
      </c>
      <c r="G14" s="10">
        <f t="shared" si="0"/>
        <v>5.64</v>
      </c>
    </row>
    <row r="15" spans="1:7" ht="15.75">
      <c r="A15" s="8"/>
      <c r="B15" s="9" t="s">
        <v>168</v>
      </c>
      <c r="C15" s="11" t="s">
        <v>169</v>
      </c>
      <c r="D15" s="9" t="s">
        <v>30</v>
      </c>
      <c r="E15" s="9">
        <v>9.2</v>
      </c>
      <c r="F15" s="9">
        <v>6.5</v>
      </c>
      <c r="G15" s="10">
        <f t="shared" si="0"/>
        <v>59.8</v>
      </c>
    </row>
    <row r="16" spans="1:7" ht="30">
      <c r="A16" s="8"/>
      <c r="B16" s="9" t="s">
        <v>170</v>
      </c>
      <c r="C16" s="11" t="s">
        <v>171</v>
      </c>
      <c r="D16" s="9" t="s">
        <v>172</v>
      </c>
      <c r="E16" s="9">
        <v>0.2</v>
      </c>
      <c r="F16" s="9">
        <v>70.36</v>
      </c>
      <c r="G16" s="10">
        <f t="shared" si="0"/>
        <v>14.07</v>
      </c>
    </row>
    <row r="17" spans="1:7" ht="45">
      <c r="A17" s="8"/>
      <c r="B17" s="9" t="s">
        <v>173</v>
      </c>
      <c r="C17" s="11" t="s">
        <v>174</v>
      </c>
      <c r="D17" s="9" t="s">
        <v>12</v>
      </c>
      <c r="E17" s="9">
        <v>5</v>
      </c>
      <c r="F17" s="9">
        <v>20.4537</v>
      </c>
      <c r="G17" s="10">
        <f t="shared" si="0"/>
        <v>102.26</v>
      </c>
    </row>
    <row r="18" spans="1:7" ht="30">
      <c r="A18" s="8"/>
      <c r="B18" s="9" t="s">
        <v>130</v>
      </c>
      <c r="C18" s="11" t="s">
        <v>131</v>
      </c>
      <c r="D18" s="9" t="s">
        <v>2</v>
      </c>
      <c r="E18" s="9">
        <v>2.06</v>
      </c>
      <c r="F18" s="9">
        <v>16.55</v>
      </c>
      <c r="G18" s="10">
        <f t="shared" si="0"/>
        <v>34.09</v>
      </c>
    </row>
    <row r="19" spans="1:7" ht="30">
      <c r="A19" s="8"/>
      <c r="B19" s="9" t="s">
        <v>175</v>
      </c>
      <c r="C19" s="11" t="s">
        <v>176</v>
      </c>
      <c r="D19" s="9" t="s">
        <v>2</v>
      </c>
      <c r="E19" s="9">
        <v>2.06</v>
      </c>
      <c r="F19" s="9">
        <v>24.61</v>
      </c>
      <c r="G19" s="10">
        <f t="shared" si="0"/>
        <v>50.69</v>
      </c>
    </row>
    <row r="20" spans="1:7" ht="15.75">
      <c r="A20" s="8"/>
      <c r="B20" s="9" t="s">
        <v>177</v>
      </c>
      <c r="C20" s="11" t="s">
        <v>178</v>
      </c>
      <c r="D20" s="9" t="s">
        <v>2</v>
      </c>
      <c r="E20" s="9">
        <v>4.12</v>
      </c>
      <c r="F20" s="9">
        <v>22.86</v>
      </c>
      <c r="G20" s="10">
        <f t="shared" si="0"/>
        <v>94.18</v>
      </c>
    </row>
    <row r="21" spans="1:7" ht="15.75">
      <c r="A21" s="8"/>
      <c r="B21" s="9" t="s">
        <v>179</v>
      </c>
      <c r="C21" s="11" t="s">
        <v>180</v>
      </c>
      <c r="D21" s="9" t="s">
        <v>2</v>
      </c>
      <c r="E21" s="9">
        <v>1</v>
      </c>
      <c r="F21" s="9">
        <v>143.5416</v>
      </c>
      <c r="G21" s="10">
        <f t="shared" si="0"/>
        <v>143.54</v>
      </c>
    </row>
    <row r="22" spans="1:7" ht="15.75">
      <c r="A22" s="8"/>
      <c r="B22" s="9"/>
      <c r="C22" s="11"/>
      <c r="D22" s="9"/>
      <c r="E22" s="9" t="s">
        <v>3</v>
      </c>
      <c r="F22" s="9"/>
      <c r="G22" s="10">
        <f>TRUNC(SUM(G14:G21),2)</f>
        <v>504.27</v>
      </c>
    </row>
    <row r="23" spans="1:9" ht="30">
      <c r="A23" s="12" t="s">
        <v>7</v>
      </c>
      <c r="B23" s="12" t="s">
        <v>221</v>
      </c>
      <c r="C23" s="13" t="s">
        <v>181</v>
      </c>
      <c r="D23" s="12" t="s">
        <v>0</v>
      </c>
      <c r="E23" s="14">
        <v>0.57</v>
      </c>
      <c r="F23" s="12">
        <f>TRUNC(F24,2)</f>
        <v>152.24</v>
      </c>
      <c r="G23" s="12">
        <f>TRUNC((E23*F23),2)</f>
        <v>86.77</v>
      </c>
      <c r="H23" s="74">
        <f>3.96*4.4*1.5+4.43*4.4*1.5+(2*6.41+3*2)*0.4*0.2</f>
        <v>56.879599999999996</v>
      </c>
      <c r="I23" s="3"/>
    </row>
    <row r="24" spans="1:7" ht="30">
      <c r="A24" s="8"/>
      <c r="B24" s="9" t="s">
        <v>221</v>
      </c>
      <c r="C24" s="11" t="s">
        <v>181</v>
      </c>
      <c r="D24" s="9" t="s">
        <v>0</v>
      </c>
      <c r="E24" s="9">
        <v>1</v>
      </c>
      <c r="F24" s="9">
        <f>G29</f>
        <v>152.24</v>
      </c>
      <c r="G24" s="10">
        <f>TRUNC(E24*F24,2)</f>
        <v>152.24</v>
      </c>
    </row>
    <row r="25" spans="1:7" ht="15.75">
      <c r="A25" s="8"/>
      <c r="B25" s="9" t="s">
        <v>222</v>
      </c>
      <c r="C25" s="11" t="s">
        <v>1</v>
      </c>
      <c r="D25" s="9" t="s">
        <v>2</v>
      </c>
      <c r="E25" s="9">
        <v>3.153</v>
      </c>
      <c r="F25" s="9">
        <f>TRUNC(23.75,2)</f>
        <v>23.75</v>
      </c>
      <c r="G25" s="10">
        <f>TRUNC(E25*F25,2)</f>
        <v>74.88</v>
      </c>
    </row>
    <row r="26" spans="1:7" ht="15.75">
      <c r="A26" s="8"/>
      <c r="B26" s="9" t="s">
        <v>223</v>
      </c>
      <c r="C26" s="11" t="s">
        <v>119</v>
      </c>
      <c r="D26" s="9" t="s">
        <v>2</v>
      </c>
      <c r="E26" s="9">
        <v>0.3051</v>
      </c>
      <c r="F26" s="9">
        <f>TRUNC(30.22,2)</f>
        <v>30.22</v>
      </c>
      <c r="G26" s="10">
        <f>TRUNC(E26*F26,2)</f>
        <v>9.22</v>
      </c>
    </row>
    <row r="27" spans="1:7" ht="30">
      <c r="A27" s="8"/>
      <c r="B27" s="9" t="s">
        <v>224</v>
      </c>
      <c r="C27" s="11" t="s">
        <v>268</v>
      </c>
      <c r="D27" s="9" t="s">
        <v>48</v>
      </c>
      <c r="E27" s="9">
        <v>0.4411</v>
      </c>
      <c r="F27" s="9">
        <f>TRUNC(32.49,2)</f>
        <v>32.49</v>
      </c>
      <c r="G27" s="10">
        <f>TRUNC(E27*F27,2)</f>
        <v>14.33</v>
      </c>
    </row>
    <row r="28" spans="1:7" ht="30">
      <c r="A28" s="8"/>
      <c r="B28" s="9" t="s">
        <v>225</v>
      </c>
      <c r="C28" s="11" t="s">
        <v>269</v>
      </c>
      <c r="D28" s="9" t="s">
        <v>37</v>
      </c>
      <c r="E28" s="9">
        <v>1.5562</v>
      </c>
      <c r="F28" s="9">
        <f>TRUNC(34.58,2)</f>
        <v>34.58</v>
      </c>
      <c r="G28" s="10">
        <f>TRUNC(E28*F28,2)</f>
        <v>53.81</v>
      </c>
    </row>
    <row r="29" spans="1:7" ht="15.75">
      <c r="A29" s="8"/>
      <c r="B29" s="9"/>
      <c r="C29" s="11"/>
      <c r="D29" s="9"/>
      <c r="E29" s="9" t="s">
        <v>3</v>
      </c>
      <c r="F29" s="9"/>
      <c r="G29" s="10">
        <f>TRUNC(SUM(G25:G28),2)</f>
        <v>152.24</v>
      </c>
    </row>
    <row r="30" spans="1:9" ht="60">
      <c r="A30" s="12" t="s">
        <v>8</v>
      </c>
      <c r="B30" s="12" t="s">
        <v>182</v>
      </c>
      <c r="C30" s="13" t="s">
        <v>183</v>
      </c>
      <c r="D30" s="12" t="s">
        <v>0</v>
      </c>
      <c r="E30" s="14">
        <v>0.4</v>
      </c>
      <c r="F30" s="12">
        <f>TRUNC(F31,2)</f>
        <v>169.66</v>
      </c>
      <c r="G30" s="12">
        <f>TRUNC((E30*F30),2)</f>
        <v>67.86</v>
      </c>
      <c r="H30" s="74">
        <f>3.96*4.4*1.5+4.43*4.4*1.5+(2*6.41+3*2)*0.4*0.2</f>
        <v>56.879599999999996</v>
      </c>
      <c r="I30" s="3"/>
    </row>
    <row r="31" spans="1:7" ht="60">
      <c r="A31" s="8"/>
      <c r="B31" s="9" t="s">
        <v>182</v>
      </c>
      <c r="C31" s="11" t="s">
        <v>183</v>
      </c>
      <c r="D31" s="9" t="s">
        <v>0</v>
      </c>
      <c r="E31" s="9">
        <v>1</v>
      </c>
      <c r="F31" s="9">
        <f>G34</f>
        <v>169.66</v>
      </c>
      <c r="G31" s="10">
        <f>TRUNC(E31*F31,2)</f>
        <v>169.66</v>
      </c>
    </row>
    <row r="32" spans="1:7" ht="30">
      <c r="A32" s="8"/>
      <c r="B32" s="9" t="s">
        <v>130</v>
      </c>
      <c r="C32" s="11" t="s">
        <v>131</v>
      </c>
      <c r="D32" s="9" t="s">
        <v>2</v>
      </c>
      <c r="E32" s="9">
        <v>6.695</v>
      </c>
      <c r="F32" s="9">
        <v>16.55</v>
      </c>
      <c r="G32" s="10">
        <f>TRUNC(E32*F32,2)</f>
        <v>110.8</v>
      </c>
    </row>
    <row r="33" spans="1:7" ht="15.75">
      <c r="A33" s="8"/>
      <c r="B33" s="9" t="s">
        <v>139</v>
      </c>
      <c r="C33" s="11" t="s">
        <v>140</v>
      </c>
      <c r="D33" s="9" t="s">
        <v>2</v>
      </c>
      <c r="E33" s="9">
        <v>2.575</v>
      </c>
      <c r="F33" s="9">
        <v>22.86</v>
      </c>
      <c r="G33" s="10">
        <f>TRUNC(E33*F33,2)</f>
        <v>58.86</v>
      </c>
    </row>
    <row r="34" spans="1:7" ht="15.75">
      <c r="A34" s="8"/>
      <c r="B34" s="9"/>
      <c r="C34" s="11"/>
      <c r="D34" s="9"/>
      <c r="E34" s="9" t="s">
        <v>3</v>
      </c>
      <c r="F34" s="9"/>
      <c r="G34" s="10">
        <f>TRUNC(SUM(G32:G33),2)</f>
        <v>169.66</v>
      </c>
    </row>
    <row r="35" spans="1:10" ht="60">
      <c r="A35" s="12" t="s">
        <v>9</v>
      </c>
      <c r="B35" s="12" t="s">
        <v>129</v>
      </c>
      <c r="C35" s="13" t="s">
        <v>185</v>
      </c>
      <c r="D35" s="12" t="s">
        <v>0</v>
      </c>
      <c r="E35" s="14">
        <f>J35</f>
        <v>92.74299999999997</v>
      </c>
      <c r="F35" s="12">
        <f>TRUNC(F36,2)</f>
        <v>57.95</v>
      </c>
      <c r="G35" s="12">
        <f>TRUNC((E35*F35),2)</f>
        <v>5374.45</v>
      </c>
      <c r="H35" s="74">
        <f>3.96*4.4*1.5+4.43*4.4*1.5+(2*6.41+3*2)*0.4*0.2+37.8+4.32</f>
        <v>98.99959999999999</v>
      </c>
      <c r="I35" s="3">
        <f>(4.8*3.2*2.8)+(4.1*4.1*2.4)+((8.4+2.4+3.6+3.6+6.4)*0.4*0.2+(5.2*0.2*0.4))+(63*0.6*1)+(1.2*1.2*1*3)</f>
        <v>127.83999999999997</v>
      </c>
      <c r="J35" s="3">
        <f>I35-I39</f>
        <v>92.74299999999997</v>
      </c>
    </row>
    <row r="36" spans="1:7" ht="60">
      <c r="A36" s="8"/>
      <c r="B36" s="9" t="s">
        <v>129</v>
      </c>
      <c r="C36" s="11" t="s">
        <v>4</v>
      </c>
      <c r="D36" s="9" t="s">
        <v>0</v>
      </c>
      <c r="E36" s="9">
        <v>1</v>
      </c>
      <c r="F36" s="9">
        <f>G38</f>
        <v>57.95</v>
      </c>
      <c r="G36" s="10">
        <f>TRUNC(E36*F36,2)</f>
        <v>57.95</v>
      </c>
    </row>
    <row r="37" spans="1:7" ht="30">
      <c r="A37" s="8"/>
      <c r="B37" s="9" t="s">
        <v>130</v>
      </c>
      <c r="C37" s="11" t="s">
        <v>131</v>
      </c>
      <c r="D37" s="9" t="s">
        <v>2</v>
      </c>
      <c r="E37" s="9">
        <v>3.502</v>
      </c>
      <c r="F37" s="9">
        <v>16.55</v>
      </c>
      <c r="G37" s="10">
        <f>TRUNC(E37*F37,2)</f>
        <v>57.95</v>
      </c>
    </row>
    <row r="38" spans="1:7" ht="15.75">
      <c r="A38" s="8"/>
      <c r="B38" s="9"/>
      <c r="C38" s="11"/>
      <c r="D38" s="9"/>
      <c r="E38" s="9" t="s">
        <v>3</v>
      </c>
      <c r="F38" s="9"/>
      <c r="G38" s="10">
        <f>TRUNC(SUM(G37:G37),2)</f>
        <v>57.95</v>
      </c>
    </row>
    <row r="39" spans="1:9" ht="60">
      <c r="A39" s="12" t="s">
        <v>28</v>
      </c>
      <c r="B39" s="12" t="s">
        <v>132</v>
      </c>
      <c r="C39" s="13" t="s">
        <v>93</v>
      </c>
      <c r="D39" s="12" t="s">
        <v>0</v>
      </c>
      <c r="E39" s="14">
        <f>I39</f>
        <v>35.097</v>
      </c>
      <c r="F39" s="12">
        <f>TRUNC(F40,2)</f>
        <v>73.29</v>
      </c>
      <c r="G39" s="12">
        <f>TRUNC((E39*F39),2)</f>
        <v>2572.25</v>
      </c>
      <c r="H39" s="1">
        <f>3.96*4.4*1.5+4.43*4.4*1</f>
        <v>45.628</v>
      </c>
      <c r="I39" s="4">
        <f>(4.8*3.2*1.3)+(4.1*4.1*0.9)</f>
        <v>35.097</v>
      </c>
    </row>
    <row r="40" spans="1:7" ht="60">
      <c r="A40" s="8"/>
      <c r="B40" s="9" t="s">
        <v>132</v>
      </c>
      <c r="C40" s="11" t="s">
        <v>5</v>
      </c>
      <c r="D40" s="9" t="s">
        <v>0</v>
      </c>
      <c r="E40" s="9">
        <v>1</v>
      </c>
      <c r="F40" s="9">
        <f>G42</f>
        <v>73.29</v>
      </c>
      <c r="G40" s="10">
        <f>TRUNC(E40*F40,2)</f>
        <v>73.29</v>
      </c>
    </row>
    <row r="41" spans="1:7" ht="30">
      <c r="A41" s="8"/>
      <c r="B41" s="9" t="s">
        <v>130</v>
      </c>
      <c r="C41" s="11" t="s">
        <v>131</v>
      </c>
      <c r="D41" s="9" t="s">
        <v>2</v>
      </c>
      <c r="E41" s="9">
        <v>4.429</v>
      </c>
      <c r="F41" s="9">
        <v>16.55</v>
      </c>
      <c r="G41" s="10">
        <f>TRUNC(E41*F41,2)</f>
        <v>73.29</v>
      </c>
    </row>
    <row r="42" spans="1:7" ht="15.75">
      <c r="A42" s="8"/>
      <c r="B42" s="9"/>
      <c r="C42" s="11"/>
      <c r="D42" s="9"/>
      <c r="E42" s="9" t="s">
        <v>3</v>
      </c>
      <c r="F42" s="9"/>
      <c r="G42" s="10">
        <f>TRUNC(SUM(G41:G41),2)</f>
        <v>73.29</v>
      </c>
    </row>
    <row r="43" spans="1:9" ht="45">
      <c r="A43" s="12" t="s">
        <v>36</v>
      </c>
      <c r="B43" s="12" t="s">
        <v>133</v>
      </c>
      <c r="C43" s="13" t="s">
        <v>26</v>
      </c>
      <c r="D43" s="12" t="s">
        <v>0</v>
      </c>
      <c r="E43" s="14">
        <v>63.71</v>
      </c>
      <c r="F43" s="12">
        <f>TRUNC(F44,2)</f>
        <v>35.79</v>
      </c>
      <c r="G43" s="12">
        <f>TRUNC((E43*F43),2)</f>
        <v>2280.18</v>
      </c>
      <c r="I43" s="3"/>
    </row>
    <row r="44" spans="1:7" ht="60">
      <c r="A44" s="8"/>
      <c r="B44" s="9" t="s">
        <v>133</v>
      </c>
      <c r="C44" s="11" t="s">
        <v>25</v>
      </c>
      <c r="D44" s="9" t="s">
        <v>0</v>
      </c>
      <c r="E44" s="9">
        <v>1</v>
      </c>
      <c r="F44" s="9">
        <f>G46</f>
        <v>35.79</v>
      </c>
      <c r="G44" s="10">
        <f>TRUNC(E44*F44,2)</f>
        <v>35.79</v>
      </c>
    </row>
    <row r="45" spans="1:7" ht="30">
      <c r="A45" s="8"/>
      <c r="B45" s="9" t="s">
        <v>130</v>
      </c>
      <c r="C45" s="11" t="s">
        <v>131</v>
      </c>
      <c r="D45" s="9" t="s">
        <v>2</v>
      </c>
      <c r="E45" s="9">
        <v>2.1630000000000003</v>
      </c>
      <c r="F45" s="9">
        <v>16.55</v>
      </c>
      <c r="G45" s="10">
        <f>TRUNC(E45*F45,2)</f>
        <v>35.79</v>
      </c>
    </row>
    <row r="46" spans="1:7" ht="15.75">
      <c r="A46" s="8"/>
      <c r="B46" s="9"/>
      <c r="C46" s="11"/>
      <c r="D46" s="9"/>
      <c r="E46" s="9" t="s">
        <v>3</v>
      </c>
      <c r="F46" s="9"/>
      <c r="G46" s="10">
        <f>TRUNC(SUM(G45:G45),2)</f>
        <v>35.79</v>
      </c>
    </row>
    <row r="47" spans="1:8" ht="105">
      <c r="A47" s="12" t="s">
        <v>38</v>
      </c>
      <c r="B47" s="12" t="s">
        <v>103</v>
      </c>
      <c r="C47" s="13" t="s">
        <v>184</v>
      </c>
      <c r="D47" s="12" t="s">
        <v>0</v>
      </c>
      <c r="E47" s="12">
        <f>4.21+2.39+2.8+1.73</f>
        <v>11.129999999999999</v>
      </c>
      <c r="F47" s="12">
        <f>TRUNC(F48,2)</f>
        <v>3017.32</v>
      </c>
      <c r="G47" s="12">
        <f>TRUNC((E47*F47),2)</f>
        <v>33582.77</v>
      </c>
      <c r="H47" s="4">
        <f>5.38+0.91+3.53+1.94</f>
        <v>11.76</v>
      </c>
    </row>
    <row r="48" spans="1:7" ht="105">
      <c r="A48" s="8"/>
      <c r="B48" s="9" t="s">
        <v>134</v>
      </c>
      <c r="C48" s="11" t="s">
        <v>94</v>
      </c>
      <c r="D48" s="9" t="s">
        <v>0</v>
      </c>
      <c r="E48" s="9">
        <v>1</v>
      </c>
      <c r="F48" s="9">
        <f>G64</f>
        <v>3017.32</v>
      </c>
      <c r="G48" s="10">
        <f aca="true" t="shared" si="1" ref="G48:G63">TRUNC(E48*F48,2)</f>
        <v>3017.32</v>
      </c>
    </row>
    <row r="49" spans="1:7" s="79" customFormat="1" ht="63">
      <c r="A49" s="75"/>
      <c r="B49" s="76"/>
      <c r="C49" s="77" t="s">
        <v>152</v>
      </c>
      <c r="D49" s="76" t="s">
        <v>0</v>
      </c>
      <c r="E49" s="76">
        <v>1</v>
      </c>
      <c r="F49" s="76">
        <f>F65</f>
        <v>545.2</v>
      </c>
      <c r="G49" s="78">
        <f t="shared" si="1"/>
        <v>545.2</v>
      </c>
    </row>
    <row r="50" spans="1:7" ht="30">
      <c r="A50" s="8"/>
      <c r="B50" s="9" t="s">
        <v>10</v>
      </c>
      <c r="C50" s="11" t="s">
        <v>11</v>
      </c>
      <c r="D50" s="9" t="s">
        <v>12</v>
      </c>
      <c r="E50" s="9">
        <v>15</v>
      </c>
      <c r="F50" s="9">
        <v>9.8712</v>
      </c>
      <c r="G50" s="10">
        <f t="shared" si="1"/>
        <v>148.06</v>
      </c>
    </row>
    <row r="51" spans="1:7" ht="30">
      <c r="A51" s="8"/>
      <c r="B51" s="9" t="s">
        <v>13</v>
      </c>
      <c r="C51" s="11" t="s">
        <v>14</v>
      </c>
      <c r="D51" s="9" t="s">
        <v>12</v>
      </c>
      <c r="E51" s="9">
        <v>10</v>
      </c>
      <c r="F51" s="9">
        <v>10.5461</v>
      </c>
      <c r="G51" s="10">
        <f t="shared" si="1"/>
        <v>105.46</v>
      </c>
    </row>
    <row r="52" spans="1:7" ht="30">
      <c r="A52" s="8"/>
      <c r="B52" s="9" t="s">
        <v>15</v>
      </c>
      <c r="C52" s="11" t="s">
        <v>16</v>
      </c>
      <c r="D52" s="9" t="s">
        <v>12</v>
      </c>
      <c r="E52" s="9">
        <v>17</v>
      </c>
      <c r="F52" s="9">
        <v>9.5252</v>
      </c>
      <c r="G52" s="10">
        <f t="shared" si="1"/>
        <v>161.92</v>
      </c>
    </row>
    <row r="53" spans="1:7" ht="30">
      <c r="A53" s="8"/>
      <c r="B53" s="9" t="s">
        <v>17</v>
      </c>
      <c r="C53" s="11" t="s">
        <v>18</v>
      </c>
      <c r="D53" s="9" t="s">
        <v>12</v>
      </c>
      <c r="E53" s="9">
        <v>8</v>
      </c>
      <c r="F53" s="9">
        <v>9.6201</v>
      </c>
      <c r="G53" s="10">
        <f t="shared" si="1"/>
        <v>76.96</v>
      </c>
    </row>
    <row r="54" spans="1:7" ht="30">
      <c r="A54" s="8"/>
      <c r="B54" s="9" t="s">
        <v>19</v>
      </c>
      <c r="C54" s="11" t="s">
        <v>20</v>
      </c>
      <c r="D54" s="9" t="s">
        <v>12</v>
      </c>
      <c r="E54" s="9">
        <v>15</v>
      </c>
      <c r="F54" s="9">
        <v>9.4985</v>
      </c>
      <c r="G54" s="10">
        <f t="shared" si="1"/>
        <v>142.47</v>
      </c>
    </row>
    <row r="55" spans="1:7" ht="30">
      <c r="A55" s="8"/>
      <c r="B55" s="9" t="s">
        <v>21</v>
      </c>
      <c r="C55" s="11" t="s">
        <v>22</v>
      </c>
      <c r="D55" s="9" t="s">
        <v>12</v>
      </c>
      <c r="E55" s="9">
        <v>15</v>
      </c>
      <c r="F55" s="9">
        <v>9.8108</v>
      </c>
      <c r="G55" s="10">
        <f t="shared" si="1"/>
        <v>147.16</v>
      </c>
    </row>
    <row r="56" spans="1:7" ht="15.75">
      <c r="A56" s="8"/>
      <c r="B56" s="9" t="s">
        <v>23</v>
      </c>
      <c r="C56" s="11" t="s">
        <v>272</v>
      </c>
      <c r="D56" s="9" t="s">
        <v>12</v>
      </c>
      <c r="E56" s="9">
        <v>2.4</v>
      </c>
      <c r="F56" s="9">
        <v>11.9864</v>
      </c>
      <c r="G56" s="10">
        <f t="shared" si="1"/>
        <v>28.76</v>
      </c>
    </row>
    <row r="57" spans="1:7" ht="30">
      <c r="A57" s="8"/>
      <c r="B57" s="9" t="s">
        <v>130</v>
      </c>
      <c r="C57" s="11" t="s">
        <v>131</v>
      </c>
      <c r="D57" s="9" t="s">
        <v>2</v>
      </c>
      <c r="E57" s="9">
        <v>11.360899999999999</v>
      </c>
      <c r="F57" s="9">
        <v>16.55</v>
      </c>
      <c r="G57" s="10">
        <f t="shared" si="1"/>
        <v>188.02</v>
      </c>
    </row>
    <row r="58" spans="1:7" ht="30">
      <c r="A58" s="8"/>
      <c r="B58" s="9" t="s">
        <v>135</v>
      </c>
      <c r="C58" s="11" t="s">
        <v>136</v>
      </c>
      <c r="D58" s="9" t="s">
        <v>2</v>
      </c>
      <c r="E58" s="9">
        <v>8.2709</v>
      </c>
      <c r="F58" s="9">
        <v>22.86</v>
      </c>
      <c r="G58" s="10">
        <f t="shared" si="1"/>
        <v>189.07</v>
      </c>
    </row>
    <row r="59" spans="1:7" ht="30">
      <c r="A59" s="8"/>
      <c r="B59" s="9" t="s">
        <v>137</v>
      </c>
      <c r="C59" s="11" t="s">
        <v>138</v>
      </c>
      <c r="D59" s="9" t="s">
        <v>2</v>
      </c>
      <c r="E59" s="9">
        <v>0.515</v>
      </c>
      <c r="F59" s="9">
        <v>22.86</v>
      </c>
      <c r="G59" s="10">
        <f t="shared" si="1"/>
        <v>11.77</v>
      </c>
    </row>
    <row r="60" spans="1:7" ht="15.75">
      <c r="A60" s="8"/>
      <c r="B60" s="9" t="s">
        <v>139</v>
      </c>
      <c r="C60" s="11" t="s">
        <v>140</v>
      </c>
      <c r="D60" s="9" t="s">
        <v>2</v>
      </c>
      <c r="E60" s="9">
        <v>0.515</v>
      </c>
      <c r="F60" s="9">
        <v>22.86</v>
      </c>
      <c r="G60" s="10">
        <f t="shared" si="1"/>
        <v>11.77</v>
      </c>
    </row>
    <row r="61" spans="1:7" ht="15.75">
      <c r="A61" s="8"/>
      <c r="B61" s="9" t="s">
        <v>141</v>
      </c>
      <c r="C61" s="11" t="s">
        <v>142</v>
      </c>
      <c r="D61" s="9" t="s">
        <v>24</v>
      </c>
      <c r="E61" s="9">
        <v>12</v>
      </c>
      <c r="F61" s="9">
        <v>105.0021</v>
      </c>
      <c r="G61" s="10">
        <f t="shared" si="1"/>
        <v>1260.02</v>
      </c>
    </row>
    <row r="62" spans="1:7" ht="15.75">
      <c r="A62" s="8"/>
      <c r="B62" s="9" t="s">
        <v>143</v>
      </c>
      <c r="C62" s="11" t="s">
        <v>144</v>
      </c>
      <c r="D62" s="9" t="s">
        <v>2</v>
      </c>
      <c r="E62" s="9">
        <v>0.805</v>
      </c>
      <c r="F62" s="9">
        <v>0.2968</v>
      </c>
      <c r="G62" s="10">
        <f t="shared" si="1"/>
        <v>0.23</v>
      </c>
    </row>
    <row r="63" spans="1:7" ht="15.75">
      <c r="A63" s="8"/>
      <c r="B63" s="9" t="s">
        <v>145</v>
      </c>
      <c r="C63" s="11" t="s">
        <v>146</v>
      </c>
      <c r="D63" s="9" t="s">
        <v>2</v>
      </c>
      <c r="E63" s="9">
        <v>0.345</v>
      </c>
      <c r="F63" s="9">
        <v>1.3223</v>
      </c>
      <c r="G63" s="10">
        <f t="shared" si="1"/>
        <v>0.45</v>
      </c>
    </row>
    <row r="64" spans="1:7" ht="15.75">
      <c r="A64" s="8"/>
      <c r="B64" s="9"/>
      <c r="C64" s="11"/>
      <c r="D64" s="9"/>
      <c r="E64" s="9" t="s">
        <v>3</v>
      </c>
      <c r="F64" s="9"/>
      <c r="G64" s="10">
        <f>TRUNC(SUM(G49:G63),2)</f>
        <v>3017.32</v>
      </c>
    </row>
    <row r="65" spans="1:7" ht="60">
      <c r="A65" s="8"/>
      <c r="B65" s="9" t="s">
        <v>147</v>
      </c>
      <c r="C65" s="11" t="s">
        <v>95</v>
      </c>
      <c r="D65" s="9" t="s">
        <v>0</v>
      </c>
      <c r="E65" s="9">
        <v>1</v>
      </c>
      <c r="F65" s="9">
        <f>G71</f>
        <v>545.2</v>
      </c>
      <c r="G65" s="10">
        <f aca="true" t="shared" si="2" ref="G65:G70">TRUNC(E65*F65,2)</f>
        <v>545.2</v>
      </c>
    </row>
    <row r="66" spans="1:7" ht="30">
      <c r="A66" s="8"/>
      <c r="B66" s="9" t="s">
        <v>96</v>
      </c>
      <c r="C66" s="11" t="s">
        <v>97</v>
      </c>
      <c r="D66" s="9" t="s">
        <v>98</v>
      </c>
      <c r="E66" s="9">
        <v>1.208865</v>
      </c>
      <c r="F66" s="9">
        <v>62.35</v>
      </c>
      <c r="G66" s="10">
        <f t="shared" si="2"/>
        <v>75.37</v>
      </c>
    </row>
    <row r="67" spans="1:7" ht="15.75">
      <c r="A67" s="8"/>
      <c r="B67" s="9" t="s">
        <v>99</v>
      </c>
      <c r="C67" s="11" t="s">
        <v>100</v>
      </c>
      <c r="D67" s="9" t="s">
        <v>12</v>
      </c>
      <c r="E67" s="9">
        <v>409.5</v>
      </c>
      <c r="F67" s="9">
        <v>0.506</v>
      </c>
      <c r="G67" s="10">
        <f t="shared" si="2"/>
        <v>207.2</v>
      </c>
    </row>
    <row r="68" spans="1:7" ht="30">
      <c r="A68" s="8"/>
      <c r="B68" s="9" t="s">
        <v>101</v>
      </c>
      <c r="C68" s="11" t="s">
        <v>102</v>
      </c>
      <c r="D68" s="9" t="s">
        <v>0</v>
      </c>
      <c r="E68" s="9">
        <v>0.6194999999999999</v>
      </c>
      <c r="F68" s="9">
        <v>95</v>
      </c>
      <c r="G68" s="10">
        <f t="shared" si="2"/>
        <v>58.85</v>
      </c>
    </row>
    <row r="69" spans="1:7" ht="15.75">
      <c r="A69" s="8"/>
      <c r="B69" s="9" t="s">
        <v>148</v>
      </c>
      <c r="C69" s="11" t="s">
        <v>149</v>
      </c>
      <c r="D69" s="9" t="s">
        <v>0</v>
      </c>
      <c r="E69" s="9">
        <v>1</v>
      </c>
      <c r="F69" s="9">
        <v>120.447</v>
      </c>
      <c r="G69" s="10">
        <f t="shared" si="2"/>
        <v>120.44</v>
      </c>
    </row>
    <row r="70" spans="1:7" ht="15.75">
      <c r="A70" s="8"/>
      <c r="B70" s="9" t="s">
        <v>150</v>
      </c>
      <c r="C70" s="11" t="s">
        <v>151</v>
      </c>
      <c r="D70" s="9" t="s">
        <v>0</v>
      </c>
      <c r="E70" s="9">
        <v>1</v>
      </c>
      <c r="F70" s="9">
        <v>83.3457</v>
      </c>
      <c r="G70" s="10">
        <f t="shared" si="2"/>
        <v>83.34</v>
      </c>
    </row>
    <row r="71" spans="1:7" ht="15.75">
      <c r="A71" s="8"/>
      <c r="B71" s="9"/>
      <c r="C71" s="11"/>
      <c r="D71" s="9"/>
      <c r="E71" s="9" t="s">
        <v>3</v>
      </c>
      <c r="F71" s="9"/>
      <c r="G71" s="10">
        <f>TRUNC(SUM(G66:G70),2)</f>
        <v>545.2</v>
      </c>
    </row>
    <row r="72" spans="1:7" ht="90">
      <c r="A72" s="12" t="s">
        <v>41</v>
      </c>
      <c r="B72" s="12" t="s">
        <v>153</v>
      </c>
      <c r="C72" s="13" t="s">
        <v>104</v>
      </c>
      <c r="D72" s="12" t="s">
        <v>24</v>
      </c>
      <c r="E72" s="12">
        <v>21.51</v>
      </c>
      <c r="F72" s="12">
        <f>TRUNC(F73,2)</f>
        <v>231</v>
      </c>
      <c r="G72" s="12">
        <f>TRUNC((E72*F72),2)</f>
        <v>4968.81</v>
      </c>
    </row>
    <row r="73" spans="1:7" ht="75">
      <c r="A73" s="8"/>
      <c r="B73" s="9" t="s">
        <v>153</v>
      </c>
      <c r="C73" s="11" t="s">
        <v>273</v>
      </c>
      <c r="D73" s="9" t="s">
        <v>24</v>
      </c>
      <c r="E73" s="9">
        <v>1</v>
      </c>
      <c r="F73" s="9">
        <f>G86</f>
        <v>231</v>
      </c>
      <c r="G73" s="10">
        <f aca="true" t="shared" si="3" ref="G73:G85">TRUNC(E73*F73,2)</f>
        <v>231</v>
      </c>
    </row>
    <row r="74" spans="1:7" ht="30">
      <c r="A74" s="8"/>
      <c r="B74" s="9" t="s">
        <v>105</v>
      </c>
      <c r="C74" s="11" t="s">
        <v>218</v>
      </c>
      <c r="D74" s="9" t="s">
        <v>24</v>
      </c>
      <c r="E74" s="9">
        <v>1</v>
      </c>
      <c r="F74" s="9">
        <f>TRUNC(152.73,2)</f>
        <v>152.73</v>
      </c>
      <c r="G74" s="10">
        <f t="shared" si="3"/>
        <v>152.73</v>
      </c>
    </row>
    <row r="75" spans="1:7" ht="15.75">
      <c r="A75" s="8"/>
      <c r="B75" s="9" t="s">
        <v>106</v>
      </c>
      <c r="C75" s="11" t="s">
        <v>107</v>
      </c>
      <c r="D75" s="9" t="s">
        <v>0</v>
      </c>
      <c r="E75" s="9">
        <v>0.0945</v>
      </c>
      <c r="F75" s="9">
        <f>TRUNC(360,2)</f>
        <v>360</v>
      </c>
      <c r="G75" s="10">
        <f t="shared" si="3"/>
        <v>34.02</v>
      </c>
    </row>
    <row r="76" spans="1:7" ht="30">
      <c r="A76" s="8"/>
      <c r="B76" s="9" t="s">
        <v>108</v>
      </c>
      <c r="C76" s="11" t="s">
        <v>109</v>
      </c>
      <c r="D76" s="9" t="s">
        <v>12</v>
      </c>
      <c r="E76" s="9">
        <v>0.078</v>
      </c>
      <c r="F76" s="9">
        <f>TRUNC(10.4755,2)</f>
        <v>10.47</v>
      </c>
      <c r="G76" s="10">
        <f t="shared" si="3"/>
        <v>0.81</v>
      </c>
    </row>
    <row r="77" spans="1:7" ht="30">
      <c r="A77" s="8"/>
      <c r="B77" s="9" t="s">
        <v>110</v>
      </c>
      <c r="C77" s="11" t="s">
        <v>111</v>
      </c>
      <c r="D77" s="9" t="s">
        <v>12</v>
      </c>
      <c r="E77" s="9">
        <v>0.77</v>
      </c>
      <c r="F77" s="9">
        <f>TRUNC(11.3471,2)</f>
        <v>11.34</v>
      </c>
      <c r="G77" s="10">
        <f t="shared" si="3"/>
        <v>8.73</v>
      </c>
    </row>
    <row r="78" spans="1:7" ht="30">
      <c r="A78" s="8"/>
      <c r="B78" s="9" t="s">
        <v>130</v>
      </c>
      <c r="C78" s="11" t="s">
        <v>131</v>
      </c>
      <c r="D78" s="9" t="s">
        <v>2</v>
      </c>
      <c r="E78" s="9">
        <v>1.02382</v>
      </c>
      <c r="F78" s="9">
        <f>TRUNC(16.55,2)</f>
        <v>16.55</v>
      </c>
      <c r="G78" s="10">
        <f t="shared" si="3"/>
        <v>16.94</v>
      </c>
    </row>
    <row r="79" spans="1:7" ht="30">
      <c r="A79" s="8"/>
      <c r="B79" s="9" t="s">
        <v>135</v>
      </c>
      <c r="C79" s="11" t="s">
        <v>136</v>
      </c>
      <c r="D79" s="9" t="s">
        <v>2</v>
      </c>
      <c r="E79" s="9">
        <v>0.14729</v>
      </c>
      <c r="F79" s="9">
        <f>TRUNC(22.86,2)</f>
        <v>22.86</v>
      </c>
      <c r="G79" s="10">
        <f t="shared" si="3"/>
        <v>3.36</v>
      </c>
    </row>
    <row r="80" spans="1:7" ht="30">
      <c r="A80" s="8"/>
      <c r="B80" s="9" t="s">
        <v>137</v>
      </c>
      <c r="C80" s="11" t="s">
        <v>138</v>
      </c>
      <c r="D80" s="9" t="s">
        <v>2</v>
      </c>
      <c r="E80" s="9">
        <v>0.05562</v>
      </c>
      <c r="F80" s="9">
        <f>TRUNC(22.86,2)</f>
        <v>22.86</v>
      </c>
      <c r="G80" s="10">
        <f t="shared" si="3"/>
        <v>1.27</v>
      </c>
    </row>
    <row r="81" spans="1:7" ht="15.75">
      <c r="A81" s="8"/>
      <c r="B81" s="9" t="s">
        <v>139</v>
      </c>
      <c r="C81" s="11" t="s">
        <v>140</v>
      </c>
      <c r="D81" s="9" t="s">
        <v>2</v>
      </c>
      <c r="E81" s="9">
        <v>0.41612000000000005</v>
      </c>
      <c r="F81" s="9">
        <f>TRUNC(22.86,2)</f>
        <v>22.86</v>
      </c>
      <c r="G81" s="10">
        <f t="shared" si="3"/>
        <v>9.51</v>
      </c>
    </row>
    <row r="82" spans="1:7" ht="15.75">
      <c r="A82" s="8"/>
      <c r="B82" s="9" t="s">
        <v>112</v>
      </c>
      <c r="C82" s="11" t="s">
        <v>113</v>
      </c>
      <c r="D82" s="9" t="s">
        <v>0</v>
      </c>
      <c r="E82" s="9">
        <v>0.09</v>
      </c>
      <c r="F82" s="9">
        <f>TRUNC(35,2)</f>
        <v>35</v>
      </c>
      <c r="G82" s="10">
        <f t="shared" si="3"/>
        <v>3.15</v>
      </c>
    </row>
    <row r="83" spans="1:7" ht="30">
      <c r="A83" s="8"/>
      <c r="B83" s="9" t="s">
        <v>154</v>
      </c>
      <c r="C83" s="11" t="s">
        <v>155</v>
      </c>
      <c r="D83" s="9" t="s">
        <v>0</v>
      </c>
      <c r="E83" s="9">
        <v>0.001125</v>
      </c>
      <c r="F83" s="9">
        <f>TRUNC(401.6617,2)</f>
        <v>401.66</v>
      </c>
      <c r="G83" s="10">
        <f t="shared" si="3"/>
        <v>0.45</v>
      </c>
    </row>
    <row r="84" spans="1:7" ht="15.75">
      <c r="A84" s="8"/>
      <c r="B84" s="9" t="s">
        <v>143</v>
      </c>
      <c r="C84" s="11" t="s">
        <v>144</v>
      </c>
      <c r="D84" s="9" t="s">
        <v>2</v>
      </c>
      <c r="E84" s="9">
        <v>0.0351</v>
      </c>
      <c r="F84" s="9">
        <f>TRUNC(0.2968,2)</f>
        <v>0.29</v>
      </c>
      <c r="G84" s="10">
        <f t="shared" si="3"/>
        <v>0.01</v>
      </c>
    </row>
    <row r="85" spans="1:7" ht="15.75">
      <c r="A85" s="8"/>
      <c r="B85" s="9" t="s">
        <v>145</v>
      </c>
      <c r="C85" s="11" t="s">
        <v>146</v>
      </c>
      <c r="D85" s="9" t="s">
        <v>2</v>
      </c>
      <c r="E85" s="9">
        <v>0.0207</v>
      </c>
      <c r="F85" s="9">
        <f>TRUNC(1.3223,2)</f>
        <v>1.32</v>
      </c>
      <c r="G85" s="10">
        <f t="shared" si="3"/>
        <v>0.02</v>
      </c>
    </row>
    <row r="86" spans="1:7" ht="15.75">
      <c r="A86" s="8"/>
      <c r="B86" s="9"/>
      <c r="C86" s="11"/>
      <c r="D86" s="9"/>
      <c r="E86" s="9" t="s">
        <v>3</v>
      </c>
      <c r="F86" s="9"/>
      <c r="G86" s="10">
        <f>TRUNC(SUM(G74:G85),2)</f>
        <v>231</v>
      </c>
    </row>
    <row r="87" spans="1:9" s="16" customFormat="1" ht="75">
      <c r="A87" s="91" t="s">
        <v>43</v>
      </c>
      <c r="B87" s="91" t="s">
        <v>156</v>
      </c>
      <c r="C87" s="92" t="s">
        <v>208</v>
      </c>
      <c r="D87" s="91" t="s">
        <v>24</v>
      </c>
      <c r="E87" s="91">
        <v>32.73</v>
      </c>
      <c r="F87" s="91">
        <f>TRUNC(F88,2)</f>
        <v>95.34</v>
      </c>
      <c r="G87" s="91">
        <f>TRUNC((E87*F87),2)</f>
        <v>3120.47</v>
      </c>
      <c r="H87" s="16">
        <f>10.56*2.6+8.5*1.9</f>
        <v>43.606</v>
      </c>
      <c r="I87" s="16">
        <f>43.2+2.88</f>
        <v>46.080000000000005</v>
      </c>
    </row>
    <row r="88" spans="1:7" ht="75">
      <c r="A88" s="8"/>
      <c r="B88" s="9" t="s">
        <v>156</v>
      </c>
      <c r="C88" s="11" t="s">
        <v>114</v>
      </c>
      <c r="D88" s="9" t="s">
        <v>24</v>
      </c>
      <c r="E88" s="9">
        <v>1</v>
      </c>
      <c r="F88" s="9">
        <f>G93</f>
        <v>95.34</v>
      </c>
      <c r="G88" s="10">
        <f>TRUNC(E88*F88,2)</f>
        <v>95.34</v>
      </c>
    </row>
    <row r="89" spans="1:7" ht="30">
      <c r="A89" s="8"/>
      <c r="B89" s="9" t="s">
        <v>115</v>
      </c>
      <c r="C89" s="11" t="s">
        <v>116</v>
      </c>
      <c r="D89" s="9" t="s">
        <v>32</v>
      </c>
      <c r="E89" s="9">
        <v>13</v>
      </c>
      <c r="F89" s="9">
        <v>3.35</v>
      </c>
      <c r="G89" s="10">
        <f>TRUNC(E89*F89,2)</f>
        <v>43.55</v>
      </c>
    </row>
    <row r="90" spans="1:7" ht="30">
      <c r="A90" s="8"/>
      <c r="B90" s="9" t="s">
        <v>130</v>
      </c>
      <c r="C90" s="11" t="s">
        <v>131</v>
      </c>
      <c r="D90" s="9" t="s">
        <v>2</v>
      </c>
      <c r="E90" s="9">
        <v>1.1330000000000002</v>
      </c>
      <c r="F90" s="9">
        <v>16.55</v>
      </c>
      <c r="G90" s="10">
        <f>TRUNC(E90*F90,2)</f>
        <v>18.75</v>
      </c>
    </row>
    <row r="91" spans="1:7" ht="15.75">
      <c r="A91" s="8"/>
      <c r="B91" s="9" t="s">
        <v>139</v>
      </c>
      <c r="C91" s="11" t="s">
        <v>140</v>
      </c>
      <c r="D91" s="9" t="s">
        <v>2</v>
      </c>
      <c r="E91" s="9">
        <v>1.1330000000000002</v>
      </c>
      <c r="F91" s="9">
        <v>22.86</v>
      </c>
      <c r="G91" s="10">
        <f>TRUNC(E91*F91,2)</f>
        <v>25.9</v>
      </c>
    </row>
    <row r="92" spans="1:7" ht="30">
      <c r="A92" s="8"/>
      <c r="B92" s="9" t="s">
        <v>157</v>
      </c>
      <c r="C92" s="11" t="s">
        <v>158</v>
      </c>
      <c r="D92" s="9" t="s">
        <v>0</v>
      </c>
      <c r="E92" s="9">
        <v>0.02</v>
      </c>
      <c r="F92" s="9">
        <v>357.3621</v>
      </c>
      <c r="G92" s="10">
        <f>TRUNC(E92*F92,2)</f>
        <v>7.14</v>
      </c>
    </row>
    <row r="93" spans="1:7" ht="15.75">
      <c r="A93" s="8"/>
      <c r="B93" s="9"/>
      <c r="C93" s="11"/>
      <c r="D93" s="9"/>
      <c r="E93" s="9" t="s">
        <v>3</v>
      </c>
      <c r="F93" s="9"/>
      <c r="G93" s="10">
        <f>TRUNC(SUM(G89:G92),2)</f>
        <v>95.34</v>
      </c>
    </row>
    <row r="94" spans="1:9" s="16" customFormat="1" ht="75">
      <c r="A94" s="91" t="s">
        <v>46</v>
      </c>
      <c r="B94" s="91" t="s">
        <v>159</v>
      </c>
      <c r="C94" s="92" t="s">
        <v>209</v>
      </c>
      <c r="D94" s="91" t="s">
        <v>24</v>
      </c>
      <c r="E94" s="91">
        <v>32.73</v>
      </c>
      <c r="F94" s="91">
        <f>TRUNC(F95,2)</f>
        <v>68.08</v>
      </c>
      <c r="G94" s="91">
        <f>TRUNC((E94*F94),2)</f>
        <v>2228.25</v>
      </c>
      <c r="I94" s="16">
        <f>43.2+2.88</f>
        <v>46.080000000000005</v>
      </c>
    </row>
    <row r="95" spans="1:7" ht="75">
      <c r="A95" s="8"/>
      <c r="B95" s="9" t="s">
        <v>159</v>
      </c>
      <c r="C95" s="11" t="s">
        <v>117</v>
      </c>
      <c r="D95" s="9" t="s">
        <v>24</v>
      </c>
      <c r="E95" s="9">
        <v>1</v>
      </c>
      <c r="F95" s="9">
        <f>G99</f>
        <v>68.08</v>
      </c>
      <c r="G95" s="10">
        <f>TRUNC(E95*F95,2)</f>
        <v>68.08</v>
      </c>
    </row>
    <row r="96" spans="1:7" ht="30">
      <c r="A96" s="8"/>
      <c r="B96" s="9" t="s">
        <v>130</v>
      </c>
      <c r="C96" s="11" t="s">
        <v>131</v>
      </c>
      <c r="D96" s="9" t="s">
        <v>2</v>
      </c>
      <c r="E96" s="9">
        <v>0.8240000000000001</v>
      </c>
      <c r="F96" s="9">
        <v>16.55</v>
      </c>
      <c r="G96" s="10">
        <f>TRUNC(E96*F96,2)</f>
        <v>13.63</v>
      </c>
    </row>
    <row r="97" spans="1:7" ht="15.75">
      <c r="A97" s="8"/>
      <c r="B97" s="9" t="s">
        <v>139</v>
      </c>
      <c r="C97" s="11" t="s">
        <v>140</v>
      </c>
      <c r="D97" s="9" t="s">
        <v>2</v>
      </c>
      <c r="E97" s="9">
        <v>0.8240000000000001</v>
      </c>
      <c r="F97" s="9">
        <v>22.86</v>
      </c>
      <c r="G97" s="10">
        <f>TRUNC(E97*F97,2)</f>
        <v>18.83</v>
      </c>
    </row>
    <row r="98" spans="1:7" ht="15.75">
      <c r="A98" s="8"/>
      <c r="B98" s="9" t="s">
        <v>160</v>
      </c>
      <c r="C98" s="11" t="s">
        <v>161</v>
      </c>
      <c r="D98" s="9" t="s">
        <v>0</v>
      </c>
      <c r="E98" s="9">
        <v>0.11</v>
      </c>
      <c r="F98" s="9">
        <v>323.8556</v>
      </c>
      <c r="G98" s="10">
        <f>TRUNC(E98*F98,2)</f>
        <v>35.62</v>
      </c>
    </row>
    <row r="99" spans="1:7" ht="15.75">
      <c r="A99" s="8"/>
      <c r="B99" s="9"/>
      <c r="C99" s="11"/>
      <c r="D99" s="9"/>
      <c r="E99" s="9" t="s">
        <v>3</v>
      </c>
      <c r="F99" s="9"/>
      <c r="G99" s="10">
        <f>TRUNC(SUM(G96:G98),2)</f>
        <v>68.08</v>
      </c>
    </row>
    <row r="100" spans="1:8" s="16" customFormat="1" ht="45">
      <c r="A100" s="91" t="s">
        <v>50</v>
      </c>
      <c r="B100" s="91" t="s">
        <v>210</v>
      </c>
      <c r="C100" s="92" t="s">
        <v>214</v>
      </c>
      <c r="D100" s="91" t="s">
        <v>24</v>
      </c>
      <c r="E100" s="91">
        <f>2.88*2</f>
        <v>5.76</v>
      </c>
      <c r="F100" s="91">
        <f>TRUNC(F101,2)</f>
        <v>31.91</v>
      </c>
      <c r="G100" s="91">
        <f>TRUNC((E100*F100),2)</f>
        <v>183.8</v>
      </c>
      <c r="H100" s="16">
        <f>2*2.56+4*2.87+2*3.25+4*1.9+((3.25+(2.56*2)))</f>
        <v>39.07000000000001</v>
      </c>
    </row>
    <row r="101" spans="1:8" s="16" customFormat="1" ht="60">
      <c r="A101" s="93"/>
      <c r="B101" s="94" t="s">
        <v>210</v>
      </c>
      <c r="C101" s="95" t="s">
        <v>211</v>
      </c>
      <c r="D101" s="94" t="s">
        <v>24</v>
      </c>
      <c r="E101" s="94">
        <v>1</v>
      </c>
      <c r="F101" s="94">
        <f>G106</f>
        <v>31.91</v>
      </c>
      <c r="G101" s="96">
        <f>TRUNC(E101*F101,2)</f>
        <v>31.91</v>
      </c>
      <c r="H101" s="16">
        <f>(2*2.56+4)*2.87</f>
        <v>26.174400000000002</v>
      </c>
    </row>
    <row r="102" spans="1:7" s="16" customFormat="1" ht="30">
      <c r="A102" s="93"/>
      <c r="B102" s="94" t="s">
        <v>130</v>
      </c>
      <c r="C102" s="95" t="s">
        <v>131</v>
      </c>
      <c r="D102" s="94" t="s">
        <v>2</v>
      </c>
      <c r="E102" s="94">
        <v>0.41200000000000003</v>
      </c>
      <c r="F102" s="94">
        <v>16.55</v>
      </c>
      <c r="G102" s="96">
        <f>TRUNC(E102*F102,2)</f>
        <v>6.81</v>
      </c>
    </row>
    <row r="103" spans="1:7" s="16" customFormat="1" ht="15.75">
      <c r="A103" s="93"/>
      <c r="B103" s="94" t="s">
        <v>139</v>
      </c>
      <c r="C103" s="95" t="s">
        <v>140</v>
      </c>
      <c r="D103" s="94" t="s">
        <v>2</v>
      </c>
      <c r="E103" s="94">
        <v>0.41200000000000003</v>
      </c>
      <c r="F103" s="94">
        <v>22.86</v>
      </c>
      <c r="G103" s="96">
        <f>TRUNC(E103*F103,2)</f>
        <v>9.41</v>
      </c>
    </row>
    <row r="104" spans="1:7" s="16" customFormat="1" ht="30">
      <c r="A104" s="93"/>
      <c r="B104" s="94" t="s">
        <v>212</v>
      </c>
      <c r="C104" s="95" t="s">
        <v>213</v>
      </c>
      <c r="D104" s="94" t="s">
        <v>24</v>
      </c>
      <c r="E104" s="94">
        <v>1</v>
      </c>
      <c r="F104" s="94">
        <v>6.0674</v>
      </c>
      <c r="G104" s="96">
        <f>TRUNC(E104*F104,2)</f>
        <v>6.06</v>
      </c>
    </row>
    <row r="105" spans="1:7" s="16" customFormat="1" ht="30">
      <c r="A105" s="93"/>
      <c r="B105" s="94" t="s">
        <v>154</v>
      </c>
      <c r="C105" s="95" t="s">
        <v>155</v>
      </c>
      <c r="D105" s="94" t="s">
        <v>0</v>
      </c>
      <c r="E105" s="94">
        <v>0.024</v>
      </c>
      <c r="F105" s="94">
        <v>401.6617</v>
      </c>
      <c r="G105" s="96">
        <f>TRUNC(E105*F105,2)</f>
        <v>9.63</v>
      </c>
    </row>
    <row r="106" spans="1:7" s="16" customFormat="1" ht="15.75">
      <c r="A106" s="93"/>
      <c r="B106" s="94"/>
      <c r="C106" s="95"/>
      <c r="D106" s="94"/>
      <c r="E106" s="94" t="s">
        <v>3</v>
      </c>
      <c r="F106" s="94"/>
      <c r="G106" s="96">
        <f>TRUNC(SUM(G102:G105),2)</f>
        <v>31.91</v>
      </c>
    </row>
    <row r="107" spans="1:9" s="16" customFormat="1" ht="45">
      <c r="A107" s="91" t="s">
        <v>54</v>
      </c>
      <c r="B107" s="91" t="s">
        <v>226</v>
      </c>
      <c r="C107" s="92" t="s">
        <v>118</v>
      </c>
      <c r="D107" s="91" t="s">
        <v>24</v>
      </c>
      <c r="E107" s="91">
        <v>69.94</v>
      </c>
      <c r="F107" s="91">
        <f>TRUNC(F108,2)</f>
        <v>45.37</v>
      </c>
      <c r="G107" s="91">
        <f>TRUNC((E107*F107),2)</f>
        <v>3173.17</v>
      </c>
      <c r="H107" s="16">
        <f>2*2.56+4*2.87+2*3.25+4*1.9+((3.25+(2.56*2)))</f>
        <v>39.07000000000001</v>
      </c>
      <c r="I107" s="16">
        <v>58.88</v>
      </c>
    </row>
    <row r="108" spans="1:8" s="16" customFormat="1" ht="45">
      <c r="A108" s="93"/>
      <c r="B108" s="94" t="s">
        <v>226</v>
      </c>
      <c r="C108" s="95" t="s">
        <v>118</v>
      </c>
      <c r="D108" s="94" t="s">
        <v>24</v>
      </c>
      <c r="E108" s="94">
        <v>1</v>
      </c>
      <c r="F108" s="94">
        <f>G113</f>
        <v>45.37</v>
      </c>
      <c r="G108" s="96">
        <f>TRUNC(E108*F108,2)</f>
        <v>45.37</v>
      </c>
      <c r="H108" s="16">
        <f>(2*2.56+4)*2.87</f>
        <v>26.174400000000002</v>
      </c>
    </row>
    <row r="109" spans="1:7" s="16" customFormat="1" ht="45">
      <c r="A109" s="93"/>
      <c r="B109" s="94" t="s">
        <v>228</v>
      </c>
      <c r="C109" s="95" t="s">
        <v>229</v>
      </c>
      <c r="D109" s="94" t="s">
        <v>230</v>
      </c>
      <c r="E109" s="94">
        <v>0.387</v>
      </c>
      <c r="F109" s="94">
        <v>5.76</v>
      </c>
      <c r="G109" s="96">
        <f>TRUNC(E109*F109,2)</f>
        <v>2.22</v>
      </c>
    </row>
    <row r="110" spans="1:7" s="16" customFormat="1" ht="15.75">
      <c r="A110" s="93"/>
      <c r="B110" s="94" t="s">
        <v>222</v>
      </c>
      <c r="C110" s="95" t="s">
        <v>1</v>
      </c>
      <c r="D110" s="94" t="s">
        <v>2</v>
      </c>
      <c r="E110" s="94">
        <v>0.176</v>
      </c>
      <c r="F110" s="94">
        <f>TRUNC(23.75,2)</f>
        <v>23.75</v>
      </c>
      <c r="G110" s="96">
        <f>TRUNC(E110*F110,2)</f>
        <v>4.18</v>
      </c>
    </row>
    <row r="111" spans="1:7" s="16" customFormat="1" ht="15.75">
      <c r="A111" s="93"/>
      <c r="B111" s="94" t="s">
        <v>223</v>
      </c>
      <c r="C111" s="95" t="s">
        <v>119</v>
      </c>
      <c r="D111" s="94" t="s">
        <v>2</v>
      </c>
      <c r="E111" s="94">
        <v>0.867</v>
      </c>
      <c r="F111" s="94">
        <f>TRUNC(30.22,2)</f>
        <v>30.22</v>
      </c>
      <c r="G111" s="96">
        <f>TRUNC(E111*F111,2)</f>
        <v>26.2</v>
      </c>
    </row>
    <row r="112" spans="1:7" s="16" customFormat="1" ht="60">
      <c r="A112" s="93"/>
      <c r="B112" s="94" t="s">
        <v>231</v>
      </c>
      <c r="C112" s="95" t="s">
        <v>252</v>
      </c>
      <c r="D112" s="94" t="s">
        <v>0</v>
      </c>
      <c r="E112" s="94">
        <v>0.025</v>
      </c>
      <c r="F112" s="94">
        <f>TRUNC(511.0731,2)</f>
        <v>511.07</v>
      </c>
      <c r="G112" s="96">
        <f>TRUNC(E112*F112,2)</f>
        <v>12.77</v>
      </c>
    </row>
    <row r="113" spans="1:7" s="16" customFormat="1" ht="15.75">
      <c r="A113" s="93"/>
      <c r="B113" s="94"/>
      <c r="C113" s="95"/>
      <c r="D113" s="94"/>
      <c r="E113" s="94" t="s">
        <v>3</v>
      </c>
      <c r="F113" s="94"/>
      <c r="G113" s="96">
        <f>TRUNC(SUM(G109:G112),2)</f>
        <v>45.37</v>
      </c>
    </row>
    <row r="114" spans="1:7" s="16" customFormat="1" ht="30">
      <c r="A114" s="91" t="s">
        <v>120</v>
      </c>
      <c r="B114" s="91" t="s">
        <v>227</v>
      </c>
      <c r="C114" s="92" t="s">
        <v>33</v>
      </c>
      <c r="D114" s="91" t="s">
        <v>32</v>
      </c>
      <c r="E114" s="91">
        <v>2</v>
      </c>
      <c r="F114" s="91">
        <f>TRUNC(F115,2)</f>
        <v>14.18</v>
      </c>
      <c r="G114" s="91">
        <f>TRUNC((E114*F114),2)</f>
        <v>28.36</v>
      </c>
    </row>
    <row r="115" spans="1:7" s="16" customFormat="1" ht="30">
      <c r="A115" s="93"/>
      <c r="B115" s="94" t="s">
        <v>227</v>
      </c>
      <c r="C115" s="95" t="s">
        <v>33</v>
      </c>
      <c r="D115" s="94" t="s">
        <v>32</v>
      </c>
      <c r="E115" s="94">
        <v>1</v>
      </c>
      <c r="F115" s="94">
        <f>G121</f>
        <v>14.18</v>
      </c>
      <c r="G115" s="96">
        <f aca="true" t="shared" si="4" ref="G115:G120">TRUNC(E115*F115,2)</f>
        <v>14.18</v>
      </c>
    </row>
    <row r="116" spans="1:7" s="16" customFormat="1" ht="30">
      <c r="A116" s="93"/>
      <c r="B116" s="94" t="s">
        <v>235</v>
      </c>
      <c r="C116" s="95" t="s">
        <v>253</v>
      </c>
      <c r="D116" s="94" t="s">
        <v>32</v>
      </c>
      <c r="E116" s="94">
        <v>0.015</v>
      </c>
      <c r="F116" s="94">
        <v>82.38</v>
      </c>
      <c r="G116" s="96">
        <f t="shared" si="4"/>
        <v>1.23</v>
      </c>
    </row>
    <row r="117" spans="1:7" s="16" customFormat="1" ht="30">
      <c r="A117" s="93"/>
      <c r="B117" s="94" t="s">
        <v>232</v>
      </c>
      <c r="C117" s="95" t="s">
        <v>34</v>
      </c>
      <c r="D117" s="94" t="s">
        <v>32</v>
      </c>
      <c r="E117" s="94">
        <v>1</v>
      </c>
      <c r="F117" s="94">
        <v>5.65</v>
      </c>
      <c r="G117" s="96">
        <f t="shared" si="4"/>
        <v>5.65</v>
      </c>
    </row>
    <row r="118" spans="1:7" s="16" customFormat="1" ht="15.75">
      <c r="A118" s="93"/>
      <c r="B118" s="94" t="s">
        <v>233</v>
      </c>
      <c r="C118" s="95" t="s">
        <v>254</v>
      </c>
      <c r="D118" s="94" t="s">
        <v>32</v>
      </c>
      <c r="E118" s="94">
        <v>0.02</v>
      </c>
      <c r="F118" s="94">
        <v>72.71</v>
      </c>
      <c r="G118" s="96">
        <f t="shared" si="4"/>
        <v>1.45</v>
      </c>
    </row>
    <row r="119" spans="1:7" s="16" customFormat="1" ht="15.75">
      <c r="A119" s="93"/>
      <c r="B119" s="94" t="s">
        <v>222</v>
      </c>
      <c r="C119" s="95" t="s">
        <v>1</v>
      </c>
      <c r="D119" s="94" t="s">
        <v>2</v>
      </c>
      <c r="E119" s="94">
        <v>0.11</v>
      </c>
      <c r="F119" s="94">
        <f>TRUNC(23.75,2)</f>
        <v>23.75</v>
      </c>
      <c r="G119" s="96">
        <f t="shared" si="4"/>
        <v>2.61</v>
      </c>
    </row>
    <row r="120" spans="1:7" s="16" customFormat="1" ht="30">
      <c r="A120" s="93"/>
      <c r="B120" s="94" t="s">
        <v>234</v>
      </c>
      <c r="C120" s="95" t="s">
        <v>35</v>
      </c>
      <c r="D120" s="94" t="s">
        <v>2</v>
      </c>
      <c r="E120" s="94">
        <v>0.11</v>
      </c>
      <c r="F120" s="94">
        <f>TRUNC(29.46,2)</f>
        <v>29.46</v>
      </c>
      <c r="G120" s="96">
        <f t="shared" si="4"/>
        <v>3.24</v>
      </c>
    </row>
    <row r="121" spans="1:7" s="16" customFormat="1" ht="15.75">
      <c r="A121" s="93"/>
      <c r="B121" s="94"/>
      <c r="C121" s="95"/>
      <c r="D121" s="94"/>
      <c r="E121" s="94" t="s">
        <v>3</v>
      </c>
      <c r="F121" s="94"/>
      <c r="G121" s="96">
        <f>TRUNC(SUM(G116:G120),2)</f>
        <v>14.18</v>
      </c>
    </row>
    <row r="122" spans="1:7" s="16" customFormat="1" ht="90">
      <c r="A122" s="91" t="s">
        <v>122</v>
      </c>
      <c r="B122" s="91" t="s">
        <v>187</v>
      </c>
      <c r="C122" s="92" t="s">
        <v>186</v>
      </c>
      <c r="D122" s="91" t="s">
        <v>32</v>
      </c>
      <c r="E122" s="91">
        <v>5</v>
      </c>
      <c r="F122" s="91">
        <f>TRUNC(F123,2)</f>
        <v>305.3</v>
      </c>
      <c r="G122" s="91">
        <f>TRUNC((E122*F122),2)</f>
        <v>1526.5</v>
      </c>
    </row>
    <row r="123" spans="1:7" s="16" customFormat="1" ht="105">
      <c r="A123" s="93"/>
      <c r="B123" s="94" t="s">
        <v>187</v>
      </c>
      <c r="C123" s="95" t="s">
        <v>219</v>
      </c>
      <c r="D123" s="94" t="s">
        <v>32</v>
      </c>
      <c r="E123" s="94">
        <v>1</v>
      </c>
      <c r="F123" s="94">
        <f>G128</f>
        <v>305.3</v>
      </c>
      <c r="G123" s="96">
        <f>TRUNC(E123*F123,2)</f>
        <v>305.3</v>
      </c>
    </row>
    <row r="124" spans="1:7" s="16" customFormat="1" ht="30">
      <c r="A124" s="93"/>
      <c r="B124" s="94" t="s">
        <v>188</v>
      </c>
      <c r="C124" s="95" t="s">
        <v>220</v>
      </c>
      <c r="D124" s="94" t="s">
        <v>32</v>
      </c>
      <c r="E124" s="94">
        <v>1</v>
      </c>
      <c r="F124" s="94">
        <v>238.8462</v>
      </c>
      <c r="G124" s="96">
        <f>TRUNC(E124*F124,2)</f>
        <v>238.84</v>
      </c>
    </row>
    <row r="125" spans="1:7" s="16" customFormat="1" ht="30">
      <c r="A125" s="93"/>
      <c r="B125" s="94" t="s">
        <v>130</v>
      </c>
      <c r="C125" s="95" t="s">
        <v>131</v>
      </c>
      <c r="D125" s="94" t="s">
        <v>2</v>
      </c>
      <c r="E125" s="94">
        <v>1.6480000000000001</v>
      </c>
      <c r="F125" s="94">
        <v>16.55</v>
      </c>
      <c r="G125" s="96">
        <f>TRUNC(E125*F125,2)</f>
        <v>27.27</v>
      </c>
    </row>
    <row r="126" spans="1:7" s="16" customFormat="1" ht="15.75">
      <c r="A126" s="93"/>
      <c r="B126" s="94" t="s">
        <v>139</v>
      </c>
      <c r="C126" s="95" t="s">
        <v>140</v>
      </c>
      <c r="D126" s="94" t="s">
        <v>2</v>
      </c>
      <c r="E126" s="94">
        <v>1.6480000000000001</v>
      </c>
      <c r="F126" s="94">
        <v>22.86</v>
      </c>
      <c r="G126" s="96">
        <f>TRUNC(E126*F126,2)</f>
        <v>37.67</v>
      </c>
    </row>
    <row r="127" spans="1:7" s="16" customFormat="1" ht="30">
      <c r="A127" s="93"/>
      <c r="B127" s="94" t="s">
        <v>189</v>
      </c>
      <c r="C127" s="95" t="s">
        <v>190</v>
      </c>
      <c r="D127" s="94" t="s">
        <v>0</v>
      </c>
      <c r="E127" s="94">
        <v>0.004</v>
      </c>
      <c r="F127" s="94">
        <v>382.4632</v>
      </c>
      <c r="G127" s="96">
        <f>TRUNC(E127*F127,2)</f>
        <v>1.52</v>
      </c>
    </row>
    <row r="128" spans="1:7" s="16" customFormat="1" ht="15.75">
      <c r="A128" s="93"/>
      <c r="B128" s="94"/>
      <c r="C128" s="95"/>
      <c r="D128" s="94"/>
      <c r="E128" s="94" t="s">
        <v>3</v>
      </c>
      <c r="F128" s="94"/>
      <c r="G128" s="96">
        <f>TRUNC(SUM(G124:G127),2)</f>
        <v>305.3</v>
      </c>
    </row>
    <row r="129" spans="1:7" s="16" customFormat="1" ht="15.75">
      <c r="A129" s="91" t="s">
        <v>124</v>
      </c>
      <c r="B129" s="91" t="s">
        <v>162</v>
      </c>
      <c r="C129" s="92" t="s">
        <v>39</v>
      </c>
      <c r="D129" s="91" t="s">
        <v>0</v>
      </c>
      <c r="E129" s="91">
        <v>6.15</v>
      </c>
      <c r="F129" s="91">
        <f>TRUNC(F130,2)</f>
        <v>136.88</v>
      </c>
      <c r="G129" s="91">
        <f>TRUNC((E129*F129),2)</f>
        <v>841.81</v>
      </c>
    </row>
    <row r="130" spans="1:7" s="16" customFormat="1" ht="15.75">
      <c r="A130" s="93"/>
      <c r="B130" s="94" t="s">
        <v>236</v>
      </c>
      <c r="C130" s="95" t="s">
        <v>39</v>
      </c>
      <c r="D130" s="94" t="s">
        <v>0</v>
      </c>
      <c r="E130" s="94">
        <v>1</v>
      </c>
      <c r="F130" s="94">
        <f>G133</f>
        <v>136.88</v>
      </c>
      <c r="G130" s="96">
        <f>TRUNC(E130*F130,2)</f>
        <v>136.88</v>
      </c>
    </row>
    <row r="131" spans="1:7" s="16" customFormat="1" ht="30">
      <c r="A131" s="93"/>
      <c r="B131" s="94" t="s">
        <v>237</v>
      </c>
      <c r="C131" s="95" t="s">
        <v>40</v>
      </c>
      <c r="D131" s="94" t="s">
        <v>0</v>
      </c>
      <c r="E131" s="94">
        <v>1.1</v>
      </c>
      <c r="F131" s="94">
        <v>70.47</v>
      </c>
      <c r="G131" s="96">
        <f>TRUNC(E131*F131,2)</f>
        <v>77.51</v>
      </c>
    </row>
    <row r="132" spans="1:7" s="16" customFormat="1" ht="15.75">
      <c r="A132" s="93"/>
      <c r="B132" s="94" t="s">
        <v>222</v>
      </c>
      <c r="C132" s="95" t="s">
        <v>1</v>
      </c>
      <c r="D132" s="94" t="s">
        <v>2</v>
      </c>
      <c r="E132" s="94">
        <v>2.5</v>
      </c>
      <c r="F132" s="94">
        <f>TRUNC(23.75,2)</f>
        <v>23.75</v>
      </c>
      <c r="G132" s="96">
        <f>TRUNC(E132*F132,2)</f>
        <v>59.37</v>
      </c>
    </row>
    <row r="133" spans="1:7" s="16" customFormat="1" ht="15.75">
      <c r="A133" s="93"/>
      <c r="B133" s="94"/>
      <c r="C133" s="95"/>
      <c r="D133" s="94"/>
      <c r="E133" s="94" t="s">
        <v>3</v>
      </c>
      <c r="F133" s="94"/>
      <c r="G133" s="96">
        <f>TRUNC(SUM(G131:G132),2)</f>
        <v>136.88</v>
      </c>
    </row>
    <row r="134" spans="1:7" s="16" customFormat="1" ht="45">
      <c r="A134" s="91" t="s">
        <v>125</v>
      </c>
      <c r="B134" s="91" t="s">
        <v>238</v>
      </c>
      <c r="C134" s="92" t="s">
        <v>192</v>
      </c>
      <c r="D134" s="91" t="s">
        <v>32</v>
      </c>
      <c r="E134" s="91">
        <v>2</v>
      </c>
      <c r="F134" s="91">
        <f>TRUNC(F135,2)</f>
        <v>80.11</v>
      </c>
      <c r="G134" s="91">
        <f>TRUNC((E134*F134),2)</f>
        <v>160.22</v>
      </c>
    </row>
    <row r="135" spans="1:7" s="16" customFormat="1" ht="45">
      <c r="A135" s="93"/>
      <c r="B135" s="94" t="s">
        <v>238</v>
      </c>
      <c r="C135" s="95" t="s">
        <v>192</v>
      </c>
      <c r="D135" s="94" t="s">
        <v>32</v>
      </c>
      <c r="E135" s="94">
        <v>1</v>
      </c>
      <c r="F135" s="94">
        <f>G141</f>
        <v>80.11</v>
      </c>
      <c r="G135" s="96">
        <f aca="true" t="shared" si="5" ref="G135:G140">TRUNC(E135*F135,2)</f>
        <v>80.11</v>
      </c>
    </row>
    <row r="136" spans="1:7" s="16" customFormat="1" ht="30">
      <c r="A136" s="93"/>
      <c r="B136" s="94" t="s">
        <v>239</v>
      </c>
      <c r="C136" s="95" t="s">
        <v>240</v>
      </c>
      <c r="D136" s="94" t="s">
        <v>32</v>
      </c>
      <c r="E136" s="94">
        <v>1</v>
      </c>
      <c r="F136" s="94">
        <v>59.64</v>
      </c>
      <c r="G136" s="96">
        <f t="shared" si="5"/>
        <v>59.64</v>
      </c>
    </row>
    <row r="137" spans="1:7" s="16" customFormat="1" ht="30">
      <c r="A137" s="93"/>
      <c r="B137" s="94" t="s">
        <v>241</v>
      </c>
      <c r="C137" s="95" t="s">
        <v>191</v>
      </c>
      <c r="D137" s="94" t="s">
        <v>32</v>
      </c>
      <c r="E137" s="94">
        <v>2</v>
      </c>
      <c r="F137" s="94">
        <v>3.9</v>
      </c>
      <c r="G137" s="96">
        <f t="shared" si="5"/>
        <v>7.8</v>
      </c>
    </row>
    <row r="138" spans="1:7" s="16" customFormat="1" ht="45">
      <c r="A138" s="93"/>
      <c r="B138" s="94" t="s">
        <v>242</v>
      </c>
      <c r="C138" s="95" t="s">
        <v>255</v>
      </c>
      <c r="D138" s="94" t="s">
        <v>32</v>
      </c>
      <c r="E138" s="94">
        <v>0.092</v>
      </c>
      <c r="F138" s="94">
        <v>30.01</v>
      </c>
      <c r="G138" s="96">
        <f t="shared" si="5"/>
        <v>2.76</v>
      </c>
    </row>
    <row r="139" spans="1:7" s="16" customFormat="1" ht="30">
      <c r="A139" s="93"/>
      <c r="B139" s="94" t="s">
        <v>234</v>
      </c>
      <c r="C139" s="95" t="s">
        <v>35</v>
      </c>
      <c r="D139" s="94" t="s">
        <v>2</v>
      </c>
      <c r="E139" s="94">
        <v>0.185</v>
      </c>
      <c r="F139" s="94">
        <f>TRUNC(29.46,2)</f>
        <v>29.46</v>
      </c>
      <c r="G139" s="96">
        <f t="shared" si="5"/>
        <v>5.45</v>
      </c>
    </row>
    <row r="140" spans="1:7" s="16" customFormat="1" ht="30">
      <c r="A140" s="93"/>
      <c r="B140" s="94" t="s">
        <v>243</v>
      </c>
      <c r="C140" s="95" t="s">
        <v>42</v>
      </c>
      <c r="D140" s="94" t="s">
        <v>2</v>
      </c>
      <c r="E140" s="94">
        <v>0.185</v>
      </c>
      <c r="F140" s="94">
        <f>TRUNC(24.13,2)</f>
        <v>24.13</v>
      </c>
      <c r="G140" s="96">
        <f t="shared" si="5"/>
        <v>4.46</v>
      </c>
    </row>
    <row r="141" spans="1:7" s="16" customFormat="1" ht="15.75">
      <c r="A141" s="93"/>
      <c r="B141" s="94"/>
      <c r="C141" s="95"/>
      <c r="D141" s="94"/>
      <c r="E141" s="94" t="s">
        <v>3</v>
      </c>
      <c r="F141" s="94"/>
      <c r="G141" s="96">
        <f>TRUNC(SUM(G136:G140),2)</f>
        <v>80.11</v>
      </c>
    </row>
    <row r="142" spans="1:7" s="16" customFormat="1" ht="45">
      <c r="A142" s="91" t="s">
        <v>193</v>
      </c>
      <c r="B142" s="91" t="s">
        <v>257</v>
      </c>
      <c r="C142" s="92" t="s">
        <v>258</v>
      </c>
      <c r="D142" s="91" t="s">
        <v>32</v>
      </c>
      <c r="E142" s="91">
        <v>1</v>
      </c>
      <c r="F142" s="91">
        <f>TRUNC(F143,2)</f>
        <v>78.13</v>
      </c>
      <c r="G142" s="91">
        <f>TRUNC((E142*F142),2)</f>
        <v>78.13</v>
      </c>
    </row>
    <row r="143" spans="1:7" s="16" customFormat="1" ht="45">
      <c r="A143" s="93"/>
      <c r="B143" s="94" t="s">
        <v>257</v>
      </c>
      <c r="C143" s="95" t="s">
        <v>258</v>
      </c>
      <c r="D143" s="94" t="s">
        <v>32</v>
      </c>
      <c r="E143" s="94">
        <v>1</v>
      </c>
      <c r="F143" s="94">
        <f>G149</f>
        <v>78.13</v>
      </c>
      <c r="G143" s="96">
        <f aca="true" t="shared" si="6" ref="G143:G148">TRUNC(E143*F143,2)</f>
        <v>78.13</v>
      </c>
    </row>
    <row r="144" spans="1:7" s="16" customFormat="1" ht="30">
      <c r="A144" s="93"/>
      <c r="B144" s="94" t="s">
        <v>259</v>
      </c>
      <c r="C144" s="95" t="s">
        <v>260</v>
      </c>
      <c r="D144" s="94" t="s">
        <v>32</v>
      </c>
      <c r="E144" s="94">
        <v>1</v>
      </c>
      <c r="F144" s="94">
        <v>65.36</v>
      </c>
      <c r="G144" s="96">
        <f t="shared" si="6"/>
        <v>65.36</v>
      </c>
    </row>
    <row r="145" spans="1:7" s="16" customFormat="1" ht="45">
      <c r="A145" s="93"/>
      <c r="B145" s="94" t="s">
        <v>242</v>
      </c>
      <c r="C145" s="95" t="s">
        <v>255</v>
      </c>
      <c r="D145" s="94" t="s">
        <v>32</v>
      </c>
      <c r="E145" s="94">
        <v>0.046</v>
      </c>
      <c r="F145" s="94">
        <v>30.01</v>
      </c>
      <c r="G145" s="96">
        <f t="shared" si="6"/>
        <v>1.38</v>
      </c>
    </row>
    <row r="146" spans="1:7" s="16" customFormat="1" ht="30">
      <c r="A146" s="93"/>
      <c r="B146" s="94" t="s">
        <v>241</v>
      </c>
      <c r="C146" s="95" t="s">
        <v>191</v>
      </c>
      <c r="D146" s="94" t="s">
        <v>32</v>
      </c>
      <c r="E146" s="94">
        <v>1</v>
      </c>
      <c r="F146" s="94">
        <v>3.9</v>
      </c>
      <c r="G146" s="96">
        <f t="shared" si="6"/>
        <v>3.9</v>
      </c>
    </row>
    <row r="147" spans="1:7" s="16" customFormat="1" ht="30">
      <c r="A147" s="93"/>
      <c r="B147" s="94" t="s">
        <v>234</v>
      </c>
      <c r="C147" s="95" t="s">
        <v>35</v>
      </c>
      <c r="D147" s="94" t="s">
        <v>2</v>
      </c>
      <c r="E147" s="94">
        <v>0.14</v>
      </c>
      <c r="F147" s="94">
        <f>TRUNC(29.46,2)</f>
        <v>29.46</v>
      </c>
      <c r="G147" s="96">
        <f t="shared" si="6"/>
        <v>4.12</v>
      </c>
    </row>
    <row r="148" spans="1:7" s="16" customFormat="1" ht="30">
      <c r="A148" s="93"/>
      <c r="B148" s="94" t="s">
        <v>243</v>
      </c>
      <c r="C148" s="95" t="s">
        <v>42</v>
      </c>
      <c r="D148" s="94" t="s">
        <v>2</v>
      </c>
      <c r="E148" s="94">
        <v>0.14</v>
      </c>
      <c r="F148" s="94">
        <f>TRUNC(24.13,2)</f>
        <v>24.13</v>
      </c>
      <c r="G148" s="96">
        <f t="shared" si="6"/>
        <v>3.37</v>
      </c>
    </row>
    <row r="149" spans="1:7" s="16" customFormat="1" ht="15.75">
      <c r="A149" s="93"/>
      <c r="B149" s="94"/>
      <c r="C149" s="95"/>
      <c r="D149" s="94"/>
      <c r="E149" s="94" t="s">
        <v>3</v>
      </c>
      <c r="F149" s="94"/>
      <c r="G149" s="96">
        <f>TRUNC(SUM(G144:G148),2)</f>
        <v>78.13</v>
      </c>
    </row>
    <row r="150" spans="1:7" s="16" customFormat="1" ht="60">
      <c r="A150" s="91" t="s">
        <v>194</v>
      </c>
      <c r="B150" s="92" t="s">
        <v>265</v>
      </c>
      <c r="C150" s="92" t="s">
        <v>266</v>
      </c>
      <c r="D150" s="91" t="s">
        <v>30</v>
      </c>
      <c r="E150" s="91">
        <v>66</v>
      </c>
      <c r="F150" s="91">
        <f>TRUNC(F151+F154,2)</f>
        <v>41.19</v>
      </c>
      <c r="G150" s="91">
        <f>TRUNC((E150*F150),2)</f>
        <v>2718.54</v>
      </c>
    </row>
    <row r="151" spans="1:7" s="16" customFormat="1" ht="45">
      <c r="A151" s="93"/>
      <c r="B151" s="94" t="s">
        <v>163</v>
      </c>
      <c r="C151" s="95" t="s">
        <v>29</v>
      </c>
      <c r="D151" s="94" t="s">
        <v>30</v>
      </c>
      <c r="E151" s="94">
        <v>1</v>
      </c>
      <c r="F151" s="94">
        <f>G153</f>
        <v>37.44</v>
      </c>
      <c r="G151" s="96">
        <f>TRUNC(E151*F151,2)</f>
        <v>37.44</v>
      </c>
    </row>
    <row r="152" spans="1:7" s="16" customFormat="1" ht="30">
      <c r="A152" s="93"/>
      <c r="B152" s="94" t="s">
        <v>31</v>
      </c>
      <c r="C152" s="95" t="s">
        <v>121</v>
      </c>
      <c r="D152" s="94" t="s">
        <v>30</v>
      </c>
      <c r="E152" s="94">
        <v>1</v>
      </c>
      <c r="F152" s="94">
        <v>37.4412</v>
      </c>
      <c r="G152" s="96">
        <f>TRUNC(E152*F152,2)</f>
        <v>37.44</v>
      </c>
    </row>
    <row r="153" spans="1:7" s="16" customFormat="1" ht="15.75">
      <c r="A153" s="93"/>
      <c r="B153" s="94"/>
      <c r="C153" s="95"/>
      <c r="D153" s="94"/>
      <c r="E153" s="94" t="s">
        <v>3</v>
      </c>
      <c r="F153" s="94"/>
      <c r="G153" s="96">
        <f>TRUNC(SUM(G152:G152),2)</f>
        <v>37.44</v>
      </c>
    </row>
    <row r="154" spans="1:7" s="16" customFormat="1" ht="45">
      <c r="A154" s="93"/>
      <c r="B154" s="94" t="s">
        <v>261</v>
      </c>
      <c r="C154" s="95" t="s">
        <v>262</v>
      </c>
      <c r="D154" s="94" t="s">
        <v>30</v>
      </c>
      <c r="E154" s="94">
        <v>1</v>
      </c>
      <c r="F154" s="94">
        <f>G157</f>
        <v>3.75</v>
      </c>
      <c r="G154" s="96">
        <f>TRUNC(E154*F154,2)</f>
        <v>3.75</v>
      </c>
    </row>
    <row r="155" spans="1:7" s="16" customFormat="1" ht="15.75">
      <c r="A155" s="93"/>
      <c r="B155" s="94" t="s">
        <v>263</v>
      </c>
      <c r="C155" s="95" t="s">
        <v>264</v>
      </c>
      <c r="D155" s="94" t="s">
        <v>2</v>
      </c>
      <c r="E155" s="94">
        <v>0.0753</v>
      </c>
      <c r="F155" s="94">
        <f>TRUNC(28.33,2)</f>
        <v>28.33</v>
      </c>
      <c r="G155" s="96">
        <f>TRUNC(E155*F155,2)</f>
        <v>2.13</v>
      </c>
    </row>
    <row r="156" spans="1:7" s="16" customFormat="1" ht="15.75">
      <c r="A156" s="93"/>
      <c r="B156" s="94" t="s">
        <v>249</v>
      </c>
      <c r="C156" s="95" t="s">
        <v>1</v>
      </c>
      <c r="D156" s="94" t="s">
        <v>2</v>
      </c>
      <c r="E156" s="94">
        <v>0.0753</v>
      </c>
      <c r="F156" s="94">
        <f>TRUNC(21.54,2)</f>
        <v>21.54</v>
      </c>
      <c r="G156" s="96">
        <f>TRUNC(E156*F156,2)</f>
        <v>1.62</v>
      </c>
    </row>
    <row r="157" spans="1:7" s="16" customFormat="1" ht="15.75">
      <c r="A157" s="93"/>
      <c r="B157" s="94"/>
      <c r="C157" s="95"/>
      <c r="D157" s="94"/>
      <c r="E157" s="94" t="s">
        <v>3</v>
      </c>
      <c r="F157" s="94"/>
      <c r="G157" s="96">
        <f>TRUNC(SUM(G155:G156),2)</f>
        <v>3.75</v>
      </c>
    </row>
    <row r="158" spans="1:8" s="16" customFormat="1" ht="105">
      <c r="A158" s="97" t="s">
        <v>195</v>
      </c>
      <c r="B158" s="97" t="s">
        <v>205</v>
      </c>
      <c r="C158" s="98" t="s">
        <v>206</v>
      </c>
      <c r="D158" s="97" t="s">
        <v>32</v>
      </c>
      <c r="E158" s="97">
        <v>2</v>
      </c>
      <c r="F158" s="97">
        <f>TRUNC(F159,2)</f>
        <v>658.13</v>
      </c>
      <c r="G158" s="97">
        <f>TRUNC((E158*F158),2)</f>
        <v>1316.26</v>
      </c>
      <c r="H158" s="16" t="e">
        <f>#REF!*1.2*2+#REF!*1.2*1.8+((#REF!+#REF!-E41)*1.3)</f>
        <v>#REF!</v>
      </c>
    </row>
    <row r="159" spans="1:7" s="16" customFormat="1" ht="90">
      <c r="A159" s="99"/>
      <c r="B159" s="100" t="s">
        <v>196</v>
      </c>
      <c r="C159" s="101" t="s">
        <v>197</v>
      </c>
      <c r="D159" s="100" t="s">
        <v>32</v>
      </c>
      <c r="E159" s="100">
        <v>1</v>
      </c>
      <c r="F159" s="100">
        <f>G165</f>
        <v>658.13</v>
      </c>
      <c r="G159" s="102">
        <f aca="true" t="shared" si="7" ref="G159:G164">TRUNC(E159*F159,2)</f>
        <v>658.13</v>
      </c>
    </row>
    <row r="160" spans="1:7" s="16" customFormat="1" ht="30">
      <c r="A160" s="103"/>
      <c r="B160" s="104" t="s">
        <v>130</v>
      </c>
      <c r="C160" s="105" t="s">
        <v>131</v>
      </c>
      <c r="D160" s="104" t="s">
        <v>2</v>
      </c>
      <c r="E160" s="104">
        <v>5.15</v>
      </c>
      <c r="F160" s="104">
        <v>16.55</v>
      </c>
      <c r="G160" s="106">
        <f t="shared" si="7"/>
        <v>85.23</v>
      </c>
    </row>
    <row r="161" spans="1:7" s="16" customFormat="1" ht="15.75">
      <c r="A161" s="103"/>
      <c r="B161" s="104" t="s">
        <v>139</v>
      </c>
      <c r="C161" s="105" t="s">
        <v>140</v>
      </c>
      <c r="D161" s="104" t="s">
        <v>2</v>
      </c>
      <c r="E161" s="104">
        <v>5.15</v>
      </c>
      <c r="F161" s="104">
        <v>22.86</v>
      </c>
      <c r="G161" s="106">
        <f t="shared" si="7"/>
        <v>117.72</v>
      </c>
    </row>
    <row r="162" spans="1:7" s="16" customFormat="1" ht="15.75">
      <c r="A162" s="103"/>
      <c r="B162" s="104" t="s">
        <v>198</v>
      </c>
      <c r="C162" s="105" t="s">
        <v>199</v>
      </c>
      <c r="D162" s="104" t="s">
        <v>24</v>
      </c>
      <c r="E162" s="104">
        <v>2.88</v>
      </c>
      <c r="F162" s="104">
        <v>28.8061</v>
      </c>
      <c r="G162" s="106">
        <f t="shared" si="7"/>
        <v>82.96</v>
      </c>
    </row>
    <row r="163" spans="1:7" s="16" customFormat="1" ht="15.75">
      <c r="A163" s="103"/>
      <c r="B163" s="104"/>
      <c r="C163" s="105" t="s">
        <v>204</v>
      </c>
      <c r="D163" s="104" t="s">
        <v>24</v>
      </c>
      <c r="E163" s="104">
        <v>2.88</v>
      </c>
      <c r="F163" s="104">
        <f>F166</f>
        <v>127.39</v>
      </c>
      <c r="G163" s="106">
        <f t="shared" si="7"/>
        <v>366.88</v>
      </c>
    </row>
    <row r="164" spans="1:7" s="16" customFormat="1" ht="15.75">
      <c r="A164" s="103"/>
      <c r="B164" s="104" t="s">
        <v>200</v>
      </c>
      <c r="C164" s="105" t="s">
        <v>201</v>
      </c>
      <c r="D164" s="104" t="s">
        <v>0</v>
      </c>
      <c r="E164" s="104">
        <v>0.0189</v>
      </c>
      <c r="F164" s="104">
        <v>282.8312</v>
      </c>
      <c r="G164" s="106">
        <f t="shared" si="7"/>
        <v>5.34</v>
      </c>
    </row>
    <row r="165" spans="1:7" s="16" customFormat="1" ht="15.75">
      <c r="A165" s="103"/>
      <c r="B165" s="104"/>
      <c r="C165" s="105"/>
      <c r="D165" s="104"/>
      <c r="E165" s="104" t="s">
        <v>3</v>
      </c>
      <c r="F165" s="104"/>
      <c r="G165" s="106">
        <f>TRUNC(SUM(G160:G164),2)</f>
        <v>658.13</v>
      </c>
    </row>
    <row r="166" spans="1:7" s="16" customFormat="1" ht="90">
      <c r="A166" s="103"/>
      <c r="B166" s="104" t="s">
        <v>202</v>
      </c>
      <c r="C166" s="105" t="s">
        <v>203</v>
      </c>
      <c r="D166" s="104" t="s">
        <v>24</v>
      </c>
      <c r="E166" s="104">
        <v>1</v>
      </c>
      <c r="F166" s="104">
        <f>G172</f>
        <v>127.39</v>
      </c>
      <c r="G166" s="106">
        <f aca="true" t="shared" si="8" ref="G166:G171">TRUNC(E166*F166,2)</f>
        <v>127.39</v>
      </c>
    </row>
    <row r="167" spans="1:7" s="16" customFormat="1" ht="30">
      <c r="A167" s="103"/>
      <c r="B167" s="104" t="s">
        <v>115</v>
      </c>
      <c r="C167" s="105" t="s">
        <v>116</v>
      </c>
      <c r="D167" s="104" t="s">
        <v>32</v>
      </c>
      <c r="E167" s="104">
        <v>13</v>
      </c>
      <c r="F167" s="104">
        <v>3.35</v>
      </c>
      <c r="G167" s="106">
        <f t="shared" si="8"/>
        <v>43.55</v>
      </c>
    </row>
    <row r="168" spans="1:7" s="16" customFormat="1" ht="30">
      <c r="A168" s="103"/>
      <c r="B168" s="104" t="s">
        <v>130</v>
      </c>
      <c r="C168" s="105" t="s">
        <v>131</v>
      </c>
      <c r="D168" s="104" t="s">
        <v>2</v>
      </c>
      <c r="E168" s="104">
        <v>1.03</v>
      </c>
      <c r="F168" s="104">
        <v>16.55</v>
      </c>
      <c r="G168" s="106">
        <f t="shared" si="8"/>
        <v>17.04</v>
      </c>
    </row>
    <row r="169" spans="1:7" s="16" customFormat="1" ht="15.75">
      <c r="A169" s="103"/>
      <c r="B169" s="104" t="s">
        <v>139</v>
      </c>
      <c r="C169" s="105" t="s">
        <v>140</v>
      </c>
      <c r="D169" s="104" t="s">
        <v>2</v>
      </c>
      <c r="E169" s="104">
        <v>1.03</v>
      </c>
      <c r="F169" s="104">
        <v>22.86</v>
      </c>
      <c r="G169" s="106">
        <f t="shared" si="8"/>
        <v>23.54</v>
      </c>
    </row>
    <row r="170" spans="1:7" s="16" customFormat="1" ht="15.75">
      <c r="A170" s="103"/>
      <c r="B170" s="104" t="s">
        <v>160</v>
      </c>
      <c r="C170" s="105" t="s">
        <v>161</v>
      </c>
      <c r="D170" s="104" t="s">
        <v>0</v>
      </c>
      <c r="E170" s="104">
        <v>0.11</v>
      </c>
      <c r="F170" s="104">
        <v>323.8556</v>
      </c>
      <c r="G170" s="106">
        <f t="shared" si="8"/>
        <v>35.62</v>
      </c>
    </row>
    <row r="171" spans="1:7" s="16" customFormat="1" ht="30">
      <c r="A171" s="103"/>
      <c r="B171" s="104" t="s">
        <v>189</v>
      </c>
      <c r="C171" s="105" t="s">
        <v>190</v>
      </c>
      <c r="D171" s="104" t="s">
        <v>0</v>
      </c>
      <c r="E171" s="104">
        <v>0.02</v>
      </c>
      <c r="F171" s="104">
        <v>382.4632</v>
      </c>
      <c r="G171" s="106">
        <f t="shared" si="8"/>
        <v>7.64</v>
      </c>
    </row>
    <row r="172" spans="1:7" s="16" customFormat="1" ht="15.75">
      <c r="A172" s="134"/>
      <c r="B172" s="135"/>
      <c r="C172" s="136"/>
      <c r="D172" s="135"/>
      <c r="E172" s="135" t="s">
        <v>3</v>
      </c>
      <c r="F172" s="135"/>
      <c r="G172" s="137">
        <f>TRUNC(SUM(G167:G171),2)</f>
        <v>127.39</v>
      </c>
    </row>
    <row r="173" spans="1:8" s="16" customFormat="1" ht="15.75">
      <c r="A173" s="132" t="s">
        <v>207</v>
      </c>
      <c r="B173" s="132" t="s">
        <v>244</v>
      </c>
      <c r="C173" s="133" t="s">
        <v>47</v>
      </c>
      <c r="D173" s="132" t="s">
        <v>0</v>
      </c>
      <c r="E173" s="132">
        <f>H173</f>
        <v>85.60099999999996</v>
      </c>
      <c r="F173" s="132">
        <f>TRUNC(F174,2)</f>
        <v>30.18</v>
      </c>
      <c r="G173" s="132">
        <f>TRUNC((E173*F173),2)</f>
        <v>2583.43</v>
      </c>
      <c r="H173" s="16">
        <f>(E23*1.2*2)+(E30*1.2*1.8)+((E35+E39-E43)*1.3)</f>
        <v>85.60099999999996</v>
      </c>
    </row>
    <row r="174" spans="1:7" s="16" customFormat="1" ht="15.75">
      <c r="A174" s="99"/>
      <c r="B174" s="100" t="s">
        <v>244</v>
      </c>
      <c r="C174" s="101" t="s">
        <v>47</v>
      </c>
      <c r="D174" s="100" t="s">
        <v>0</v>
      </c>
      <c r="E174" s="100">
        <v>1</v>
      </c>
      <c r="F174" s="100">
        <f>G177</f>
        <v>30.18</v>
      </c>
      <c r="G174" s="102">
        <f>TRUNC(E174*F174,2)</f>
        <v>30.18</v>
      </c>
    </row>
    <row r="175" spans="1:7" s="16" customFormat="1" ht="15.75">
      <c r="A175" s="103"/>
      <c r="B175" s="104" t="s">
        <v>222</v>
      </c>
      <c r="C175" s="105" t="s">
        <v>1</v>
      </c>
      <c r="D175" s="104" t="s">
        <v>2</v>
      </c>
      <c r="E175" s="104">
        <v>0.7</v>
      </c>
      <c r="F175" s="104">
        <f>TRUNC(23.75,2)</f>
        <v>23.75</v>
      </c>
      <c r="G175" s="106">
        <f>TRUNC(E175*F175,2)</f>
        <v>16.62</v>
      </c>
    </row>
    <row r="176" spans="1:7" s="16" customFormat="1" ht="60">
      <c r="A176" s="103"/>
      <c r="B176" s="104" t="s">
        <v>245</v>
      </c>
      <c r="C176" s="105" t="s">
        <v>246</v>
      </c>
      <c r="D176" s="104" t="s">
        <v>48</v>
      </c>
      <c r="E176" s="104">
        <v>0.25</v>
      </c>
      <c r="F176" s="104">
        <f>TRUNC(54.24,2)</f>
        <v>54.24</v>
      </c>
      <c r="G176" s="106">
        <f>TRUNC(E176*F176,2)</f>
        <v>13.56</v>
      </c>
    </row>
    <row r="177" spans="1:7" s="16" customFormat="1" ht="15.75">
      <c r="A177" s="103"/>
      <c r="B177" s="104"/>
      <c r="C177" s="105"/>
      <c r="D177" s="104"/>
      <c r="E177" s="104" t="s">
        <v>3</v>
      </c>
      <c r="F177" s="104"/>
      <c r="G177" s="106">
        <f>TRUNC(SUM(G175:G176),2)</f>
        <v>30.18</v>
      </c>
    </row>
    <row r="178" spans="1:8" s="16" customFormat="1" ht="30">
      <c r="A178" s="91" t="s">
        <v>215</v>
      </c>
      <c r="B178" s="91" t="s">
        <v>247</v>
      </c>
      <c r="C178" s="92" t="s">
        <v>49</v>
      </c>
      <c r="D178" s="91" t="s">
        <v>45</v>
      </c>
      <c r="E178" s="91">
        <f>E173*8.7</f>
        <v>744.7286999999995</v>
      </c>
      <c r="F178" s="91">
        <f>TRUNC(F179,2)</f>
        <v>0.85</v>
      </c>
      <c r="G178" s="91">
        <f>TRUNC((E178*F178),2)</f>
        <v>633.01</v>
      </c>
      <c r="H178" s="107">
        <f>E173*8.7</f>
        <v>744.7286999999995</v>
      </c>
    </row>
    <row r="179" spans="1:7" s="16" customFormat="1" ht="30">
      <c r="A179" s="93"/>
      <c r="B179" s="94" t="s">
        <v>247</v>
      </c>
      <c r="C179" s="95" t="s">
        <v>44</v>
      </c>
      <c r="D179" s="94" t="s">
        <v>45</v>
      </c>
      <c r="E179" s="94">
        <v>1</v>
      </c>
      <c r="F179" s="94">
        <f>G181</f>
        <v>0.85</v>
      </c>
      <c r="G179" s="96">
        <f>E179*F179</f>
        <v>0.85</v>
      </c>
    </row>
    <row r="180" spans="1:7" s="16" customFormat="1" ht="60">
      <c r="A180" s="93"/>
      <c r="B180" s="94" t="s">
        <v>248</v>
      </c>
      <c r="C180" s="95" t="s">
        <v>123</v>
      </c>
      <c r="D180" s="94" t="s">
        <v>37</v>
      </c>
      <c r="E180" s="94">
        <v>0.0045</v>
      </c>
      <c r="F180" s="94">
        <f>TRUNC(190.44,2)</f>
        <v>190.44</v>
      </c>
      <c r="G180" s="96">
        <f>TRUNC(E180*F180,2)</f>
        <v>0.85</v>
      </c>
    </row>
    <row r="181" spans="1:7" s="16" customFormat="1" ht="15.75">
      <c r="A181" s="93"/>
      <c r="B181" s="94"/>
      <c r="C181" s="95"/>
      <c r="D181" s="94"/>
      <c r="E181" s="94" t="s">
        <v>3</v>
      </c>
      <c r="F181" s="94"/>
      <c r="G181" s="96">
        <f>SUM(G180:G180)</f>
        <v>0.85</v>
      </c>
    </row>
    <row r="182" spans="1:7" s="16" customFormat="1" ht="75">
      <c r="A182" s="91" t="s">
        <v>216</v>
      </c>
      <c r="B182" s="91" t="s">
        <v>164</v>
      </c>
      <c r="C182" s="92" t="s">
        <v>51</v>
      </c>
      <c r="D182" s="91" t="s">
        <v>0</v>
      </c>
      <c r="E182" s="91">
        <f>E173</f>
        <v>85.60099999999996</v>
      </c>
      <c r="F182" s="91">
        <f>TRUNC(F183,2)</f>
        <v>54</v>
      </c>
      <c r="G182" s="91">
        <f>TRUNC((E182*F182),2)</f>
        <v>4622.45</v>
      </c>
    </row>
    <row r="183" spans="1:8" s="16" customFormat="1" ht="75">
      <c r="A183" s="108"/>
      <c r="B183" s="109" t="s">
        <v>164</v>
      </c>
      <c r="C183" s="110" t="s">
        <v>51</v>
      </c>
      <c r="D183" s="111" t="s">
        <v>0</v>
      </c>
      <c r="E183" s="112">
        <v>1</v>
      </c>
      <c r="F183" s="111">
        <v>54</v>
      </c>
      <c r="G183" s="113">
        <v>54</v>
      </c>
      <c r="H183" s="114"/>
    </row>
    <row r="184" spans="1:8" s="16" customFormat="1" ht="31.5">
      <c r="A184" s="115"/>
      <c r="B184" s="116" t="s">
        <v>52</v>
      </c>
      <c r="C184" s="117" t="s">
        <v>53</v>
      </c>
      <c r="D184" s="118" t="s">
        <v>0</v>
      </c>
      <c r="E184" s="119">
        <v>1</v>
      </c>
      <c r="F184" s="118">
        <v>54</v>
      </c>
      <c r="G184" s="120">
        <v>54</v>
      </c>
      <c r="H184" s="121"/>
    </row>
    <row r="185" spans="1:8" s="16" customFormat="1" ht="15.75">
      <c r="A185" s="122"/>
      <c r="B185" s="123"/>
      <c r="C185" s="124"/>
      <c r="D185" s="125"/>
      <c r="E185" s="126" t="s">
        <v>3</v>
      </c>
      <c r="F185" s="125"/>
      <c r="G185" s="127">
        <v>54</v>
      </c>
      <c r="H185" s="114"/>
    </row>
    <row r="186" spans="1:7" ht="15.75">
      <c r="A186" s="80" t="s">
        <v>126</v>
      </c>
      <c r="B186" s="12"/>
      <c r="C186" s="13"/>
      <c r="D186" s="162" t="s">
        <v>27</v>
      </c>
      <c r="E186" s="163"/>
      <c r="F186" s="164"/>
      <c r="G186" s="15">
        <f>G12+G23+G30+G35+G39+G43+G47+G72+G87+G94+G100+G107+G114+G122+G129+G134+G142+G150+G158+G173+G178+G182</f>
        <v>75173.10999999997</v>
      </c>
    </row>
  </sheetData>
  <sheetProtection/>
  <mergeCells count="14">
    <mergeCell ref="H10:I10"/>
    <mergeCell ref="D186:F186"/>
    <mergeCell ref="A10:A11"/>
    <mergeCell ref="B10:B11"/>
    <mergeCell ref="C10:C11"/>
    <mergeCell ref="D10:D11"/>
    <mergeCell ref="E10:E11"/>
    <mergeCell ref="F10:G10"/>
    <mergeCell ref="E3:G3"/>
    <mergeCell ref="E4:G4"/>
    <mergeCell ref="E5:G5"/>
    <mergeCell ref="E6:G6"/>
    <mergeCell ref="E7:G7"/>
    <mergeCell ref="A9:G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2" r:id="rId2"/>
  <headerFooter>
    <oddFooter>&amp;C&amp;A&amp;RPágina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="70" zoomScaleSheetLayoutView="70" zoomScalePageLayoutView="0" workbookViewId="0" topLeftCell="A1">
      <selection activeCell="E3" sqref="E3:G3"/>
    </sheetView>
  </sheetViews>
  <sheetFormatPr defaultColWidth="9.140625" defaultRowHeight="15"/>
  <cols>
    <col min="1" max="1" width="9.140625" style="4" customWidth="1"/>
    <col min="2" max="2" width="17.140625" style="4" customWidth="1"/>
    <col min="3" max="3" width="77.8515625" style="2" customWidth="1"/>
    <col min="4" max="5" width="9.140625" style="4" customWidth="1"/>
    <col min="6" max="6" width="11.140625" style="4" bestFit="1" customWidth="1"/>
    <col min="7" max="7" width="13.57421875" style="4" bestFit="1" customWidth="1"/>
    <col min="8" max="16384" width="9.140625" style="4" customWidth="1"/>
  </cols>
  <sheetData>
    <row r="1" spans="1:7" s="37" customFormat="1" ht="15.75">
      <c r="A1" s="19"/>
      <c r="B1" s="20"/>
      <c r="C1" s="21" t="s">
        <v>63</v>
      </c>
      <c r="D1" s="22"/>
      <c r="E1" s="23"/>
      <c r="F1" s="24"/>
      <c r="G1" s="24"/>
    </row>
    <row r="2" spans="1:7" s="37" customFormat="1" ht="15.75">
      <c r="A2" s="25"/>
      <c r="B2" s="26"/>
      <c r="C2" s="27" t="s">
        <v>64</v>
      </c>
      <c r="D2" s="28"/>
      <c r="E2" s="140" t="s">
        <v>251</v>
      </c>
      <c r="F2" s="30"/>
      <c r="G2" s="31"/>
    </row>
    <row r="3" spans="1:7" s="37" customFormat="1" ht="15.75">
      <c r="A3" s="25"/>
      <c r="B3" s="26"/>
      <c r="C3" s="27" t="s">
        <v>65</v>
      </c>
      <c r="D3" s="28"/>
      <c r="E3" s="156" t="s">
        <v>275</v>
      </c>
      <c r="F3" s="156"/>
      <c r="G3" s="156"/>
    </row>
    <row r="4" spans="1:7" s="37" customFormat="1" ht="15.75">
      <c r="A4" s="25"/>
      <c r="B4" s="26"/>
      <c r="C4" s="32" t="s">
        <v>69</v>
      </c>
      <c r="D4" s="38"/>
      <c r="E4" s="157" t="s">
        <v>90</v>
      </c>
      <c r="F4" s="157"/>
      <c r="G4" s="157"/>
    </row>
    <row r="5" spans="1:7" s="37" customFormat="1" ht="15.75">
      <c r="A5" s="25"/>
      <c r="B5" s="26"/>
      <c r="C5" s="32" t="s">
        <v>70</v>
      </c>
      <c r="D5" s="38"/>
      <c r="E5" s="157" t="s">
        <v>91</v>
      </c>
      <c r="F5" s="157"/>
      <c r="G5" s="157"/>
    </row>
    <row r="6" spans="1:7" s="37" customFormat="1" ht="15.75">
      <c r="A6" s="25"/>
      <c r="B6" s="26"/>
      <c r="C6" s="34" t="s">
        <v>274</v>
      </c>
      <c r="D6" s="33"/>
      <c r="E6" s="158" t="s">
        <v>71</v>
      </c>
      <c r="F6" s="158"/>
      <c r="G6" s="158"/>
    </row>
    <row r="7" spans="1:7" s="37" customFormat="1" ht="15.75">
      <c r="A7" s="25"/>
      <c r="B7" s="26"/>
      <c r="C7" s="73" t="s">
        <v>217</v>
      </c>
      <c r="D7" s="33"/>
      <c r="E7" s="158" t="s">
        <v>92</v>
      </c>
      <c r="F7" s="158"/>
      <c r="G7" s="158"/>
    </row>
    <row r="8" spans="1:7" s="37" customFormat="1" ht="15.75">
      <c r="A8" s="35"/>
      <c r="B8" s="36"/>
      <c r="D8" s="39"/>
      <c r="E8" s="40"/>
      <c r="F8" s="41"/>
      <c r="G8" s="42"/>
    </row>
    <row r="9" spans="1:7" s="37" customFormat="1" ht="15" customHeight="1">
      <c r="A9" s="159" t="s">
        <v>62</v>
      </c>
      <c r="B9" s="160"/>
      <c r="C9" s="160"/>
      <c r="D9" s="160"/>
      <c r="E9" s="160"/>
      <c r="F9" s="160"/>
      <c r="G9" s="160"/>
    </row>
    <row r="10" spans="1:7" s="16" customFormat="1" ht="15.75">
      <c r="A10" s="165" t="s">
        <v>55</v>
      </c>
      <c r="B10" s="165" t="s">
        <v>56</v>
      </c>
      <c r="C10" s="167" t="s">
        <v>66</v>
      </c>
      <c r="D10" s="169" t="s">
        <v>32</v>
      </c>
      <c r="E10" s="170" t="s">
        <v>67</v>
      </c>
      <c r="F10" s="172" t="s">
        <v>68</v>
      </c>
      <c r="G10" s="172"/>
    </row>
    <row r="11" spans="1:7" s="16" customFormat="1" ht="15.75">
      <c r="A11" s="166"/>
      <c r="B11" s="166"/>
      <c r="C11" s="168"/>
      <c r="D11" s="166"/>
      <c r="E11" s="171"/>
      <c r="F11" s="17" t="s">
        <v>60</v>
      </c>
      <c r="G11" s="18" t="s">
        <v>3</v>
      </c>
    </row>
    <row r="12" spans="1:7" s="81" customFormat="1" ht="45">
      <c r="A12" s="5" t="s">
        <v>6</v>
      </c>
      <c r="B12" s="5" t="s">
        <v>165</v>
      </c>
      <c r="C12" s="6" t="s">
        <v>166</v>
      </c>
      <c r="D12" s="5" t="s">
        <v>24</v>
      </c>
      <c r="E12" s="146">
        <v>6</v>
      </c>
      <c r="F12" s="5">
        <f>TRUNC('MEMÓRIA ONERADA '!F12,2)</f>
        <v>504.27</v>
      </c>
      <c r="G12" s="5">
        <f aca="true" t="shared" si="0" ref="G12:G33">TRUNC((E12*F12),2)</f>
        <v>3025.62</v>
      </c>
    </row>
    <row r="13" spans="1:7" s="81" customFormat="1" ht="30">
      <c r="A13" s="5" t="s">
        <v>7</v>
      </c>
      <c r="B13" s="5" t="s">
        <v>221</v>
      </c>
      <c r="C13" s="6" t="s">
        <v>181</v>
      </c>
      <c r="D13" s="5" t="s">
        <v>0</v>
      </c>
      <c r="E13" s="146">
        <v>0.57</v>
      </c>
      <c r="F13" s="5">
        <f>TRUNC('MEMÓRIA ONERADA '!F23,2)</f>
        <v>152.24</v>
      </c>
      <c r="G13" s="5">
        <f t="shared" si="0"/>
        <v>86.77</v>
      </c>
    </row>
    <row r="14" spans="1:7" s="81" customFormat="1" ht="60">
      <c r="A14" s="5" t="s">
        <v>8</v>
      </c>
      <c r="B14" s="5" t="s">
        <v>182</v>
      </c>
      <c r="C14" s="6" t="s">
        <v>183</v>
      </c>
      <c r="D14" s="5" t="s">
        <v>0</v>
      </c>
      <c r="E14" s="146">
        <v>0.4</v>
      </c>
      <c r="F14" s="5">
        <f>TRUNC('MEMÓRIA ONERADA '!F30,2)</f>
        <v>169.66</v>
      </c>
      <c r="G14" s="5">
        <f t="shared" si="0"/>
        <v>67.86</v>
      </c>
    </row>
    <row r="15" spans="1:7" s="81" customFormat="1" ht="60">
      <c r="A15" s="5" t="s">
        <v>9</v>
      </c>
      <c r="B15" s="5" t="s">
        <v>129</v>
      </c>
      <c r="C15" s="6" t="s">
        <v>185</v>
      </c>
      <c r="D15" s="5" t="s">
        <v>0</v>
      </c>
      <c r="E15" s="146">
        <v>92.74</v>
      </c>
      <c r="F15" s="5">
        <f>TRUNC('MEMÓRIA ONERADA '!F35,2)</f>
        <v>57.95</v>
      </c>
      <c r="G15" s="5">
        <f t="shared" si="0"/>
        <v>5374.28</v>
      </c>
    </row>
    <row r="16" spans="1:7" s="81" customFormat="1" ht="60">
      <c r="A16" s="5" t="s">
        <v>28</v>
      </c>
      <c r="B16" s="5" t="s">
        <v>132</v>
      </c>
      <c r="C16" s="6" t="s">
        <v>93</v>
      </c>
      <c r="D16" s="5" t="s">
        <v>0</v>
      </c>
      <c r="E16" s="146">
        <v>35.1</v>
      </c>
      <c r="F16" s="5">
        <f>TRUNC('MEMÓRIA ONERADA '!F39,2)</f>
        <v>73.29</v>
      </c>
      <c r="G16" s="5">
        <f t="shared" si="0"/>
        <v>2572.47</v>
      </c>
    </row>
    <row r="17" spans="1:7" s="81" customFormat="1" ht="45">
      <c r="A17" s="5" t="s">
        <v>36</v>
      </c>
      <c r="B17" s="5" t="s">
        <v>133</v>
      </c>
      <c r="C17" s="6" t="s">
        <v>26</v>
      </c>
      <c r="D17" s="5" t="s">
        <v>0</v>
      </c>
      <c r="E17" s="146">
        <v>63.71</v>
      </c>
      <c r="F17" s="5">
        <f>TRUNC('MEMÓRIA ONERADA '!F43,2)</f>
        <v>35.79</v>
      </c>
      <c r="G17" s="5">
        <f t="shared" si="0"/>
        <v>2280.18</v>
      </c>
    </row>
    <row r="18" spans="1:7" s="81" customFormat="1" ht="105">
      <c r="A18" s="5" t="s">
        <v>38</v>
      </c>
      <c r="B18" s="5" t="s">
        <v>103</v>
      </c>
      <c r="C18" s="6" t="s">
        <v>184</v>
      </c>
      <c r="D18" s="5" t="s">
        <v>0</v>
      </c>
      <c r="E18" s="5">
        <v>11.129999999999999</v>
      </c>
      <c r="F18" s="5">
        <f>TRUNC('MEMÓRIA ONERADA '!F47,2)</f>
        <v>3017.32</v>
      </c>
      <c r="G18" s="5">
        <f t="shared" si="0"/>
        <v>33582.77</v>
      </c>
    </row>
    <row r="19" spans="1:7" s="81" customFormat="1" ht="90">
      <c r="A19" s="5" t="s">
        <v>41</v>
      </c>
      <c r="B19" s="5" t="s">
        <v>153</v>
      </c>
      <c r="C19" s="6" t="s">
        <v>104</v>
      </c>
      <c r="D19" s="5" t="s">
        <v>24</v>
      </c>
      <c r="E19" s="5">
        <v>21.51</v>
      </c>
      <c r="F19" s="5">
        <f>TRUNC('MEMÓRIA ONERADA '!F72,2)</f>
        <v>231</v>
      </c>
      <c r="G19" s="5">
        <f t="shared" si="0"/>
        <v>4968.81</v>
      </c>
    </row>
    <row r="20" spans="1:7" s="131" customFormat="1" ht="75">
      <c r="A20" s="128" t="s">
        <v>43</v>
      </c>
      <c r="B20" s="128" t="s">
        <v>156</v>
      </c>
      <c r="C20" s="129" t="s">
        <v>208</v>
      </c>
      <c r="D20" s="128" t="s">
        <v>24</v>
      </c>
      <c r="E20" s="128">
        <v>32.73</v>
      </c>
      <c r="F20" s="128">
        <f>TRUNC('MEMÓRIA ONERADA '!F87,2)</f>
        <v>95.34</v>
      </c>
      <c r="G20" s="128">
        <f t="shared" si="0"/>
        <v>3120.47</v>
      </c>
    </row>
    <row r="21" spans="1:7" s="131" customFormat="1" ht="75">
      <c r="A21" s="128" t="s">
        <v>46</v>
      </c>
      <c r="B21" s="128" t="s">
        <v>159</v>
      </c>
      <c r="C21" s="129" t="s">
        <v>209</v>
      </c>
      <c r="D21" s="128" t="s">
        <v>24</v>
      </c>
      <c r="E21" s="128">
        <v>32.73</v>
      </c>
      <c r="F21" s="128">
        <f>TRUNC('MEMÓRIA ONERADA '!F94,2)</f>
        <v>68.08</v>
      </c>
      <c r="G21" s="128">
        <f t="shared" si="0"/>
        <v>2228.25</v>
      </c>
    </row>
    <row r="22" spans="1:7" s="131" customFormat="1" ht="45">
      <c r="A22" s="128" t="s">
        <v>50</v>
      </c>
      <c r="B22" s="128" t="s">
        <v>210</v>
      </c>
      <c r="C22" s="129" t="s">
        <v>214</v>
      </c>
      <c r="D22" s="128" t="s">
        <v>24</v>
      </c>
      <c r="E22" s="128">
        <v>5.76</v>
      </c>
      <c r="F22" s="128">
        <f>TRUNC('MEMÓRIA ONERADA '!F100,2)</f>
        <v>31.91</v>
      </c>
      <c r="G22" s="128">
        <f t="shared" si="0"/>
        <v>183.8</v>
      </c>
    </row>
    <row r="23" spans="1:7" s="131" customFormat="1" ht="45">
      <c r="A23" s="128" t="s">
        <v>54</v>
      </c>
      <c r="B23" s="128" t="s">
        <v>226</v>
      </c>
      <c r="C23" s="129" t="s">
        <v>118</v>
      </c>
      <c r="D23" s="128" t="s">
        <v>24</v>
      </c>
      <c r="E23" s="128">
        <v>69.94</v>
      </c>
      <c r="F23" s="128">
        <f>TRUNC('MEMÓRIA ONERADA '!F107,2)</f>
        <v>45.37</v>
      </c>
      <c r="G23" s="128">
        <f t="shared" si="0"/>
        <v>3173.17</v>
      </c>
    </row>
    <row r="24" spans="1:7" s="131" customFormat="1" ht="30">
      <c r="A24" s="128" t="s">
        <v>120</v>
      </c>
      <c r="B24" s="128" t="s">
        <v>227</v>
      </c>
      <c r="C24" s="129" t="s">
        <v>33</v>
      </c>
      <c r="D24" s="128" t="s">
        <v>32</v>
      </c>
      <c r="E24" s="128">
        <v>2</v>
      </c>
      <c r="F24" s="128">
        <f>TRUNC('MEMÓRIA ONERADA '!F114,2)</f>
        <v>14.18</v>
      </c>
      <c r="G24" s="128">
        <f t="shared" si="0"/>
        <v>28.36</v>
      </c>
    </row>
    <row r="25" spans="1:7" s="131" customFormat="1" ht="90">
      <c r="A25" s="128" t="s">
        <v>122</v>
      </c>
      <c r="B25" s="128" t="s">
        <v>187</v>
      </c>
      <c r="C25" s="129" t="s">
        <v>186</v>
      </c>
      <c r="D25" s="128" t="s">
        <v>32</v>
      </c>
      <c r="E25" s="128">
        <v>5</v>
      </c>
      <c r="F25" s="128">
        <f>TRUNC('MEMÓRIA ONERADA '!F122,2)</f>
        <v>305.3</v>
      </c>
      <c r="G25" s="128">
        <f t="shared" si="0"/>
        <v>1526.5</v>
      </c>
    </row>
    <row r="26" spans="1:7" s="131" customFormat="1" ht="15.75">
      <c r="A26" s="128" t="s">
        <v>124</v>
      </c>
      <c r="B26" s="128" t="s">
        <v>162</v>
      </c>
      <c r="C26" s="129" t="s">
        <v>39</v>
      </c>
      <c r="D26" s="128" t="s">
        <v>0</v>
      </c>
      <c r="E26" s="128">
        <v>6.15</v>
      </c>
      <c r="F26" s="128">
        <f>TRUNC('MEMÓRIA ONERADA '!F129,2)</f>
        <v>136.88</v>
      </c>
      <c r="G26" s="128">
        <f t="shared" si="0"/>
        <v>841.81</v>
      </c>
    </row>
    <row r="27" spans="1:7" s="131" customFormat="1" ht="45">
      <c r="A27" s="128" t="s">
        <v>125</v>
      </c>
      <c r="B27" s="128" t="s">
        <v>238</v>
      </c>
      <c r="C27" s="129" t="s">
        <v>192</v>
      </c>
      <c r="D27" s="128" t="s">
        <v>32</v>
      </c>
      <c r="E27" s="128">
        <v>2</v>
      </c>
      <c r="F27" s="128">
        <f>TRUNC('MEMÓRIA ONERADA '!F134,2)</f>
        <v>80.11</v>
      </c>
      <c r="G27" s="128">
        <f t="shared" si="0"/>
        <v>160.22</v>
      </c>
    </row>
    <row r="28" spans="1:7" s="131" customFormat="1" ht="45">
      <c r="A28" s="128" t="s">
        <v>193</v>
      </c>
      <c r="B28" s="128" t="s">
        <v>257</v>
      </c>
      <c r="C28" s="129" t="s">
        <v>258</v>
      </c>
      <c r="D28" s="128" t="s">
        <v>32</v>
      </c>
      <c r="E28" s="128">
        <v>1</v>
      </c>
      <c r="F28" s="128">
        <f>TRUNC('MEMÓRIA ONERADA '!F142,2)</f>
        <v>78.13</v>
      </c>
      <c r="G28" s="128">
        <f t="shared" si="0"/>
        <v>78.13</v>
      </c>
    </row>
    <row r="29" spans="1:7" s="131" customFormat="1" ht="60">
      <c r="A29" s="128" t="s">
        <v>194</v>
      </c>
      <c r="B29" s="154" t="s">
        <v>265</v>
      </c>
      <c r="C29" s="129" t="s">
        <v>266</v>
      </c>
      <c r="D29" s="128" t="s">
        <v>30</v>
      </c>
      <c r="E29" s="128">
        <v>66</v>
      </c>
      <c r="F29" s="128">
        <f>TRUNC('MEMÓRIA ONERADA '!F150,2)</f>
        <v>41.19</v>
      </c>
      <c r="G29" s="128">
        <f t="shared" si="0"/>
        <v>2718.54</v>
      </c>
    </row>
    <row r="30" spans="1:7" s="131" customFormat="1" ht="105">
      <c r="A30" s="128" t="s">
        <v>195</v>
      </c>
      <c r="B30" s="128" t="s">
        <v>205</v>
      </c>
      <c r="C30" s="129" t="s">
        <v>206</v>
      </c>
      <c r="D30" s="128" t="s">
        <v>32</v>
      </c>
      <c r="E30" s="128">
        <v>2</v>
      </c>
      <c r="F30" s="128">
        <f>TRUNC('MEMÓRIA ONERADA '!F158,2)</f>
        <v>658.13</v>
      </c>
      <c r="G30" s="128">
        <f t="shared" si="0"/>
        <v>1316.26</v>
      </c>
    </row>
    <row r="31" spans="1:7" s="131" customFormat="1" ht="15.75">
      <c r="A31" s="147" t="s">
        <v>207</v>
      </c>
      <c r="B31" s="147" t="s">
        <v>244</v>
      </c>
      <c r="C31" s="148" t="s">
        <v>47</v>
      </c>
      <c r="D31" s="147" t="s">
        <v>0</v>
      </c>
      <c r="E31" s="147">
        <v>85.6</v>
      </c>
      <c r="F31" s="147">
        <f>TRUNC('MEMÓRIA ONERADA '!F173,2)</f>
        <v>30.18</v>
      </c>
      <c r="G31" s="147">
        <f t="shared" si="0"/>
        <v>2583.4</v>
      </c>
    </row>
    <row r="32" spans="1:7" s="131" customFormat="1" ht="30">
      <c r="A32" s="128" t="s">
        <v>215</v>
      </c>
      <c r="B32" s="128" t="s">
        <v>247</v>
      </c>
      <c r="C32" s="129" t="s">
        <v>49</v>
      </c>
      <c r="D32" s="128" t="s">
        <v>45</v>
      </c>
      <c r="E32" s="128">
        <v>744.73</v>
      </c>
      <c r="F32" s="128">
        <f>TRUNC('MEMÓRIA ONERADA '!F178,2)</f>
        <v>0.85</v>
      </c>
      <c r="G32" s="128">
        <f t="shared" si="0"/>
        <v>633.02</v>
      </c>
    </row>
    <row r="33" spans="1:7" s="131" customFormat="1" ht="75">
      <c r="A33" s="128" t="s">
        <v>216</v>
      </c>
      <c r="B33" s="128" t="s">
        <v>164</v>
      </c>
      <c r="C33" s="129" t="s">
        <v>51</v>
      </c>
      <c r="D33" s="128" t="s">
        <v>0</v>
      </c>
      <c r="E33" s="128">
        <v>85.6</v>
      </c>
      <c r="F33" s="128">
        <f>TRUNC('MEMÓRIA ONERADA '!F182,2)</f>
        <v>54</v>
      </c>
      <c r="G33" s="128">
        <f t="shared" si="0"/>
        <v>4622.4</v>
      </c>
    </row>
    <row r="34" spans="1:7" s="81" customFormat="1" ht="15.75">
      <c r="A34" s="82" t="s">
        <v>126</v>
      </c>
      <c r="B34" s="5"/>
      <c r="C34" s="6"/>
      <c r="D34" s="173" t="s">
        <v>27</v>
      </c>
      <c r="E34" s="174"/>
      <c r="F34" s="175"/>
      <c r="G34" s="7">
        <f>G12+G13+G14+G15+G16+G17+G18+G19+G20+G21+G22+G23+G24+G25+G26+G27+G28+G29+G30+G31+G32+G33</f>
        <v>75173.08999999998</v>
      </c>
    </row>
    <row r="35" spans="1:7" s="81" customFormat="1" ht="15.75">
      <c r="A35" s="82" t="s">
        <v>126</v>
      </c>
      <c r="B35" s="5"/>
      <c r="C35" s="176" t="s">
        <v>250</v>
      </c>
      <c r="D35" s="177"/>
      <c r="E35" s="177"/>
      <c r="F35" s="178"/>
      <c r="G35" s="7">
        <f>G34*1.2247</f>
        <v>92064.48332299996</v>
      </c>
    </row>
    <row r="36" s="81" customFormat="1" ht="15">
      <c r="C36" s="149"/>
    </row>
  </sheetData>
  <sheetProtection/>
  <mergeCells count="14">
    <mergeCell ref="E3:G3"/>
    <mergeCell ref="E4:G4"/>
    <mergeCell ref="E5:G5"/>
    <mergeCell ref="E6:G6"/>
    <mergeCell ref="E7:G7"/>
    <mergeCell ref="A9:G9"/>
    <mergeCell ref="D34:F34"/>
    <mergeCell ref="C35:F35"/>
    <mergeCell ref="A10:A11"/>
    <mergeCell ref="B10:B11"/>
    <mergeCell ref="C10:C11"/>
    <mergeCell ref="D10:D11"/>
    <mergeCell ref="E10:E11"/>
    <mergeCell ref="F10:G1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52" r:id="rId2"/>
  <headerFooter>
    <oddFooter>&amp;C&amp;A&amp;RPágina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70" zoomScaleSheetLayoutView="70" zoomScalePageLayoutView="0" workbookViewId="0" topLeftCell="A1">
      <selection activeCell="G12" sqref="G12"/>
    </sheetView>
  </sheetViews>
  <sheetFormatPr defaultColWidth="9.140625" defaultRowHeight="15"/>
  <cols>
    <col min="1" max="1" width="9.140625" style="4" customWidth="1"/>
    <col min="2" max="2" width="21.421875" style="153" customWidth="1"/>
    <col min="3" max="3" width="78.00390625" style="2" customWidth="1"/>
    <col min="4" max="4" width="11.00390625" style="4" customWidth="1"/>
    <col min="5" max="5" width="10.140625" style="4" bestFit="1" customWidth="1"/>
    <col min="6" max="6" width="11.28125" style="4" bestFit="1" customWidth="1"/>
    <col min="7" max="8" width="13.7109375" style="4" bestFit="1" customWidth="1"/>
    <col min="9" max="9" width="15.8515625" style="4" bestFit="1" customWidth="1"/>
    <col min="10" max="16384" width="9.140625" style="4" customWidth="1"/>
  </cols>
  <sheetData>
    <row r="1" spans="1:9" s="37" customFormat="1" ht="15.75">
      <c r="A1" s="19"/>
      <c r="B1" s="150"/>
      <c r="C1" s="21" t="s">
        <v>63</v>
      </c>
      <c r="D1" s="22"/>
      <c r="E1" s="23"/>
      <c r="F1" s="86"/>
      <c r="G1" s="24"/>
      <c r="H1" s="24"/>
      <c r="I1" s="87"/>
    </row>
    <row r="2" spans="1:9" s="37" customFormat="1" ht="15.75">
      <c r="A2" s="25"/>
      <c r="B2" s="151"/>
      <c r="C2" s="27" t="s">
        <v>64</v>
      </c>
      <c r="D2" s="28"/>
      <c r="E2" s="29"/>
      <c r="F2" s="141" t="s">
        <v>251</v>
      </c>
      <c r="G2" s="30"/>
      <c r="H2" s="31"/>
      <c r="I2" s="88"/>
    </row>
    <row r="3" spans="1:9" s="37" customFormat="1" ht="15.75">
      <c r="A3" s="25"/>
      <c r="B3" s="151"/>
      <c r="C3" s="27" t="s">
        <v>65</v>
      </c>
      <c r="D3" s="28"/>
      <c r="F3" s="185" t="s">
        <v>276</v>
      </c>
      <c r="G3" s="156"/>
      <c r="H3" s="156"/>
      <c r="I3" s="186"/>
    </row>
    <row r="4" spans="1:9" s="37" customFormat="1" ht="15.75" customHeight="1">
      <c r="A4" s="25"/>
      <c r="B4" s="151"/>
      <c r="C4" s="32" t="s">
        <v>69</v>
      </c>
      <c r="D4" s="38"/>
      <c r="F4" s="187" t="s">
        <v>90</v>
      </c>
      <c r="G4" s="188"/>
      <c r="H4" s="188"/>
      <c r="I4" s="189"/>
    </row>
    <row r="5" spans="1:9" s="37" customFormat="1" ht="15.75" customHeight="1">
      <c r="A5" s="25"/>
      <c r="B5" s="151"/>
      <c r="C5" s="32" t="s">
        <v>70</v>
      </c>
      <c r="D5" s="38"/>
      <c r="F5" s="187" t="s">
        <v>91</v>
      </c>
      <c r="G5" s="188"/>
      <c r="H5" s="188"/>
      <c r="I5" s="189"/>
    </row>
    <row r="6" spans="1:9" s="37" customFormat="1" ht="15.75">
      <c r="A6" s="25"/>
      <c r="B6" s="151"/>
      <c r="C6" s="34" t="s">
        <v>277</v>
      </c>
      <c r="D6" s="33"/>
      <c r="F6" s="190" t="s">
        <v>71</v>
      </c>
      <c r="G6" s="158"/>
      <c r="H6" s="158"/>
      <c r="I6" s="191"/>
    </row>
    <row r="7" spans="1:9" s="37" customFormat="1" ht="15.75">
      <c r="A7" s="25"/>
      <c r="B7" s="151"/>
      <c r="C7" s="73" t="s">
        <v>256</v>
      </c>
      <c r="D7" s="33"/>
      <c r="F7" s="190" t="s">
        <v>92</v>
      </c>
      <c r="G7" s="158"/>
      <c r="H7" s="158"/>
      <c r="I7" s="191"/>
    </row>
    <row r="8" spans="1:9" s="37" customFormat="1" ht="15.75">
      <c r="A8" s="25"/>
      <c r="B8" s="83"/>
      <c r="D8" s="84"/>
      <c r="E8" s="85"/>
      <c r="F8" s="89"/>
      <c r="G8" s="41"/>
      <c r="H8" s="42"/>
      <c r="I8" s="90"/>
    </row>
    <row r="9" spans="1:9" s="37" customFormat="1" ht="15" customHeight="1">
      <c r="A9" s="182" t="s">
        <v>72</v>
      </c>
      <c r="B9" s="182"/>
      <c r="C9" s="182"/>
      <c r="D9" s="182"/>
      <c r="E9" s="182"/>
      <c r="F9" s="182"/>
      <c r="G9" s="182"/>
      <c r="H9" s="182"/>
      <c r="I9" s="182"/>
    </row>
    <row r="10" spans="1:9" s="16" customFormat="1" ht="15.75">
      <c r="A10" s="183" t="s">
        <v>55</v>
      </c>
      <c r="B10" s="183" t="s">
        <v>56</v>
      </c>
      <c r="C10" s="184" t="s">
        <v>57</v>
      </c>
      <c r="D10" s="183" t="s">
        <v>58</v>
      </c>
      <c r="E10" s="183" t="s">
        <v>59</v>
      </c>
      <c r="F10" s="183" t="s">
        <v>61</v>
      </c>
      <c r="G10" s="183"/>
      <c r="H10" s="183"/>
      <c r="I10" s="183"/>
    </row>
    <row r="11" spans="1:9" s="16" customFormat="1" ht="15.75">
      <c r="A11" s="183"/>
      <c r="B11" s="183"/>
      <c r="C11" s="184"/>
      <c r="D11" s="183"/>
      <c r="E11" s="183"/>
      <c r="F11" s="138" t="s">
        <v>60</v>
      </c>
      <c r="G11" s="138" t="s">
        <v>127</v>
      </c>
      <c r="H11" s="138" t="s">
        <v>3</v>
      </c>
      <c r="I11" s="138" t="s">
        <v>128</v>
      </c>
    </row>
    <row r="12" spans="1:10" s="131" customFormat="1" ht="45">
      <c r="A12" s="128" t="str">
        <f>'PLANILHA SEM BDI'!A12</f>
        <v>1.1</v>
      </c>
      <c r="B12" s="152" t="str">
        <f>'PLANILHA SEM BDI'!B12</f>
        <v>02.020.0001-0</v>
      </c>
      <c r="C12" s="129" t="str">
        <f>'PLANILHA SEM BDI'!C12</f>
        <v>PLACA DE IDENTIFICACAO DE OBRA PUBLICA,INCLUSIVE PINTURA E SUPORTES DE MADEIRA.FORNECIMENTO E COLOCACAO (OBS.:3% - DESGASTE DE FERRAMENTAS E EPI).</v>
      </c>
      <c r="D12" s="128" t="str">
        <f>'PLANILHA SEM BDI'!D12</f>
        <v>M2</v>
      </c>
      <c r="E12" s="155">
        <f>'PLANILHA SEM BDI'!E12</f>
        <v>6</v>
      </c>
      <c r="F12" s="128">
        <f>'PLANILHA SEM BDI'!F12</f>
        <v>504.27</v>
      </c>
      <c r="G12" s="139">
        <f>TRUNC((F12*1.2247),2)</f>
        <v>617.57</v>
      </c>
      <c r="H12" s="139">
        <f>TRUNC((E12*F12),2)</f>
        <v>3025.62</v>
      </c>
      <c r="I12" s="139">
        <f>TRUNC((E12*G12),2)</f>
        <v>3705.42</v>
      </c>
      <c r="J12" s="130"/>
    </row>
    <row r="13" spans="1:9" s="131" customFormat="1" ht="30">
      <c r="A13" s="128" t="str">
        <f>'PLANILHA SEM BDI'!A13</f>
        <v>1.2</v>
      </c>
      <c r="B13" s="152" t="str">
        <f>'PLANILHA SEM BDI'!B13</f>
        <v>So00000097629</v>
      </c>
      <c r="C13" s="129" t="str">
        <f>'PLANILHA SEM BDI'!C13</f>
        <v>DEMOLIÇÃO DE LAJES, DE FORMA MECANIZADA COM MARTELETE, SEM REAPROVEITAMENTO. AF_12/2017</v>
      </c>
      <c r="D13" s="128" t="str">
        <f>'PLANILHA SEM BDI'!D13</f>
        <v>M3</v>
      </c>
      <c r="E13" s="155">
        <f>'PLANILHA SEM BDI'!E13</f>
        <v>0.57</v>
      </c>
      <c r="F13" s="128">
        <f>'PLANILHA SEM BDI'!F13</f>
        <v>152.24</v>
      </c>
      <c r="G13" s="139">
        <f aca="true" t="shared" si="0" ref="G13:G33">TRUNC((F13*1.2247),2)</f>
        <v>186.44</v>
      </c>
      <c r="H13" s="139">
        <f aca="true" t="shared" si="1" ref="H13:H33">TRUNC((E13*F13),2)</f>
        <v>86.77</v>
      </c>
      <c r="I13" s="139">
        <f aca="true" t="shared" si="2" ref="I13:I33">TRUNC((E13*G13),2)</f>
        <v>106.27</v>
      </c>
    </row>
    <row r="14" spans="1:10" s="131" customFormat="1" ht="60">
      <c r="A14" s="128" t="str">
        <f>'PLANILHA SEM BDI'!A14</f>
        <v>1.3</v>
      </c>
      <c r="B14" s="152" t="str">
        <f>'PLANILHA SEM BDI'!B14</f>
        <v>05.001.0025-0</v>
      </c>
      <c r="C14" s="129" t="str">
        <f>'PLANILHA SEM BDI'!C14</f>
        <v>DEMOLICAO MANUAL DE ALVENARIA DE BLOCOS DE CONCRETO,INCLUSIVE EMPILHAMENTO LATERAL DENTRO DO CANTEIRO DE SERVICO (OBS.:3%-DESGASTE DE FERRAMENTAS E EPI).</v>
      </c>
      <c r="D14" s="128" t="str">
        <f>'PLANILHA SEM BDI'!D14</f>
        <v>M3</v>
      </c>
      <c r="E14" s="155">
        <f>'PLANILHA SEM BDI'!E14</f>
        <v>0.4</v>
      </c>
      <c r="F14" s="128">
        <f>'PLANILHA SEM BDI'!F14</f>
        <v>169.66</v>
      </c>
      <c r="G14" s="139">
        <f t="shared" si="0"/>
        <v>207.78</v>
      </c>
      <c r="H14" s="139">
        <f t="shared" si="1"/>
        <v>67.86</v>
      </c>
      <c r="I14" s="139">
        <f t="shared" si="2"/>
        <v>83.11</v>
      </c>
      <c r="J14" s="130"/>
    </row>
    <row r="15" spans="1:9" s="131" customFormat="1" ht="60">
      <c r="A15" s="128" t="str">
        <f>'PLANILHA SEM BDI'!A15</f>
        <v>1.4</v>
      </c>
      <c r="B15" s="152" t="str">
        <f>'PLANILHA SEM BDI'!B15</f>
        <v>03.001.0001-1</v>
      </c>
      <c r="C15" s="129" t="str">
        <f>'PLANILHA SEM BDI'!C15</f>
        <v>ESCAVACAO MANUAL DE VALA/CAVA EM MATERIAL DE 1ª CATEGORIA (A(AREIA,ARGILA OU PICARRA),ATE 1,50M DE PROFUNDIDADE,EXCLUSIVE ESCORAMENTO E ESGOTAMENTO .(TANQUES ,CINTAMENTO, valas de rede e caixas de inspeção)</v>
      </c>
      <c r="D15" s="128" t="str">
        <f>'PLANILHA SEM BDI'!D15</f>
        <v>M3</v>
      </c>
      <c r="E15" s="155">
        <f>'PLANILHA SEM BDI'!E15</f>
        <v>92.74</v>
      </c>
      <c r="F15" s="128">
        <f>'PLANILHA SEM BDI'!F15</f>
        <v>57.95</v>
      </c>
      <c r="G15" s="139">
        <f t="shared" si="0"/>
        <v>70.97</v>
      </c>
      <c r="H15" s="139">
        <f t="shared" si="1"/>
        <v>5374.28</v>
      </c>
      <c r="I15" s="139">
        <f t="shared" si="2"/>
        <v>6581.75</v>
      </c>
    </row>
    <row r="16" spans="1:9" s="131" customFormat="1" ht="60">
      <c r="A16" s="128" t="str">
        <f>'PLANILHA SEM BDI'!A16</f>
        <v>1.5</v>
      </c>
      <c r="B16" s="152" t="str">
        <f>'PLANILHA SEM BDI'!B16</f>
        <v>03.001.0002-1</v>
      </c>
      <c r="C16" s="129" t="str">
        <f>'PLANILHA SEM BDI'!C16</f>
        <v>ESCAVACAO MANUAL DE VALA/CAVA EM MATERIAL DE 1ª CATEGORIA (AREIA,ARGILA OU PICARRA),ENTRE 1,50 E 3,00M DE PROFUNDIDADE,EXCLUSIVE ESCORAMENTO E ESGOTAMENTO . (TANQUES)</v>
      </c>
      <c r="D16" s="128" t="str">
        <f>'PLANILHA SEM BDI'!D16</f>
        <v>M3</v>
      </c>
      <c r="E16" s="155">
        <f>'PLANILHA SEM BDI'!E16</f>
        <v>35.1</v>
      </c>
      <c r="F16" s="128">
        <f>'PLANILHA SEM BDI'!F16</f>
        <v>73.29</v>
      </c>
      <c r="G16" s="139">
        <f t="shared" si="0"/>
        <v>89.75</v>
      </c>
      <c r="H16" s="139">
        <f t="shared" si="1"/>
        <v>2572.47</v>
      </c>
      <c r="I16" s="139">
        <f t="shared" si="2"/>
        <v>3150.22</v>
      </c>
    </row>
    <row r="17" spans="1:9" s="131" customFormat="1" ht="45">
      <c r="A17" s="128" t="str">
        <f>'PLANILHA SEM BDI'!A17</f>
        <v>1.6</v>
      </c>
      <c r="B17" s="152" t="str">
        <f>'PLANILHA SEM BDI'!B17</f>
        <v>03.013.0001-1</v>
      </c>
      <c r="C17" s="129" t="str">
        <f>'PLANILHA SEM BDI'!C17</f>
        <v>REATERRO DE VALA/CAVA COMPACTADA A MACO,EM CAMADAS DE 30CM DE ESPESSURA MAXIMA,COM MATERIAL DE BOA QUALIDADE,EXCLUSIVE ESTE.</v>
      </c>
      <c r="D17" s="128" t="str">
        <f>'PLANILHA SEM BDI'!D17</f>
        <v>M3</v>
      </c>
      <c r="E17" s="155">
        <f>'PLANILHA SEM BDI'!E17</f>
        <v>63.71</v>
      </c>
      <c r="F17" s="128">
        <f>'PLANILHA SEM BDI'!F17</f>
        <v>35.79</v>
      </c>
      <c r="G17" s="139">
        <f t="shared" si="0"/>
        <v>43.83</v>
      </c>
      <c r="H17" s="139">
        <f t="shared" si="1"/>
        <v>2280.18</v>
      </c>
      <c r="I17" s="139">
        <f t="shared" si="2"/>
        <v>2792.4</v>
      </c>
    </row>
    <row r="18" spans="1:9" s="131" customFormat="1" ht="105">
      <c r="A18" s="128" t="str">
        <f>'PLANILHA SEM BDI'!A18</f>
        <v>1.7</v>
      </c>
      <c r="B18" s="152" t="str">
        <f>'PLANILHA SEM BDI'!B18</f>
        <v>11.013.0105-5</v>
      </c>
      <c r="C18" s="129" t="str">
        <f>'PLANILHA SEM BDI'!C18</f>
        <v>CONCRETO ARMADO,FCK=25MPA,INCLUINDO MATERIAIS PARA 1,00M3 DE CONCRETO, PREPARO COM BETONEIRA,ADENSADO E COLOCADO,12,00M2 DE AREA MOLDADA,FORMAS E ESCORAMENTO CONFORME ITENS 11.004.0022E 11.004.0035,80KG DE ACO CA-50,INCLUINDO MAO-DE-OBRA PARA CORTE,DOBRAGEM,MONTAGEM E COLOCACAO NAS FORMAS ( CINTAMENTO, PILARES e laje do fundo).</v>
      </c>
      <c r="D18" s="128" t="str">
        <f>'PLANILHA SEM BDI'!D18</f>
        <v>M3</v>
      </c>
      <c r="E18" s="155">
        <f>'PLANILHA SEM BDI'!E18</f>
        <v>11.129999999999999</v>
      </c>
      <c r="F18" s="128">
        <f>'PLANILHA SEM BDI'!F18</f>
        <v>3017.32</v>
      </c>
      <c r="G18" s="139">
        <f t="shared" si="0"/>
        <v>3695.31</v>
      </c>
      <c r="H18" s="139">
        <f t="shared" si="1"/>
        <v>33582.77</v>
      </c>
      <c r="I18" s="139">
        <f t="shared" si="2"/>
        <v>41128.8</v>
      </c>
    </row>
    <row r="19" spans="1:9" s="131" customFormat="1" ht="90">
      <c r="A19" s="128" t="str">
        <f>'PLANILHA SEM BDI'!A19</f>
        <v>1.8</v>
      </c>
      <c r="B19" s="152" t="str">
        <f>'PLANILHA SEM BDI'!B19</f>
        <v>11.031.0050-0</v>
      </c>
      <c r="C19" s="129" t="str">
        <f>'PLANILHA SEM BDI'!C19</f>
        <v>PRE-LAJE COM PAINEL TRELICADO,MACICA,PARA VAO DE 4,10 A 5,20M,CAPEAMENTO DE 9CM DE ESPESSURA,FCK=25MPA,SOBRECARGA DE 2,5 A 3,5KN/M2,INCLUSIVE ARMACAO NEGATIVA E POSITIVA ADICIONAL.FORNECIMENTO E ASSENTAMENTO (OBS.:3%-DESGASTE DE FERRAMENTAS E EPI).</v>
      </c>
      <c r="D19" s="128" t="str">
        <f>'PLANILHA SEM BDI'!D19</f>
        <v>M2</v>
      </c>
      <c r="E19" s="155">
        <f>'PLANILHA SEM BDI'!E19</f>
        <v>21.51</v>
      </c>
      <c r="F19" s="128">
        <f>'PLANILHA SEM BDI'!F19</f>
        <v>231</v>
      </c>
      <c r="G19" s="139">
        <f t="shared" si="0"/>
        <v>282.9</v>
      </c>
      <c r="H19" s="139">
        <f t="shared" si="1"/>
        <v>4968.81</v>
      </c>
      <c r="I19" s="139">
        <f t="shared" si="2"/>
        <v>6085.17</v>
      </c>
    </row>
    <row r="20" spans="1:9" s="131" customFormat="1" ht="75">
      <c r="A20" s="128" t="str">
        <f>'PLANILHA SEM BDI'!A20</f>
        <v>1.9</v>
      </c>
      <c r="B20" s="152" t="str">
        <f>'PLANILHA SEM BDI'!B20</f>
        <v>12.005.0080-0</v>
      </c>
      <c r="C20" s="129" t="str">
        <f>'PLANILHA SEM BDI'!C20</f>
        <v>ALVENARIA DE BLOCOS DE CONCRETO 20X20X40CM,ASSENTES COM ARGAMASSA DE CIMENTO E AREIA,NO TRACO 1:6,EM PAREDES DE 0,20M DE ESPESSURA,DE SUPERFICIE CORRIDA,ATE 3,00M DE ALTURA E MEDIDA PELA AREA REAL (PAREDES DOS TANQUES E RECOMPOSIÇÃO DO MURO).</v>
      </c>
      <c r="D20" s="128" t="str">
        <f>'PLANILHA SEM BDI'!D20</f>
        <v>M2</v>
      </c>
      <c r="E20" s="155">
        <f>'PLANILHA SEM BDI'!E20</f>
        <v>32.73</v>
      </c>
      <c r="F20" s="128">
        <f>'PLANILHA SEM BDI'!F20</f>
        <v>95.34</v>
      </c>
      <c r="G20" s="139">
        <f t="shared" si="0"/>
        <v>116.76</v>
      </c>
      <c r="H20" s="139">
        <f t="shared" si="1"/>
        <v>3120.47</v>
      </c>
      <c r="I20" s="139">
        <f t="shared" si="2"/>
        <v>3821.55</v>
      </c>
    </row>
    <row r="21" spans="1:9" s="131" customFormat="1" ht="75">
      <c r="A21" s="128" t="str">
        <f>'PLANILHA SEM BDI'!A21</f>
        <v>1.10</v>
      </c>
      <c r="B21" s="152" t="str">
        <f>'PLANILHA SEM BDI'!B21</f>
        <v>11.003.0072-0</v>
      </c>
      <c r="C21" s="129" t="str">
        <f>'PLANILHA SEM BDI'!C21</f>
        <v>PREENCHIMENTO COM CONCRETO DE 20MPA EM VAZIOS DE ALVENARIA DE BLOCOS DE CONCRETO 20X20X40CM,EM PAREDES DE 20CM,MEDIDO PE LA AREA REAL,EXCLUSIVE ARMACAO E A ALVENARIA (PAREDES DOS TANQUES E RECOMPOSIÇÃO DO MURO).</v>
      </c>
      <c r="D21" s="128" t="str">
        <f>'PLANILHA SEM BDI'!D21</f>
        <v>M2</v>
      </c>
      <c r="E21" s="155">
        <f>'PLANILHA SEM BDI'!E21</f>
        <v>32.73</v>
      </c>
      <c r="F21" s="128">
        <f>'PLANILHA SEM BDI'!F21</f>
        <v>68.08</v>
      </c>
      <c r="G21" s="139">
        <f t="shared" si="0"/>
        <v>83.37</v>
      </c>
      <c r="H21" s="139">
        <f t="shared" si="1"/>
        <v>2228.25</v>
      </c>
      <c r="I21" s="139">
        <f t="shared" si="2"/>
        <v>2728.7</v>
      </c>
    </row>
    <row r="22" spans="1:9" s="131" customFormat="1" ht="45">
      <c r="A22" s="128" t="str">
        <f>'PLANILHA SEM BDI'!A22</f>
        <v>1.11</v>
      </c>
      <c r="B22" s="152" t="str">
        <f>'PLANILHA SEM BDI'!B22</f>
        <v>13.001.0026-0</v>
      </c>
      <c r="C22" s="129" t="str">
        <f>'PLANILHA SEM BDI'!C22</f>
        <v>EMBOCO COM ARGAMASSA DE CIMENTO E AREIA,NO TRACO 1:3 COM 2CM DE ESPESSURA,INCLUSIVE CHAPISCO DE CIMENTO E AREIA,NO TRACO 0,04375 (RECOMPOSIÇÃO DO MURO).</v>
      </c>
      <c r="D22" s="128" t="str">
        <f>'PLANILHA SEM BDI'!D22</f>
        <v>M2</v>
      </c>
      <c r="E22" s="155">
        <f>'PLANILHA SEM BDI'!E22</f>
        <v>5.76</v>
      </c>
      <c r="F22" s="128">
        <f>'PLANILHA SEM BDI'!F22</f>
        <v>31.91</v>
      </c>
      <c r="G22" s="139">
        <f t="shared" si="0"/>
        <v>39.08</v>
      </c>
      <c r="H22" s="139">
        <f>TRUNC((E22*F22),2)</f>
        <v>183.8</v>
      </c>
      <c r="I22" s="139">
        <f>TRUNC((E22*G22),2)</f>
        <v>225.1</v>
      </c>
    </row>
    <row r="23" spans="1:9" s="131" customFormat="1" ht="45">
      <c r="A23" s="128" t="str">
        <f>'PLANILHA SEM BDI'!A23</f>
        <v>1.12</v>
      </c>
      <c r="B23" s="152" t="str">
        <f>'PLANILHA SEM BDI'!B23</f>
        <v>So00000098561</v>
      </c>
      <c r="C23" s="129" t="str">
        <f>'PLANILHA SEM BDI'!C23</f>
        <v>IMPERMEABILIZAÇÃO DE PAREDES COM ARGAMASSA DE CIMENTO E AREIA, COM ADITIVO IMPERMEABILIZANTE, E = 2CM. AF_06/2018</v>
      </c>
      <c r="D23" s="128" t="str">
        <f>'PLANILHA SEM BDI'!D23</f>
        <v>M2</v>
      </c>
      <c r="E23" s="155">
        <f>'PLANILHA SEM BDI'!E23</f>
        <v>69.94</v>
      </c>
      <c r="F23" s="128">
        <f>'PLANILHA SEM BDI'!F23</f>
        <v>45.37</v>
      </c>
      <c r="G23" s="139">
        <f t="shared" si="0"/>
        <v>55.56</v>
      </c>
      <c r="H23" s="139">
        <f t="shared" si="1"/>
        <v>3173.17</v>
      </c>
      <c r="I23" s="139">
        <f t="shared" si="2"/>
        <v>3885.86</v>
      </c>
    </row>
    <row r="24" spans="1:9" s="131" customFormat="1" ht="30">
      <c r="A24" s="128" t="str">
        <f>'PLANILHA SEM BDI'!A24</f>
        <v>1.13</v>
      </c>
      <c r="B24" s="152" t="str">
        <f>'PLANILHA SEM BDI'!B24</f>
        <v>So00000072295</v>
      </c>
      <c r="C24" s="129" t="str">
        <f>'PLANILHA SEM BDI'!C24</f>
        <v>CAP PVC ESGOTO 100MM (TAMPÃO) - FORNECIMENTO E INSTALAÇÃO</v>
      </c>
      <c r="D24" s="128" t="str">
        <f>'PLANILHA SEM BDI'!D24</f>
        <v>UN</v>
      </c>
      <c r="E24" s="155">
        <f>'PLANILHA SEM BDI'!E24</f>
        <v>2</v>
      </c>
      <c r="F24" s="128">
        <f>'PLANILHA SEM BDI'!F24</f>
        <v>14.18</v>
      </c>
      <c r="G24" s="139">
        <f t="shared" si="0"/>
        <v>17.36</v>
      </c>
      <c r="H24" s="139">
        <f t="shared" si="1"/>
        <v>28.36</v>
      </c>
      <c r="I24" s="139">
        <f t="shared" si="2"/>
        <v>34.72</v>
      </c>
    </row>
    <row r="25" spans="1:9" s="131" customFormat="1" ht="90">
      <c r="A25" s="128" t="str">
        <f>'PLANILHA SEM BDI'!A25</f>
        <v>1.14</v>
      </c>
      <c r="B25" s="152" t="str">
        <f>'PLANILHA SEM BDI'!B25</f>
        <v>06.016.0040-0</v>
      </c>
      <c r="C25" s="129" t="str">
        <f>'PLANILHA SEM BDI'!C25</f>
        <v>TAMPAO COMPLETO DE F§F§,ARTICULADO,DE 0,60M DE DIAMETRO,PADRAO PMRJ(RIOLUZ),TIPO LEVE,CARGA MINIMA PARA TESTE 6T,RESISTE NCIA MAXIMA DE ROMPIMENTO 7,5T E FLECHA RESIDUAL MAXIMA DE 17MM,ASSENTADO COM ARGAMASSA DE CIMENTO E AREIA,NO TRACO 1:4 EM VOLUME.FORNECIMENTO E ASSENTAMENTO</v>
      </c>
      <c r="D25" s="128" t="str">
        <f>'PLANILHA SEM BDI'!D25</f>
        <v>UN</v>
      </c>
      <c r="E25" s="155">
        <f>'PLANILHA SEM BDI'!E25</f>
        <v>5</v>
      </c>
      <c r="F25" s="128">
        <f>'PLANILHA SEM BDI'!F25</f>
        <v>305.3</v>
      </c>
      <c r="G25" s="139">
        <f t="shared" si="0"/>
        <v>373.9</v>
      </c>
      <c r="H25" s="139">
        <f t="shared" si="1"/>
        <v>1526.5</v>
      </c>
      <c r="I25" s="139">
        <f t="shared" si="2"/>
        <v>1869.5</v>
      </c>
    </row>
    <row r="26" spans="1:9" s="131" customFormat="1" ht="15.75">
      <c r="A26" s="128" t="str">
        <f>'PLANILHA SEM BDI'!A26</f>
        <v>1.15</v>
      </c>
      <c r="B26" s="152" t="str">
        <f>'PLANILHA SEM BDI'!B26</f>
        <v>So73902/001</v>
      </c>
      <c r="C26" s="129" t="str">
        <f>'PLANILHA SEM BDI'!C26</f>
        <v>CAMADA DRENANTE COM BRITA NUM 3</v>
      </c>
      <c r="D26" s="128" t="str">
        <f>'PLANILHA SEM BDI'!D26</f>
        <v>M3</v>
      </c>
      <c r="E26" s="155">
        <f>'PLANILHA SEM BDI'!E26</f>
        <v>6.15</v>
      </c>
      <c r="F26" s="128">
        <f>'PLANILHA SEM BDI'!F26</f>
        <v>136.88</v>
      </c>
      <c r="G26" s="139">
        <f t="shared" si="0"/>
        <v>167.63</v>
      </c>
      <c r="H26" s="139">
        <f t="shared" si="1"/>
        <v>841.81</v>
      </c>
      <c r="I26" s="139">
        <f t="shared" si="2"/>
        <v>1030.92</v>
      </c>
    </row>
    <row r="27" spans="1:9" s="131" customFormat="1" ht="45">
      <c r="A27" s="128" t="str">
        <f>'PLANILHA SEM BDI'!A27</f>
        <v>1.16</v>
      </c>
      <c r="B27" s="152" t="str">
        <f>'PLANILHA SEM BDI'!B27</f>
        <v>So00000089571</v>
      </c>
      <c r="C27" s="129" t="str">
        <f>'PLANILHA SEM BDI'!C27</f>
        <v>TÊ, PVC, SERIE R, ÁGUA PLUVIAL, DN 100 X 100 MM, JUNTA ELÁSTICA, FORNECIDO E INSTALADO EM RAMAL DE ENCAMINHAMENTO. AF_12/2014</v>
      </c>
      <c r="D27" s="128" t="str">
        <f>'PLANILHA SEM BDI'!D27</f>
        <v>UN</v>
      </c>
      <c r="E27" s="155">
        <f>'PLANILHA SEM BDI'!E27</f>
        <v>2</v>
      </c>
      <c r="F27" s="128">
        <f>'PLANILHA SEM BDI'!F27</f>
        <v>80.11</v>
      </c>
      <c r="G27" s="139">
        <f t="shared" si="0"/>
        <v>98.11</v>
      </c>
      <c r="H27" s="139">
        <f t="shared" si="1"/>
        <v>160.22</v>
      </c>
      <c r="I27" s="139">
        <f t="shared" si="2"/>
        <v>196.22</v>
      </c>
    </row>
    <row r="28" spans="1:9" s="131" customFormat="1" ht="45">
      <c r="A28" s="128" t="str">
        <f>'PLANILHA SEM BDI'!A28</f>
        <v>1.17</v>
      </c>
      <c r="B28" s="152" t="str">
        <f>'PLANILHA SEM BDI'!B28</f>
        <v>So00000095694</v>
      </c>
      <c r="C28" s="129" t="str">
        <f>'PLANILHA SEM BDI'!C28</f>
        <v>CURVA 90 GRAUS, PVC, SERIE R, ÁGUA PLUVIAL, DN 100 MM, JUNTA ELÁSTICA, FORNECIDO E INSTALADO EM RAMAL DE ENCAMINHAMENTO. AF_12/2014</v>
      </c>
      <c r="D28" s="128" t="str">
        <f>'PLANILHA SEM BDI'!D28</f>
        <v>UN</v>
      </c>
      <c r="E28" s="155">
        <f>'PLANILHA SEM BDI'!E28</f>
        <v>1</v>
      </c>
      <c r="F28" s="128">
        <f>'PLANILHA SEM BDI'!F28</f>
        <v>78.13</v>
      </c>
      <c r="G28" s="139">
        <f t="shared" si="0"/>
        <v>95.68</v>
      </c>
      <c r="H28" s="139">
        <f>TRUNC((E28*F28),2)</f>
        <v>78.13</v>
      </c>
      <c r="I28" s="139">
        <f>TRUNC((E28*G28),2)</f>
        <v>95.68</v>
      </c>
    </row>
    <row r="29" spans="1:9" s="131" customFormat="1" ht="45">
      <c r="A29" s="128" t="str">
        <f>'PLANILHA SEM BDI'!A29</f>
        <v>1.18</v>
      </c>
      <c r="B29" s="152" t="str">
        <f>'PLANILHA SEM BDI'!B29</f>
        <v>06.272.0002-0 + SI00000090733</v>
      </c>
      <c r="C29" s="129" t="str">
        <f>'PLANILHA SEM BDI'!C29</f>
        <v>TUBO PVC (NBR-7362), PARA ESGOTO SANITARIO, COM DIAMETRO NOMINAL DE 100MM, INCLUSIVE ANEL DE BORRACHA. FORNECIMENTO E ASSENTAMENTO</v>
      </c>
      <c r="D29" s="128" t="str">
        <f>'PLANILHA SEM BDI'!D29</f>
        <v>M</v>
      </c>
      <c r="E29" s="155">
        <f>'PLANILHA SEM BDI'!E29</f>
        <v>66</v>
      </c>
      <c r="F29" s="128">
        <f>'PLANILHA SEM BDI'!F29</f>
        <v>41.19</v>
      </c>
      <c r="G29" s="139">
        <f t="shared" si="0"/>
        <v>50.44</v>
      </c>
      <c r="H29" s="139">
        <f t="shared" si="1"/>
        <v>2718.54</v>
      </c>
      <c r="I29" s="139">
        <f t="shared" si="2"/>
        <v>3329.04</v>
      </c>
    </row>
    <row r="30" spans="1:9" s="131" customFormat="1" ht="105">
      <c r="A30" s="128" t="str">
        <f>'PLANILHA SEM BDI'!A30</f>
        <v>1.19</v>
      </c>
      <c r="B30" s="152" t="str">
        <f>'PLANILHA SEM BDI'!B30</f>
        <v>15.001.0034-5</v>
      </c>
      <c r="C30" s="129" t="str">
        <f>'PLANILHA SEM BDI'!C30</f>
        <v>CAIXA DE ALVENARIA DE BLOCOS DE CONCRETO(20X20X40CM),EM PAREDES DE UMAVEZ (0,20M),COM DIMENSOES DE 0,60X0,60X1,20M,ASSENTADA COM ARGAMASSA DE CIMENTO E AREIA,NO TRACO 1:4 E CONCRETO 20MPA PARA PREENCHIMENTO DOS FUROS DOS MESMOS, REVESTIDA INTERNAMENTE COM A MESMA ARGAMASSA,COM FUNDO DE CONCRETO,SEM TAMPA .</v>
      </c>
      <c r="D30" s="128" t="str">
        <f>'PLANILHA SEM BDI'!D30</f>
        <v>UN</v>
      </c>
      <c r="E30" s="155">
        <f>'PLANILHA SEM BDI'!E30</f>
        <v>2</v>
      </c>
      <c r="F30" s="128">
        <f>'PLANILHA SEM BDI'!F30</f>
        <v>658.13</v>
      </c>
      <c r="G30" s="139">
        <f t="shared" si="0"/>
        <v>806.01</v>
      </c>
      <c r="H30" s="139">
        <f>TRUNC((E30*F30),2)</f>
        <v>1316.26</v>
      </c>
      <c r="I30" s="139">
        <f>TRUNC((E30*G30),2)</f>
        <v>1612.02</v>
      </c>
    </row>
    <row r="31" spans="1:9" s="131" customFormat="1" ht="15.75">
      <c r="A31" s="128" t="str">
        <f>'PLANILHA SEM BDI'!A31</f>
        <v>1.20</v>
      </c>
      <c r="B31" s="152" t="str">
        <f>'PLANILHA SEM BDI'!B31</f>
        <v>So00000072897</v>
      </c>
      <c r="C31" s="129" t="str">
        <f>'PLANILHA SEM BDI'!C31</f>
        <v>CARGA MANUAL DE ENTULHO EM CAMINHAO BASCULANTE 6 M3</v>
      </c>
      <c r="D31" s="128" t="str">
        <f>'PLANILHA SEM BDI'!D31</f>
        <v>M3</v>
      </c>
      <c r="E31" s="155">
        <f>'PLANILHA SEM BDI'!E31</f>
        <v>85.6</v>
      </c>
      <c r="F31" s="128">
        <f>'PLANILHA SEM BDI'!F31</f>
        <v>30.18</v>
      </c>
      <c r="G31" s="139">
        <f t="shared" si="0"/>
        <v>36.96</v>
      </c>
      <c r="H31" s="139">
        <f t="shared" si="1"/>
        <v>2583.4</v>
      </c>
      <c r="I31" s="139">
        <f t="shared" si="2"/>
        <v>3163.77</v>
      </c>
    </row>
    <row r="32" spans="1:9" s="131" customFormat="1" ht="30">
      <c r="A32" s="128" t="str">
        <f>'PLANILHA SEM BDI'!A32</f>
        <v>1.21</v>
      </c>
      <c r="B32" s="152" t="str">
        <f>'PLANILHA SEM BDI'!B32</f>
        <v>SO00000072843</v>
      </c>
      <c r="C32" s="129" t="str">
        <f>'PLANILHA SEM BDI'!C32</f>
        <v>TRANSPORTE COMERCIAL COM CAMINHAO BASCULANTE 6 M3, RODOVIA PAVIMENTADA . DMT= 8,7 Km até o CTR Barra Mansa.</v>
      </c>
      <c r="D32" s="128" t="str">
        <f>'PLANILHA SEM BDI'!D32</f>
        <v>TXKM</v>
      </c>
      <c r="E32" s="155">
        <f>'PLANILHA SEM BDI'!E32</f>
        <v>744.73</v>
      </c>
      <c r="F32" s="128">
        <f>'PLANILHA SEM BDI'!F32</f>
        <v>0.85</v>
      </c>
      <c r="G32" s="139">
        <f t="shared" si="0"/>
        <v>1.04</v>
      </c>
      <c r="H32" s="139">
        <f t="shared" si="1"/>
        <v>633.02</v>
      </c>
      <c r="I32" s="139">
        <f t="shared" si="2"/>
        <v>774.51</v>
      </c>
    </row>
    <row r="33" spans="1:9" s="131" customFormat="1" ht="75">
      <c r="A33" s="128" t="str">
        <f>'PLANILHA SEM BDI'!A33</f>
        <v>1.22</v>
      </c>
      <c r="B33" s="152" t="str">
        <f>'PLANILHA SEM BDI'!B33</f>
        <v>04.014.0116-0</v>
      </c>
      <c r="C33" s="129" t="str">
        <f>'PLANILHA SEM BDI'!C33</f>
        <v>DESCARGA DE MATERIAIS E RESIDUOS ORIGINARIOS DA CONSTRUCAO CIVIL(RCC),CLASSE B(RECICLAVEIS PARA OUTRAS DESTINACOES),EM L OCAIS DE DISPOSICAO FINAL AUTORIZADOS E/OU LICENCIADOS A OPERAR PELOS ORGAOS DE CONTROLE AMBIENTAL</v>
      </c>
      <c r="D33" s="128" t="str">
        <f>'PLANILHA SEM BDI'!D33</f>
        <v>M3</v>
      </c>
      <c r="E33" s="155">
        <f>'PLANILHA SEM BDI'!E33</f>
        <v>85.6</v>
      </c>
      <c r="F33" s="128">
        <f>'PLANILHA SEM BDI'!F33</f>
        <v>54</v>
      </c>
      <c r="G33" s="139">
        <f t="shared" si="0"/>
        <v>66.13</v>
      </c>
      <c r="H33" s="139">
        <f t="shared" si="1"/>
        <v>4622.4</v>
      </c>
      <c r="I33" s="139">
        <f t="shared" si="2"/>
        <v>5660.72</v>
      </c>
    </row>
    <row r="34" spans="1:9" s="145" customFormat="1" ht="15.75">
      <c r="A34" s="142" t="s">
        <v>126</v>
      </c>
      <c r="B34" s="142"/>
      <c r="C34" s="143"/>
      <c r="D34" s="179" t="s">
        <v>27</v>
      </c>
      <c r="E34" s="180"/>
      <c r="F34" s="181"/>
      <c r="G34" s="144"/>
      <c r="H34" s="144">
        <f>SUM(H12:H33)</f>
        <v>75173.08999999998</v>
      </c>
      <c r="I34" s="144">
        <f>SUM(I12:I33)</f>
        <v>92061.45</v>
      </c>
    </row>
  </sheetData>
  <sheetProtection/>
  <mergeCells count="13">
    <mergeCell ref="F3:I3"/>
    <mergeCell ref="F4:I4"/>
    <mergeCell ref="F5:I5"/>
    <mergeCell ref="F6:I6"/>
    <mergeCell ref="F7:I7"/>
    <mergeCell ref="A10:A11"/>
    <mergeCell ref="B10:B11"/>
    <mergeCell ref="D34:F34"/>
    <mergeCell ref="A9:I9"/>
    <mergeCell ref="F10:I10"/>
    <mergeCell ref="C10:C11"/>
    <mergeCell ref="D10:D11"/>
    <mergeCell ref="E10:E1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50" r:id="rId2"/>
  <headerFooter>
    <oddFooter>&amp;L&amp;A&amp;C&amp;F&amp;RPágina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showZeros="0" view="pageBreakPreview" zoomScale="50" zoomScaleNormal="70" zoomScaleSheetLayoutView="50" zoomScalePageLayoutView="0" workbookViewId="0" topLeftCell="A1">
      <selection activeCell="A7" sqref="A7:F7"/>
    </sheetView>
  </sheetViews>
  <sheetFormatPr defaultColWidth="8.8515625" defaultRowHeight="15"/>
  <cols>
    <col min="1" max="1" width="9.00390625" style="72" bestFit="1" customWidth="1"/>
    <col min="2" max="2" width="56.8515625" style="72" customWidth="1"/>
    <col min="3" max="3" width="14.140625" style="72" customWidth="1"/>
    <col min="4" max="4" width="24.00390625" style="72" customWidth="1"/>
    <col min="5" max="5" width="18.57421875" style="72" customWidth="1"/>
    <col min="6" max="6" width="27.421875" style="72" customWidth="1"/>
    <col min="7" max="7" width="33.140625" style="72" customWidth="1"/>
    <col min="8" max="8" width="21.28125" style="45" bestFit="1" customWidth="1"/>
    <col min="9" max="9" width="13.7109375" style="45" customWidth="1"/>
    <col min="10" max="16384" width="8.8515625" style="45" customWidth="1"/>
  </cols>
  <sheetData>
    <row r="1" spans="1:8" ht="39.75" customHeight="1">
      <c r="A1" s="192" t="s">
        <v>63</v>
      </c>
      <c r="B1" s="193"/>
      <c r="C1" s="193"/>
      <c r="D1" s="193"/>
      <c r="E1" s="193"/>
      <c r="F1" s="193"/>
      <c r="G1" s="43"/>
      <c r="H1" s="44"/>
    </row>
    <row r="2" spans="1:8" ht="39.75" customHeight="1">
      <c r="A2" s="194" t="s">
        <v>64</v>
      </c>
      <c r="B2" s="195"/>
      <c r="C2" s="195"/>
      <c r="D2" s="195"/>
      <c r="E2" s="195"/>
      <c r="F2" s="195"/>
      <c r="G2" s="46"/>
      <c r="H2" s="44"/>
    </row>
    <row r="3" spans="1:8" ht="39.75" customHeight="1">
      <c r="A3" s="194" t="s">
        <v>73</v>
      </c>
      <c r="B3" s="195"/>
      <c r="C3" s="195"/>
      <c r="D3" s="195"/>
      <c r="E3" s="195"/>
      <c r="F3" s="195"/>
      <c r="G3" s="46"/>
      <c r="H3" s="44"/>
    </row>
    <row r="4" spans="1:8" ht="39.75" customHeight="1">
      <c r="A4" s="196" t="s">
        <v>69</v>
      </c>
      <c r="B4" s="197"/>
      <c r="C4" s="197"/>
      <c r="D4" s="197"/>
      <c r="E4" s="197"/>
      <c r="F4" s="197"/>
      <c r="G4" s="46"/>
      <c r="H4" s="44"/>
    </row>
    <row r="5" spans="1:8" ht="39.75" customHeight="1">
      <c r="A5" s="198" t="s">
        <v>89</v>
      </c>
      <c r="B5" s="199"/>
      <c r="C5" s="199"/>
      <c r="D5" s="199"/>
      <c r="E5" s="199"/>
      <c r="F5" s="199"/>
      <c r="G5" s="46"/>
      <c r="H5" s="44"/>
    </row>
    <row r="6" spans="1:8" ht="39.75" customHeight="1">
      <c r="A6" s="200" t="s">
        <v>74</v>
      </c>
      <c r="B6" s="201"/>
      <c r="C6" s="201"/>
      <c r="D6" s="201"/>
      <c r="E6" s="201"/>
      <c r="F6" s="201"/>
      <c r="G6" s="46"/>
      <c r="H6" s="44"/>
    </row>
    <row r="7" spans="1:8" ht="39.75" customHeight="1">
      <c r="A7" s="202" t="s">
        <v>278</v>
      </c>
      <c r="B7" s="203"/>
      <c r="C7" s="203"/>
      <c r="D7" s="203"/>
      <c r="E7" s="203"/>
      <c r="F7" s="203"/>
      <c r="G7" s="46"/>
      <c r="H7" s="44"/>
    </row>
    <row r="8" spans="1:8" ht="39.75" customHeight="1">
      <c r="A8" s="204" t="s">
        <v>256</v>
      </c>
      <c r="B8" s="205"/>
      <c r="C8" s="205"/>
      <c r="D8" s="205"/>
      <c r="E8" s="205"/>
      <c r="F8" s="205"/>
      <c r="G8" s="47"/>
      <c r="H8" s="44"/>
    </row>
    <row r="9" spans="1:8" ht="39.75" customHeight="1">
      <c r="A9" s="206" t="s">
        <v>75</v>
      </c>
      <c r="B9" s="206"/>
      <c r="C9" s="206"/>
      <c r="D9" s="206"/>
      <c r="E9" s="206"/>
      <c r="F9" s="206"/>
      <c r="G9" s="48"/>
      <c r="H9" s="44"/>
    </row>
    <row r="10" spans="1:10" ht="39.75" customHeight="1">
      <c r="A10" s="207" t="s">
        <v>55</v>
      </c>
      <c r="B10" s="207" t="s">
        <v>57</v>
      </c>
      <c r="C10" s="210" t="s">
        <v>76</v>
      </c>
      <c r="D10" s="211"/>
      <c r="E10" s="211"/>
      <c r="F10" s="211"/>
      <c r="G10" s="49"/>
      <c r="H10" s="44"/>
      <c r="I10" s="50"/>
      <c r="J10" s="50"/>
    </row>
    <row r="11" spans="1:10" ht="39.75" customHeight="1">
      <c r="A11" s="208"/>
      <c r="B11" s="208"/>
      <c r="C11" s="210" t="s">
        <v>77</v>
      </c>
      <c r="D11" s="212"/>
      <c r="E11" s="210" t="s">
        <v>78</v>
      </c>
      <c r="F11" s="212"/>
      <c r="G11" s="49" t="s">
        <v>79</v>
      </c>
      <c r="H11" s="44"/>
      <c r="I11" s="50"/>
      <c r="J11" s="50"/>
    </row>
    <row r="12" spans="1:8" ht="39.75" customHeight="1">
      <c r="A12" s="209"/>
      <c r="B12" s="209"/>
      <c r="C12" s="51" t="s">
        <v>80</v>
      </c>
      <c r="D12" s="52" t="s">
        <v>81</v>
      </c>
      <c r="E12" s="51" t="s">
        <v>80</v>
      </c>
      <c r="F12" s="52" t="s">
        <v>81</v>
      </c>
      <c r="G12" s="49" t="s">
        <v>82</v>
      </c>
      <c r="H12" s="44"/>
    </row>
    <row r="13" spans="1:8" ht="39.75" customHeight="1">
      <c r="A13" s="217"/>
      <c r="B13" s="217"/>
      <c r="C13" s="53"/>
      <c r="D13" s="53"/>
      <c r="E13" s="53"/>
      <c r="F13" s="53"/>
      <c r="G13" s="54"/>
      <c r="H13" s="55"/>
    </row>
    <row r="14" spans="1:9" ht="39.75" customHeight="1">
      <c r="A14" s="56" t="s">
        <v>83</v>
      </c>
      <c r="B14" s="57" t="s">
        <v>88</v>
      </c>
      <c r="C14" s="58">
        <v>0.8</v>
      </c>
      <c r="D14" s="59">
        <f>C14*G14</f>
        <v>73649.16</v>
      </c>
      <c r="E14" s="58">
        <v>0.2</v>
      </c>
      <c r="F14" s="59">
        <f>E14*G14</f>
        <v>18412.29</v>
      </c>
      <c r="G14" s="60">
        <f>'PLANILHA FINAL'!I34</f>
        <v>92061.45</v>
      </c>
      <c r="H14" s="61">
        <f>D14+F14</f>
        <v>92061.45000000001</v>
      </c>
      <c r="I14" s="62">
        <f>G14-H14</f>
        <v>0</v>
      </c>
    </row>
    <row r="15" spans="1:8" ht="39.75" customHeight="1">
      <c r="A15" s="63"/>
      <c r="B15" s="64"/>
      <c r="C15" s="65"/>
      <c r="D15" s="66"/>
      <c r="E15" s="66"/>
      <c r="F15" s="66"/>
      <c r="G15" s="67">
        <f>SUM(G14:G14)</f>
        <v>92061.45</v>
      </c>
      <c r="H15" s="61"/>
    </row>
    <row r="16" spans="1:8" ht="39.75" customHeight="1">
      <c r="A16" s="213" t="s">
        <v>84</v>
      </c>
      <c r="B16" s="214"/>
      <c r="C16" s="218">
        <f>SUM(D14:D14)</f>
        <v>73649.16</v>
      </c>
      <c r="D16" s="219"/>
      <c r="E16" s="218">
        <f>SUM(F14:F14)</f>
        <v>18412.29</v>
      </c>
      <c r="F16" s="219"/>
      <c r="G16" s="68"/>
      <c r="H16" s="55"/>
    </row>
    <row r="17" spans="1:8" ht="39.75" customHeight="1">
      <c r="A17" s="213" t="s">
        <v>85</v>
      </c>
      <c r="B17" s="214"/>
      <c r="C17" s="215">
        <f>C16</f>
        <v>73649.16</v>
      </c>
      <c r="D17" s="216"/>
      <c r="E17" s="215">
        <f>C17+E16</f>
        <v>92061.45000000001</v>
      </c>
      <c r="F17" s="216"/>
      <c r="G17" s="69"/>
      <c r="H17" s="55"/>
    </row>
    <row r="18" spans="1:8" ht="39.75" customHeight="1">
      <c r="A18" s="220" t="s">
        <v>86</v>
      </c>
      <c r="B18" s="221"/>
      <c r="C18" s="222">
        <f>C16/G15</f>
        <v>0.8</v>
      </c>
      <c r="D18" s="223"/>
      <c r="E18" s="222">
        <f>E16/G15</f>
        <v>0.2</v>
      </c>
      <c r="F18" s="223"/>
      <c r="G18" s="70"/>
      <c r="H18" s="55"/>
    </row>
    <row r="19" spans="1:8" ht="39.75" customHeight="1">
      <c r="A19" s="220" t="s">
        <v>87</v>
      </c>
      <c r="B19" s="221"/>
      <c r="C19" s="222">
        <f>C18</f>
        <v>0.8</v>
      </c>
      <c r="D19" s="223"/>
      <c r="E19" s="224">
        <f>C19+E18</f>
        <v>1</v>
      </c>
      <c r="F19" s="225"/>
      <c r="G19" s="71"/>
      <c r="H19" s="55"/>
    </row>
  </sheetData>
  <sheetProtection/>
  <mergeCells count="27">
    <mergeCell ref="A19:B19"/>
    <mergeCell ref="C19:D19"/>
    <mergeCell ref="E19:F19"/>
    <mergeCell ref="A18:B18"/>
    <mergeCell ref="C18:D18"/>
    <mergeCell ref="E18:F18"/>
    <mergeCell ref="A17:B17"/>
    <mergeCell ref="C17:D17"/>
    <mergeCell ref="E17:F17"/>
    <mergeCell ref="A13:B13"/>
    <mergeCell ref="A16:B16"/>
    <mergeCell ref="C16:D16"/>
    <mergeCell ref="E16:F16"/>
    <mergeCell ref="A7:F7"/>
    <mergeCell ref="A8:F8"/>
    <mergeCell ref="A9:F9"/>
    <mergeCell ref="A10:A12"/>
    <mergeCell ref="B10:B12"/>
    <mergeCell ref="C10:F10"/>
    <mergeCell ref="C11:D11"/>
    <mergeCell ref="E11:F11"/>
    <mergeCell ref="A1:F1"/>
    <mergeCell ref="A2:F2"/>
    <mergeCell ref="A3:F3"/>
    <mergeCell ref="A4:F4"/>
    <mergeCell ref="A5:F5"/>
    <mergeCell ref="A6:F6"/>
  </mergeCells>
  <printOptions horizontalCentered="1" verticalCentered="1"/>
  <pageMargins left="0.3937007874015748" right="0.3937007874015748" top="0.984251968503937" bottom="0.3937007874015748" header="0" footer="0"/>
  <pageSetup fitToHeight="1000" horizontalDpi="300" verticalDpi="300" orientation="landscape" paperSize="9" scale="60" r:id="rId2"/>
  <headerFooter alignWithMargins="0">
    <oddFooter>&amp;C&amp;A&amp;RPágina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Antonio Nicolau Macedo Cunha</dc:creator>
  <cp:keywords/>
  <dc:description/>
  <cp:lastModifiedBy>Thais da Silva Miranda</cp:lastModifiedBy>
  <cp:lastPrinted>2022-04-27T13:33:37Z</cp:lastPrinted>
  <dcterms:created xsi:type="dcterms:W3CDTF">2018-02-20T11:13:53Z</dcterms:created>
  <dcterms:modified xsi:type="dcterms:W3CDTF">2022-05-09T12:02:13Z</dcterms:modified>
  <cp:category/>
  <cp:version/>
  <cp:contentType/>
  <cp:contentStatus/>
</cp:coreProperties>
</file>