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1845" windowWidth="15480" windowHeight="2865" activeTab="1"/>
  </bookViews>
  <sheets>
    <sheet name="Composição de Preços COM Deson" sheetId="1" r:id="rId1"/>
    <sheet name="Orçamento com Desoneração " sheetId="2" r:id="rId2"/>
    <sheet name="Cronograma" sheetId="3" r:id="rId3"/>
  </sheets>
  <definedNames>
    <definedName name="_xlnm.Print_Area" localSheetId="0">'Composição de Preços COM Deson'!$A$1:$G$1014</definedName>
    <definedName name="_xlnm.Print_Area" localSheetId="2">'Cronograma'!$A$1:$U$51</definedName>
    <definedName name="_xlnm.Print_Area" localSheetId="1">'Orçamento com Desoneração '!$A$1:$H$184</definedName>
    <definedName name="BDI" localSheetId="0">#REF!</definedName>
    <definedName name="BDI" localSheetId="1">#REF!</definedName>
    <definedName name="BDI">#REF!</definedName>
    <definedName name="MEM_A" localSheetId="0">#REF!</definedName>
    <definedName name="MEM_A" localSheetId="1">#REF!</definedName>
    <definedName name="MEM_A">#REF!</definedName>
    <definedName name="MEN_B" localSheetId="0">#REF!</definedName>
    <definedName name="MEN_B" localSheetId="1">#REF!</definedName>
    <definedName name="MEN_B">#REF!</definedName>
    <definedName name="ORÇ_A" localSheetId="0">#REF!</definedName>
    <definedName name="ORÇ_A" localSheetId="1">#REF!</definedName>
    <definedName name="ORÇ_A">#REF!</definedName>
    <definedName name="ORÇ_B" localSheetId="0">#REF!</definedName>
    <definedName name="ORÇ_B" localSheetId="1">#REF!</definedName>
    <definedName name="ORÇ_B">#REF!</definedName>
    <definedName name="ORÇ_D" localSheetId="0">#REF!</definedName>
    <definedName name="ORÇ_D" localSheetId="1">#REF!</definedName>
    <definedName name="ORÇ_D">#REF!</definedName>
    <definedName name="_xlnm.Print_Titles" localSheetId="1">'Orçamento com Desoneração '!$1:$11</definedName>
  </definedNames>
  <calcPr fullCalcOnLoad="1"/>
</workbook>
</file>

<file path=xl/sharedStrings.xml><?xml version="1.0" encoding="utf-8"?>
<sst xmlns="http://schemas.openxmlformats.org/spreadsheetml/2006/main" count="3175" uniqueCount="1141">
  <si>
    <t>ITEM</t>
  </si>
  <si>
    <t>DESCRIÇÃO</t>
  </si>
  <si>
    <t>UNID</t>
  </si>
  <si>
    <t>QUANT.</t>
  </si>
  <si>
    <t>P.TOTAL</t>
  </si>
  <si>
    <t>%</t>
  </si>
  <si>
    <t>%  DO TOTAL</t>
  </si>
  <si>
    <t>P.UNIT.</t>
  </si>
  <si>
    <t>Prefeitura Municipal de Barra Mansa</t>
  </si>
  <si>
    <t xml:space="preserve">Secretaria Municipal de Planejamento Urbano </t>
  </si>
  <si>
    <t>PLANILHA  ORCAMENTÁRIA</t>
  </si>
  <si>
    <t>SINAPI / EMOP</t>
  </si>
  <si>
    <t>Estado do Rio de Janeiro</t>
  </si>
  <si>
    <t>Preço UNIT.</t>
  </si>
  <si>
    <t xml:space="preserve"> TOTAL </t>
  </si>
  <si>
    <t>SERVIÇOS PRELIMINARES</t>
  </si>
  <si>
    <t>M2</t>
  </si>
  <si>
    <t>SUBTOTAL</t>
  </si>
  <si>
    <t>DEMOLIÇÕES</t>
  </si>
  <si>
    <t>M</t>
  </si>
  <si>
    <t>M3</t>
  </si>
  <si>
    <t>So000072897</t>
  </si>
  <si>
    <t>CARGA MANUAL DE ENTULHO EM CAMINHAO BASCULANTE 6 M3</t>
  </si>
  <si>
    <t>M3XKM</t>
  </si>
  <si>
    <t>ESPALHAMENTO DE MATERIAL EM BOTA FORA, COM UTILIZACAO DE TRATOR DE ESTEIRAS DE 165 HP</t>
  </si>
  <si>
    <t>ARRANCAMENTOS / REMOÇÕES</t>
  </si>
  <si>
    <t>UN</t>
  </si>
  <si>
    <t>ARRANCAMENTO DE BANCADA DE PIA/LAVATORIO OU BANCA SECA DE ATE 1,00M DE ALTURA E ATE 0,80M DE LARGURA (OBS.:3%-DESGASTE DE FERRAMENTAS E EPI).</t>
  </si>
  <si>
    <t>DESCARGA DE MATERIAL ARRANCADO / REMOVIDO</t>
  </si>
  <si>
    <t>TRABALHOS EM TERRA</t>
  </si>
  <si>
    <t>KG</t>
  </si>
  <si>
    <t>ALVENARIA</t>
  </si>
  <si>
    <t xml:space="preserve"> INSTALAÇÕES ELÉTRICAS </t>
  </si>
  <si>
    <t>Composição : So000095471</t>
  </si>
  <si>
    <t>VASO SANITARIO SIFONADO, PARA PCD,  SEM FURO FRONTAL, DE  LOUÇA BRANCA, COM ASSENTO, COM CAIXA ACOPLADA DE LOUÇA BRANCA. H=440mm; C=610mm; L=360mm.  FORNECIMENTO E INSTALAÇÃO. AF_10/2016</t>
  </si>
  <si>
    <t>TORNEIRA DE MESA, PARA LAVATÓRIO, CROMADA, H=260MM; C=245MM; L=50MM. FORNECIMENTO E INSTALAÇÃO. AF_12/2013</t>
  </si>
  <si>
    <t>(01) Composição : 18.016.0030-0</t>
  </si>
  <si>
    <t>(02) Composição : 18.016.0030-0</t>
  </si>
  <si>
    <t>ESQUADRIAS E FERRAGENS</t>
  </si>
  <si>
    <t>VIDROS</t>
  </si>
  <si>
    <t>VIDRO FANTASIA TIPO CANELADO, ESPESSURA 4MM</t>
  </si>
  <si>
    <t>REVESTIMENTO DE PAREDES E TETOS</t>
  </si>
  <si>
    <t>REVESTIMENTO DE PAREDES OU MUROS COM PLACA RETANGULAR DE GRANITO (LAJINHA), SERRADA NAS LATERAIS COM FACE NATURAL (23 X11,5)CM,  COM ESPESSURA DE REFERENCIA DE 1,5CM, ASSENTE COM ARGAMASSA DE CIMENTO, AREIA E SAIBRO, NO TR ACO 1:3:3 E REJUNTAMENTO PRONTO (OBS.:3%-DESGASTE DE FERRAMENTAS E EPI).</t>
  </si>
  <si>
    <t>REVESTIMENTO DE PISOS</t>
  </si>
  <si>
    <t>REVESTIMENTO DE PISO COM CERAMICA TATIL ALERTA,(LADRILHO HIDRAULICO) PARA PESSOAS COM NECESSIDADES ESPECIFICAS,ASSENTES SOBRE SUPERFICIE EM OSSO,CONFORME ITEM 13.330.0010 (OBS.:3%-DESGASTE DE FERRAMENTAS E EPI).</t>
  </si>
  <si>
    <t xml:space="preserve">RODAPÉS,  SOLEIRAS,  PEITORIS E CONTORNOS </t>
  </si>
  <si>
    <t>PINTURA</t>
  </si>
  <si>
    <t>REMOCAO DE PINTURA PLASTICA E SEMELHANTES (OBS.:3%-DESGASTE DE FERRAMENTAS E EPI).</t>
  </si>
  <si>
    <t>APLICAÇÃO MANUAL DE PINTURA COM TINTA LÁTEX PVA EM TETO, DUAS DEMÃOS. AF_06/2014</t>
  </si>
  <si>
    <t>APLICAÇÃO MANUAL DE TINTA LÁTEX ACRÍLICA EM PAREDE EXTERNAS DE CASAS, DUAS DEMÃOS. AF_11/2016</t>
  </si>
  <si>
    <t>00453</t>
  </si>
  <si>
    <t>PREGO COM OU SEM CABECA, EM CAIXAS DE 50KG, OU QUANTIDADES EQUIVALENTES, N§12X12A 18X30</t>
  </si>
  <si>
    <t>00368</t>
  </si>
  <si>
    <t>PINUS, EM PECAS DE 7,50X7,50CM (3"X3")</t>
  </si>
  <si>
    <t>00294</t>
  </si>
  <si>
    <t>TINTA A OLEO BRILHANTE, P/USO GERAL, EMINTERIORES E EXTERIORES</t>
  </si>
  <si>
    <t>GL</t>
  </si>
  <si>
    <t>00160</t>
  </si>
  <si>
    <t>CHAPA DE ACO CARBONO, GALVANIZADA, PARAUSOS GERAIS, TAMANHO PADRAO, PRECO DE REVENDEDOR, COM ESPESSURA DE 0,5MM</t>
  </si>
  <si>
    <t>01999</t>
  </si>
  <si>
    <t>MAO-DE-OBRA DE SERVENTE DA CONSTRUCAO CIVIL, INCLUSIVE ENCARGOS SOCIAIS</t>
  </si>
  <si>
    <t>H</t>
  </si>
  <si>
    <t>TOTAL</t>
  </si>
  <si>
    <t>MAO-DE-OBRA DE PEDREIRO, INCLUSIVE ENCARGOS SOCIAIS</t>
  </si>
  <si>
    <t>So000088316</t>
  </si>
  <si>
    <t>SERVENTE COM ENCARGOS COMPLEMENTARES</t>
  </si>
  <si>
    <t>So000005961 CAMINHÃO BASCULANTE 6 M3, PESO BRUTO TOTAL 16.000 KG, CARGA ÚTIL MÁXIMA 13.071 KG, DISTÂNCIA ENTRE EIXOS 4,80 M, POTÊNCIA 230 CV INCLUSIVE CAÇAMBA METÁLICA - CHI DIURNO. AF_06/2014</t>
  </si>
  <si>
    <t>CHI</t>
  </si>
  <si>
    <t>CHP</t>
  </si>
  <si>
    <t>FITA VEDA ROSCA EM ROLOS DE 18 MM X 10 M (L X C)</t>
  </si>
  <si>
    <t>ENCANADOR OU BOMBEIRO HIDRÁULICO COM ENCARGOS COMPLEMENTARES</t>
  </si>
  <si>
    <t>AUXILIAR DE ENCANADOR OU BOMBEIRO HIDRÁULICO COM ENCARGOS COMPLEMENTARES</t>
  </si>
  <si>
    <t>(OBS. : Considerar metade do preço da Carga)</t>
  </si>
  <si>
    <t>L</t>
  </si>
  <si>
    <t>ALVENARIA DE TIJOLOS CERAMICOS FURADOS 10X20X20CM,ASSENTES COM ARGAMASSA DE CIMENTO E SAIBRO,NO TRACO 1:8,EM PAREDES DE MEIA VEZ(0,10M),DE SUPERFICIE CORRIDA,ATE 3,00M DE ALTURA EMEDIDA PELA AREA REAL (OBS.:3%-DESGASTE DE FERRAMENTAS E EPI).</t>
  </si>
  <si>
    <t>00559</t>
  </si>
  <si>
    <t>TIJOLO CERAMICO, FURADO, DE (10X20X20)CM</t>
  </si>
  <si>
    <t>00029</t>
  </si>
  <si>
    <t>ACO CA-25, ESTIRADO, PRECO DE REVENDEDOR, NO DIAMETRO DE 06,3MM</t>
  </si>
  <si>
    <t>COBERTURA</t>
  </si>
  <si>
    <t>02604</t>
  </si>
  <si>
    <t>MACARANDUBA EM PECAS, DE 7,50X7,50CM (3"X3")</t>
  </si>
  <si>
    <t>05962</t>
  </si>
  <si>
    <t>CONJUNTO DE VEDACAO, COM ARRUELA GALVANIZADA E BORRACHAS PARA PARAFUSO DE FIXACAO DE TELHA ONDULADA</t>
  </si>
  <si>
    <t>02216</t>
  </si>
  <si>
    <t>MASSA DE VEDACAO P/ARTEFATOS DE CIMENTOAMIANTO</t>
  </si>
  <si>
    <t>RUFO INTERNO/EXTERNO DE CHAPA DE ACO GALVANIZADA NUM 24, CORTE 25 CM (COLETADO CAIXA)</t>
  </si>
  <si>
    <t>SOLDA EM BARRA DE ESTANHO-CHUMBO 50/50</t>
  </si>
  <si>
    <t>REBITE DE ALUMINIO VAZADO DE REPUXO, 3,2 X 8 MM (1KG = 1025 UNIDADES)</t>
  </si>
  <si>
    <t>PREGO DE ACO POLIDO COM CABECA 18 X 27 (2 1/2 X 10)</t>
  </si>
  <si>
    <t>SELANTE ELASTICO MONOCOMPONENTE A BASE DE POLIURETANO PARA JUNTAS DIVERSAS</t>
  </si>
  <si>
    <t>310ML</t>
  </si>
  <si>
    <t>So000088323</t>
  </si>
  <si>
    <t>TELHADISTA COM ENCARGOS COMPLEMENTARES</t>
  </si>
  <si>
    <t>So000093282</t>
  </si>
  <si>
    <t>So000093282 GUINCHO ELÉTRICO DE COLUNA, CAPACIDADE 400 KG, COM MOTO FREIO, MOTOR TRIFÁSICO DE 1,25 CV - CHI DIURNO. AF_03/2016</t>
  </si>
  <si>
    <t>So000093281</t>
  </si>
  <si>
    <t>So000093281 GUINCHO ELÉTRICO DE COLUNA, CAPACIDADE 400 KG, COM MOTO FREIO, MOTOR TRIFÁSICO DE 1,25 CV - CHP DIURNO. AF_03/2016</t>
  </si>
  <si>
    <t>05904</t>
  </si>
  <si>
    <t>PARAFUSO FERRO, ROSCA SOBERBA, CABECA CHATA, DE (3,2X20)MM</t>
  </si>
  <si>
    <t>05448</t>
  </si>
  <si>
    <t>SUPORTE ZINCADO DOBRADO, P/CALHA DE BEIRAL, SEMI-CIRCULAR DE PVC, DE DN=125MM</t>
  </si>
  <si>
    <t>CALHA DE BEIRAL,SEMI-CIRCULAR DE PVC,DN 125,EXCLUSIVE CONDUTORES (VIDE ITEM 16.004.0055).FORNECIMENTO E COLOCACAO (OBS.:3%-DESGASTE DE FERRAMENTAS E EPI).</t>
  </si>
  <si>
    <t>05449</t>
  </si>
  <si>
    <t>VEDACAO PARA CALHA DE BEIRAL DE PVC, DEDN=125MM</t>
  </si>
  <si>
    <t>05447</t>
  </si>
  <si>
    <t>BOCAL PARA CALHA DE BEIRAL, SEMI-CIRCULAR DE PVC, DE DN=(125X88)MM</t>
  </si>
  <si>
    <t>05446</t>
  </si>
  <si>
    <t>EMENDA DE PVC PARA CALHA DE BEIRAL, DN=125MM</t>
  </si>
  <si>
    <t>05445</t>
  </si>
  <si>
    <t>CALHA DE PVC PARA BEIRAL, DE DN=125MM, COM 3,00M</t>
  </si>
  <si>
    <t>05444</t>
  </si>
  <si>
    <t>CABECEIRA DE PVC PARA CALHA BEIRAL, DN DE 125MM, TIPO ESQUERDA</t>
  </si>
  <si>
    <t>05443</t>
  </si>
  <si>
    <t>CABECEIRA DE PVC PARA CALHA BEIRAL, DN DDE 125MM, TIPO DIREITA</t>
  </si>
  <si>
    <t>CONDUTOR PARA CALHA DE BEIRAL DE PVC,DN 88,INCLUSIVE CONEXOES.FORNECIMENTO E COLOCACAO (OBS.:3%-DESGASTE DE FERRAMENTAS E EPI).</t>
  </si>
  <si>
    <t>05906</t>
  </si>
  <si>
    <t>PARAFUSO FERRO, ROSCA SOBERBA, CABECA CHATA, DE (3,8X30)MM</t>
  </si>
  <si>
    <t>05880</t>
  </si>
  <si>
    <t>BUCHA DE NYLON, TIPO S-05</t>
  </si>
  <si>
    <t>05454</t>
  </si>
  <si>
    <t>JOELHO 60§ DE PVC, P/CALHA DE BEIRAL, DE88MM</t>
  </si>
  <si>
    <t>05452</t>
  </si>
  <si>
    <t>CONDUTOR PARA CALHA DE BEIRAL DE PVC, DEDN=88MM</t>
  </si>
  <si>
    <t>05451</t>
  </si>
  <si>
    <t>JOELHO 90§ DE PVC, PARA CALHA DE BEIRAL,DE 88MM</t>
  </si>
  <si>
    <t>05450</t>
  </si>
  <si>
    <t>ABRACADEIRA PARA CALHA DE BEIRAL, DE PVC, N=88MM</t>
  </si>
  <si>
    <t>02339</t>
  </si>
  <si>
    <t>ADESIVO PLASTICO PARA PVC RIGIDO, EM BISNAGA DE 75G</t>
  </si>
  <si>
    <t>So000088309</t>
  </si>
  <si>
    <t>PEDREIRO COM ENCARGOS COMPLEMENTARES</t>
  </si>
  <si>
    <t>ELETRICISTA COM ENCARGOS COMPLEMENTARES</t>
  </si>
  <si>
    <t>Mercado</t>
  </si>
  <si>
    <t>So37329</t>
  </si>
  <si>
    <t>REJUNTE EPOXI BRANCO</t>
  </si>
  <si>
    <t>So36520</t>
  </si>
  <si>
    <t>BACIA SANITARIA (VASO) CONVENCIONAL PARA PCD SEM FURO FRONTAL, DE LOUCA BRANCA, SEM ASSENTO</t>
  </si>
  <si>
    <t>VASO SANITARIO SIFONADO, PARA PCD</t>
  </si>
  <si>
    <t>So06138</t>
  </si>
  <si>
    <t>VEDACAO PVC, 100 MM, PARA SAIDA VASO SANITARIO</t>
  </si>
  <si>
    <t>So04384</t>
  </si>
  <si>
    <t>PARAFUSO NIQUELADO COM ACABAMENTO CROMADO PARA FIXAR PECA SANITARIA, INCLUI PORCA CEGA, ARRUELA E BUCHA DE NYLON TAMANHO S-10</t>
  </si>
  <si>
    <t>So000088267</t>
  </si>
  <si>
    <t>02984</t>
  </si>
  <si>
    <t>RABICHO PLASTICO COM SAIDA DE 1/2" E COMCOMPRIMENTO DE 30CM</t>
  </si>
  <si>
    <t>02593</t>
  </si>
  <si>
    <t>VALVULA DE ESCOAMENTO, P/PIA DE COZINHA,1623, EM METAL CROMADO, DE 1.1/2"X3.3/4"</t>
  </si>
  <si>
    <t>02356</t>
  </si>
  <si>
    <t>SIFAO EM METAL CROMADO, DE 1.1/2"X1.1/2"</t>
  </si>
  <si>
    <t>So13416</t>
  </si>
  <si>
    <t>TORNEIRA CROMADA DE PAREDE PARA COZINHA SEM AREJADOR, PADRAO POPULAR, 1/2 " OU 3/4 " (REF 1158)</t>
  </si>
  <si>
    <t>TORNEIRA DE MESA, PARA LAVATÓRIO, CROMADA</t>
  </si>
  <si>
    <t>02565</t>
  </si>
  <si>
    <t>BANCA DE ACO INOXIDAVEL, CHAPA 18/304, COM UMA CUBA DE (500X400X200)MM, CHAPA 20/304, DE (0,55X2,00)M</t>
  </si>
  <si>
    <t>03083</t>
  </si>
  <si>
    <t>11.013.0003-1 VERGAS CONCR. ARMADO P/ ALVEN.</t>
  </si>
  <si>
    <t>01648</t>
  </si>
  <si>
    <t>12.003.0075-1 ALVENARIA TIJ. FURADO 10X20X20CM</t>
  </si>
  <si>
    <t>02988</t>
  </si>
  <si>
    <t>DUCHINHA MANUAL, COM MANGUEIRA CROMADA DE 1/2"</t>
  </si>
  <si>
    <t>BARRA DE APOIO EM ACO INOXIDAVEL AISI 304,TUBO DE 1.1/4",INCLUSIVE FIXACAO COM PARAFUSOS INOXIDAVEIS E BUCHAS PLASTICAS, COM 50CM,PARA PESSOAS COM NECESSIDADES ESPECIFICAS.FORNECIMENTO E COLOCACAO (OBS.:3%-DESGASTE DE FERRAMENTAS E EPI).</t>
  </si>
  <si>
    <t>13146</t>
  </si>
  <si>
    <t>BARRA DE APOIO, EM ACO INOXIDAVEL AISI 304, TUBO DE 1.1/4", COM 50CM</t>
  </si>
  <si>
    <t>BARRA DE APOIO EM ACO INOXIDAVEL AISI 304,TUBO DE 1.1/4",INCLUSIVE FIXACAO COM PARAFUSOS INOXIDAVEIS E BUCHAS PLASTICAS, COM 80CM,PARA PESSOAS COM NECESSIDADES ESPECIFICAS.FORNECIMENTO E COLOCACAO (OBS.:3%-DESGASTE DE FERRAMENTAS E EPI).</t>
  </si>
  <si>
    <t>13147</t>
  </si>
  <si>
    <t>BARRA DE APOIO, EM ACO INOXIDAVEL AISI 304, TUBO DE 1.1/4", COM 80CM</t>
  </si>
  <si>
    <t>MASSA PARA VIDRO</t>
  </si>
  <si>
    <t>VIDRACEIRO COM ENCARGOS COMPLEMENTARES</t>
  </si>
  <si>
    <t>00324</t>
  </si>
  <si>
    <t>LIXA P/MADEIRA N§100</t>
  </si>
  <si>
    <t>VIDRO MARTELADO OU CANELADO, 4 MM - SEM COLOCACAO</t>
  </si>
  <si>
    <t>00150</t>
  </si>
  <si>
    <t>CIMENTO BRANCO</t>
  </si>
  <si>
    <t>01976</t>
  </si>
  <si>
    <t>MAO-DE-OBRA DE MARMORISTA DE MARMORE E GRANITO, INCLUSIVE ENCARGOS SOCIAIS</t>
  </si>
  <si>
    <t>00149</t>
  </si>
  <si>
    <t>CIMENTO PORTLAND EM SACO DE 50KG</t>
  </si>
  <si>
    <t>00001</t>
  </si>
  <si>
    <t>AREIA LAVADA, GROSSA, PARA REGIAO METROPOLITANA DO RIO DE JANEIRO</t>
  </si>
  <si>
    <t>03863</t>
  </si>
  <si>
    <t>CORANTE EM PO PARA CAIACAO, EM EMBALAGEMDE 250G</t>
  </si>
  <si>
    <t>14496</t>
  </si>
  <si>
    <t>LIXA PARA MASSA</t>
  </si>
  <si>
    <t>14493</t>
  </si>
  <si>
    <t>TINTA ACRILICA ACETINADA, USO HOSPITALAR, PARA PAREDES E TETOS, NA COR BRANCA, EM LATA DE 18 LITROS</t>
  </si>
  <si>
    <t>06028</t>
  </si>
  <si>
    <t>SELADOR PIGMENTADO A BASE DE RESINA ACRILICA MODIFICADA, NA COR BRANCA</t>
  </si>
  <si>
    <t>03874</t>
  </si>
  <si>
    <t>MASSA ACRILILICA, EM BALDES DE 18 LITROS</t>
  </si>
  <si>
    <t>So000088310</t>
  </si>
  <si>
    <t>PINTOR COM ENCARGOS COMPLEMENTARES</t>
  </si>
  <si>
    <t>TINTA ACRILICA PREMIUM, COR BRANCO FOSCO</t>
  </si>
  <si>
    <t>Local : Rua Major José Bento, nº 1889 - Vila Nova - Barra Mansa - RJ</t>
  </si>
  <si>
    <t>AZULEJISTA OU LADRILHISTA COM ENCARGOS COMPLEMENTARES</t>
  </si>
  <si>
    <t>DEMOLIÇÃO DE ALVENARIA DE BLOCO FURADO, DE FORMA MANUAL, SEM REAPROVEITAMENTO. AF_12/2017</t>
  </si>
  <si>
    <t>DEMOLIÇÃO DE REVESTIMENTO CERÂMICO / AZULEJO, DE FORMA MANUAL, SEM REAPROVEITAMENTO. AF_12/2017</t>
  </si>
  <si>
    <t>So000097644</t>
  </si>
  <si>
    <t>REMOÇÃO DE PORTAS, DE FORMA MANUAL, SEM REAPROVEITAMENTO. AF_12/2017</t>
  </si>
  <si>
    <t>REMOÇÃO DE INTERRUPTORES/TOMADAS ELÉTRICAS, DE FORMA MANUAL, SEM REAPROVEITAMENTO. AF_12/2017</t>
  </si>
  <si>
    <t>REMOÇÃO DE LOUÇAS, DE FORMA MANUAL, SEM REAPROVEITAMENTO. AF_12/2017</t>
  </si>
  <si>
    <t>REMOÇÃO DE METAIS SANITÁRIOS, DE FORMA MANUAL, SEM REAPROVEITAMENTO. AF_12/2017</t>
  </si>
  <si>
    <t>DEMOLIÇÃO DE VERGAS DE CONCRETO DAS PORTAS TROCADAS : DEMOLIÇÃO DE PILARES E VIGAS EM CONCRETO ARMADO, DE FORMA MANUAL, SEM REAPROVEITAMENTO. AF_12/2017</t>
  </si>
  <si>
    <t>VERGA MOLDADA IN LOCO EM CONCRETO PARA PORTAS COM ATÉ 1,5 M DE VÃO. AF_03/2016</t>
  </si>
  <si>
    <t>ESPACADOR / DISTANCIADOR CIRCULAR COM ENTRADA LATERAL, EM PLASTICO, PARA VERGALHAO *4,2 A 12,5* MM, COBRIMENTO 20 MM</t>
  </si>
  <si>
    <t>PECA DE MADEIRA NATIVA / REGIONAL 7,5 X 7,5CM (3X3) NAO APARELHADA (P/FORMA)</t>
  </si>
  <si>
    <t>DESMOLDANTE PROTETOR PARA FORMAS DE MADEIRA, DE BASE OLEOSA EMULSIONADA EM AGUA</t>
  </si>
  <si>
    <t>So000094970 CONCRETO FCK = 20MPA, TRAÇO 1:2,7:3 (CIMENTO/ AREIA MÉDIA/ BRITA 1)  - PREPARO MECÂNICO COM BETONEIRA 600 L. AF_07/2016</t>
  </si>
  <si>
    <t>So000092791 CORTE E DOBRA DE AÇO CA-60, DIÂMETRO DE 5,0 MM, UTILIZADO EM ESTRUTURAS DIVERSAS, EXCETO LAJES. AF_12/2015</t>
  </si>
  <si>
    <t>So000092270 FABRICAÇÃO DE FÔRMA PARA VIGAS, COM MADEIRA SERRADA, E = 25 MM. AF_12/2015</t>
  </si>
  <si>
    <t>05964</t>
  </si>
  <si>
    <t>PARAFUSO COM ROSCA, DE (8x250)MM</t>
  </si>
  <si>
    <t>TOTAL DO MADEIRAMENTO</t>
  </si>
  <si>
    <t>R$ / m2</t>
  </si>
  <si>
    <r>
      <t xml:space="preserve">CONTRARUFO :  EM CHAPA DE AÇO GALVANIZADO NÚMERO 24, CORTE DE  53CM                </t>
    </r>
    <r>
      <rPr>
        <strike/>
        <sz val="11"/>
        <color indexed="8"/>
        <rFont val="Times New Roman"/>
        <family val="1"/>
      </rPr>
      <t xml:space="preserve"> 25 CM</t>
    </r>
    <r>
      <rPr>
        <sz val="11"/>
        <color indexed="8"/>
        <rFont val="Times New Roman"/>
        <family val="1"/>
      </rPr>
      <t>, INCLUSO TRANSPORTE VERTICAL. AF_06/2016</t>
    </r>
  </si>
  <si>
    <t>TOTAL POR  metro</t>
  </si>
  <si>
    <r>
      <t xml:space="preserve">RUFO LATERAL :  EM CHAPA DE AÇO GALVANIZADO NÚMERO 24, CORTE DE  35CM                </t>
    </r>
    <r>
      <rPr>
        <strike/>
        <sz val="11"/>
        <color indexed="8"/>
        <rFont val="Times New Roman"/>
        <family val="1"/>
      </rPr>
      <t xml:space="preserve"> 25 CM</t>
    </r>
    <r>
      <rPr>
        <sz val="11"/>
        <color indexed="8"/>
        <rFont val="Times New Roman"/>
        <family val="1"/>
      </rPr>
      <t>, INCLUSO TRANSPORTE VERTICAL. AF_06/2016</t>
    </r>
  </si>
  <si>
    <t>PORTA EM ALUMÍNIO DE ABRIR TIPO VENEZIANA COM GUARNIÇÃO, FIXAÇÃO COM PARAFUSOS - FORNECIMENTO E INSTALAÇÃO. AF_08/2015</t>
  </si>
  <si>
    <t>PORTA DE ABRIR EM ALUMINIO TIPO VENEZIANA, ACABAMENTO ANODIZADO NATURAL, SEM GUARNICAO/ALIZAR/VISTA, 87 X 210 CM</t>
  </si>
  <si>
    <t>GUARNICAO/MOLDURA DE ACABAMENTO PARA ESQUADRIA DE ALUMINIO ANODIZADO NATURAL, PARA 1 FACE</t>
  </si>
  <si>
    <t>BUCHA DE NYLON SEM ABA S10, COM PARAFUSO DE 6,10 X 65 MM EM ACO ZINCADO COM ROSCA SOBERBA, CABECA CHATA E FENDA PHILLIPS</t>
  </si>
  <si>
    <t>05499</t>
  </si>
  <si>
    <t>DOBRADICA EM ACO LAMINADO CROMADO, EIXODE FERRO, DE 3"X3"</t>
  </si>
  <si>
    <t>07799</t>
  </si>
  <si>
    <t>FECHADURA DE EMBUTIR EM LATAO CROM., P/PORTA EXT.,MACANETA TIPO BOLA EM ZAMAK, DIST. 55MM E PROFUND. 80MM</t>
  </si>
  <si>
    <t>CHAPISCO APLICADO EM ALVENARIAS E ESTRUTURAS DE CONCRETO INTERNAS, COM COLHER DE PEDREIRO.  ARGAMASSA TRAÇO 1:3 COM PREPARO EM BETONEIRA 400L. AF_06/2014</t>
  </si>
  <si>
    <t>So000087313 ARGAMASSA TRAÇO 1:3 (CIMENTO E AREIA GROSSA) PARA CHAPISCO CONVENCIONAL, PREPARO MECÂNICO COM BETONEIRA 400 L. AF_06/2014</t>
  </si>
  <si>
    <t>So000087292 ARGAMASSA TRAÇO 1:2:8 (CIMENTO, CAL E AREIA MÉDIA) PARA EMBOÇO/MASSA ÚNICA/ASSENTAMENTO DE ALVENARIA DE VEDAÇÃO, PREPARO MECÂNICO COM BETONEIRA 400 L. AF_06/2014</t>
  </si>
  <si>
    <t>REJUNTE COLORIDO, CIMENTICIO</t>
  </si>
  <si>
    <t>00408</t>
  </si>
  <si>
    <t>GRANA DE MARMORE BRANCO NACIONAL, N§1, P/MARMORITE</t>
  </si>
  <si>
    <t>05078</t>
  </si>
  <si>
    <t>PEDRA ESMERIL, P/MAQUINA DE POLIMENTO, DE 6" DE GRANULOMETRIA 060</t>
  </si>
  <si>
    <t>05077</t>
  </si>
  <si>
    <t>PEDRA ESMERIL, P/MAQUINA DE POLIMENTO, DE 6" COM GRANULOMETRIA 036</t>
  </si>
  <si>
    <t>RODAPE DE MARMORITE,FUNDIDO NO LOCAL,COM 10CM DE ALTURA,1CM DE ESPESSURA, TERMINANDO EM CANTO RETO JUNTO AO PISO, FEITO COM CIMENTO E GRANA N§1 DE MARMORE BRANCO NACIONAL, COM POLIMENTO MANUAL,O MARMORITE E EXECUTADO SOBRE EMBOCO PREVIO NAO INCLUIDO NESTA (OBS.:3%-DESGASTE DE FERRAMENTAS E EPI).</t>
  </si>
  <si>
    <t>SOLEIRA EM GRANITO CINZA ANDORINHA,ESPESSURA DE 3CM,COM 2 P LIMENTOS,LARGURA DE 15CM,ASSENTADO COM ARGAMASSA DE CIMENTO, SAIBRO E AREIA, NO TRACO 1:2:2, E REJUNTAMENTO COM CIMENTOBRANCO E CORANTE (OBS.:3%-DESGASTE DE FERRAMENTAS E EPI).</t>
  </si>
  <si>
    <t>11183</t>
  </si>
  <si>
    <t>SOLEIRA GRANITO CINZA ANDORINHA, 15X3CMCOM 2 POLIMENTOS</t>
  </si>
  <si>
    <t>MASSA ACRILICA PARA PAREDES INTERIOR/EXTERIOR</t>
  </si>
  <si>
    <t>LIXA EM FOLHA PARA PAREDE OU MADEIRA, NUMERO 120 (COR VERMELHA)</t>
  </si>
  <si>
    <t>02.020.0001-A</t>
  </si>
  <si>
    <t>PLACA DE IDENTIFICACAO DE OBRA PUBLICA,INCLUSIVE PINTURA E SUPORTES DE MADEIRA.FORNECIMENTO E COLOCACAO</t>
  </si>
  <si>
    <t>20132</t>
  </si>
  <si>
    <t>MAO-DE-OBRA DE SERVENTE DA CONSTRUCAO CIVIL, INCLUSIVE ENCARGOS SOCIAIS DESONERADOS</t>
  </si>
  <si>
    <t>20118</t>
  </si>
  <si>
    <t>MAO-DE-OBRA DE PINTOR, INCLUSIVE ENCARGOS SOCIAIS DESONERADOS</t>
  </si>
  <si>
    <t>20045</t>
  </si>
  <si>
    <t>MAO-DE-OBRA DE CARPINTEIRO DE ESQUADRIASDE MADEIRA, INCLUSIVE ENCARGOS SOCIAISDESONERADOS</t>
  </si>
  <si>
    <t>30411</t>
  </si>
  <si>
    <t>19.004.0001-C CAMINHAO CARROC. FIXA, 3,5T (CP)</t>
  </si>
  <si>
    <t>20115</t>
  </si>
  <si>
    <t>MAO-DE-OBRA DE PEDREIRO, INCLUSIVE ENCARGOS SOCIAIS DESONERADOS</t>
  </si>
  <si>
    <t>SI000097622</t>
  </si>
  <si>
    <t>SI000088316</t>
  </si>
  <si>
    <t>SI000088309</t>
  </si>
  <si>
    <t>DEMOLIÇÃO DE PILARES E VIGAS EM CONCRETO ARMADO, DE FORMA MANUAL, SEM REAPROVEITAMENTO. AF_12/2017</t>
  </si>
  <si>
    <t>SI000005811</t>
  </si>
  <si>
    <t>SI000005811 CAMINHÃO BASCULANTE 6 M3, PESO BRUTO TOTAL 16.000 KG, CARGA ÚTIL MÁXIMA 13.071 KG, DISTÂNCIA ENTRE EIXOS 4,80 M, POTÊNCIA 230 CV INCLUSIVE CAÇAMBA METÁLICA - CHP DIURNO. AF_06/2014</t>
  </si>
  <si>
    <t>Composição : 05.001.0015-A</t>
  </si>
  <si>
    <t>03911</t>
  </si>
  <si>
    <t>LAVATORIO DE LOUCA BRANCA, TIPO MEDIO LUXO, MEDINDO EM TORNO DE (47X35)CM, INCLUSIVE ACESSORIOS DE FIXACAO</t>
  </si>
  <si>
    <t>03902</t>
  </si>
  <si>
    <t>TORNEIRA DE PRESSAO DE 1/2", SEM AREJADOR</t>
  </si>
  <si>
    <t>03901</t>
  </si>
  <si>
    <t>SIFAO EM METAL CROMADO, DE 1"X1.1/4"</t>
  </si>
  <si>
    <t>02355</t>
  </si>
  <si>
    <t>VALVULA DE ESCOAMENTO, P/LAVATORIO, 1603, EM METAL CROMADO, DE 1"</t>
  </si>
  <si>
    <t>BANCADA EM AÇO INOX AISE 304, COM UMA CUBA (APROX. 500X400X250MM), PÉS TUBULARES, GRADEADO INFERIOR, ESPELHO E RODOPIA. MEDIDAS : 1400X600MM.  FORNECIMENTO E COLOCACAO (OBS.:3%-DESGASTE DE FERRAMENTAS E EPI).</t>
  </si>
  <si>
    <t xml:space="preserve">BANCADA EM AÇO INOX AISE 304, COM UMA CUBA (APROX. 500X400X250MM), PÉS TUBULARES, GRADEADO INFERIOR, ESPELHO E RODOPIA. MEDIDAS : 1400X600MM.  </t>
  </si>
  <si>
    <t>BANCADA EM AÇO INOX AISE 304, COM UMA CUBA (APROX. 500X400X250MM), PÉS TUBULARES, GRADEADO INFERIOR, ESPELHO E RODOPIA. MEDIDAS : 1500X600MM. FORNECIMENTO E COLOCACAO (OBS.:3%-DESGASTE DE FERRAMENTAS E EPI).</t>
  </si>
  <si>
    <t>BANCADA EM AÇO INOX AISE 304, COM UMA CUBA (APROX. 500X400X250MM), PÉS TUBULARES, GRADEADO INFERIOR, ESPELHO E RODOPIA. MEDIDAS : 1500X600MM.</t>
  </si>
  <si>
    <t>COBERTURA EM TELHA MODULAR DE CIMENTO,SEM AMIANTO,REFORCADO COM FIOS SINTETICOS (CRFS),COM 50CM DE LARGURA,ESPESSURA DE 8MM,INCLUSIVE ACESSORIOS DE FIXACAO E VEDACAO,EXCLUSIVE MADEIRAMENTO.FORNECIMENTO E COLOCACAO (OBS.:3%-DESGASTE DE FERRAMENTAS E EPI).</t>
  </si>
  <si>
    <t>08005</t>
  </si>
  <si>
    <t>TELHA MODULAR DE CIMENTO, SEM AMIANTO, REFORCADA C/FIOS SINTETICOS (CRFS), DE (2,30X0,50)M C/ESPES. DE 8MM</t>
  </si>
  <si>
    <t>PARTE INTERNA</t>
  </si>
  <si>
    <t>PARTE EXTERNA</t>
  </si>
  <si>
    <t>Projeto :</t>
  </si>
  <si>
    <t xml:space="preserve">Levant. Quant. : </t>
  </si>
  <si>
    <t>Orçamento :</t>
  </si>
  <si>
    <t>Aprovação :</t>
  </si>
  <si>
    <t>CAPINA E LIMPEZA MANUAL DE TERRENO</t>
  </si>
  <si>
    <t>So000097631</t>
  </si>
  <si>
    <t>DEMOLIÇÃO DE ARGAMASSAS, DE FORMA MANUAL, SEM REAPROVEITAMENTO. AF_12/2017</t>
  </si>
  <si>
    <t>DEMOLIÇÃO DE RAMPAS DE CONCRETO : DEMOLICAO MANUAL DE CONCRETO SIMPLES COM EMPILHAMENTO LATERAL DENTRO DO CANTEIRO DE SERVICO (OBS.:3%-DESGASTE DE FERRAMENTAS E EPI).</t>
  </si>
  <si>
    <t>REMOÇÃO DE TELHAS, DE FIBROCIMENTO, METÁLICA E CERÂMICA, DE FORMA MANUAL, SEM REAPROVEITAMENTO. AF_12/2017</t>
  </si>
  <si>
    <t>REMOÇÃO DE METAIS SANITÁRIOS (APOIO, TORNEIRAS E DUCHINHA), DE FORMA MANUAL, SEM REAPROVEITAMENTO. AF_12/2017</t>
  </si>
  <si>
    <t>REMOÇÃO DE LOUÇAS (VASO SANITÁRIO, CX. DESCARGA E LAVATÓRIO), DE FORMA MANUAL, SEM REAPROVEITAMENTO. AF_12/2017</t>
  </si>
  <si>
    <t>REMOCAO DE COBERTURA EM TELHAS DE FIBROCIMENTO CONVENCIONAL,ONDULADA,INCLUSIVE MADEIRAMENTO,MEDIDO O CONJUNTO PELA AREA REAL DE COBERTURA (OBS.:3%-DESGASTE DE FERRAMENTAS E EPI).</t>
  </si>
  <si>
    <t>MADEIRAMENTO E PONTALETE PARA COBERTURA EM TELHAS ONDULADAS,CONSTITUIDO DE PECAS DE 3"X3" E 3"X4.1/2",EM MADEIRA APARELHADA,SEM TESO URA OU PONTALETE,MEDIDO PELA AREA REAL DO MADEIRAMENTO.FORNECIMENTO E COLOCACAO (OBS.:3%-DESGASTE DE FERRAMENTAS E EPI).</t>
  </si>
  <si>
    <t>So38123</t>
  </si>
  <si>
    <t>SELANTE TIPO VEDA CALHA PARA METAL E FIBROCIMENTO</t>
  </si>
  <si>
    <t>So07237</t>
  </si>
  <si>
    <t>RUFO PARA TELHA ONDULADA DE FIBROCIMENTO, E = 6 MM, ABA *260* MM, COMPRIMENTO 1100 MM (SEM AMIANTO)</t>
  </si>
  <si>
    <t>So04299</t>
  </si>
  <si>
    <t>PARAFUSO ZINCADO ROSCA SOBERBA, CABECA SEXTAVADA, 5/16 " X 110 MM, PARA FIXACAO DE TELHA EM MADEIRA</t>
  </si>
  <si>
    <t>So01607</t>
  </si>
  <si>
    <t>CONJUNTO ARRUELAS DE VEDACAO 5/16" PARA TELHA FIBROCIMENTO (UMA ARRUELA METALICA E UMA ARRUELA PVC - CONICAS)</t>
  </si>
  <si>
    <t>CJ</t>
  </si>
  <si>
    <t>INSTALAÇÕES ELÉTRICAS</t>
  </si>
  <si>
    <t>So38383</t>
  </si>
  <si>
    <t>LIXA D'AGUA EM FOLHA, GRAO 100</t>
  </si>
  <si>
    <t>So20083</t>
  </si>
  <si>
    <t>SOLUCAO LIMPADORA PARA PVC, FRASCO COM 1000 CM3</t>
  </si>
  <si>
    <t>So11741</t>
  </si>
  <si>
    <t>RALO SIFONADO PVC CILINDRICO, 100 X 40 MM,  COM GRELHA REDONDA BRANCA</t>
  </si>
  <si>
    <t>So00122</t>
  </si>
  <si>
    <t>ADESIVO PLASTICO PARA PVC, FRASCO COM 850 GR</t>
  </si>
  <si>
    <t>So000088248</t>
  </si>
  <si>
    <t>Composição : So000089709</t>
  </si>
  <si>
    <t>PORTA CADEADO ZINCADO OXIDADO PRETO COM CADEADO DE ACO INOX, LARGURA DE *50* MM</t>
  </si>
  <si>
    <t>CADEADO EM ACO INOX, LARGURA DE *50* MM, COM HASTE EM ACO TEMPERADO, SEM MOLA - CHAVES INCLUIDAS</t>
  </si>
  <si>
    <t>PORTA CADEADO,  3 1/2", EM ACO ZINCADO, PRETO, PARA PORTAO E JANELA</t>
  </si>
  <si>
    <t>CARPINTEIRO DE ESQUADRIA COM ENCARGOS COMPLEMENTARES</t>
  </si>
  <si>
    <t>AJUDANTE DE CARPINTEIRO COM ENCARGOS COMPLEMENTARES</t>
  </si>
  <si>
    <t>JANELA BASCULANTE DE ALUMINIO ANODIZADO AO NATURAL,COM 1 ORDEM E BASCULA INFERIOR FIXA,EM PERFIS SERIE 28.FORNECIMENTO E COLOCACAO (OBS.:3%-DESGASTE DE FERRAMENTAS E EPI 23%-ANODIZACAO E ACESSORIOS).</t>
  </si>
  <si>
    <t>00022</t>
  </si>
  <si>
    <t>ALUMINIO EM PERFIL TUBULAR EXTRUDADO, LIGA COMUM</t>
  </si>
  <si>
    <t>13.030.0255-A</t>
  </si>
  <si>
    <t>07798</t>
  </si>
  <si>
    <t>ARGAMASSA PARA REJUNTAMENTO PIGMENTADA,EMBALAGEM DE 5KG</t>
  </si>
  <si>
    <t>07797</t>
  </si>
  <si>
    <t>ARGAMASSA COLANTE, PARA USO EXTERNO, EMBALAGEM DE 20 KG</t>
  </si>
  <si>
    <t>07796</t>
  </si>
  <si>
    <t>REVESTIMENTO CERAMICO PARA PAREDES, DE (10X10)CM</t>
  </si>
  <si>
    <t>00077</t>
  </si>
  <si>
    <t>AZULEJO BRANCO, BRILHANTE EXTRA, DE (15x15)CM</t>
  </si>
  <si>
    <t>14022</t>
  </si>
  <si>
    <t>GNAISSES REGIAO PEDRA CINZA RJ,SERRADA NAS LATERAIS C/FACE NATURAL (23X11,5)CM,C/ESPESSURA DE REFERENCIA DE 1,50CM</t>
  </si>
  <si>
    <t>Revestimentos  Paredes Externas com Placa Retangular de Granito (Lajinha)</t>
  </si>
  <si>
    <t>00289</t>
  </si>
  <si>
    <t>CABO SOLIDO DE COBRE ELETROLITICO NU, TEMPERA MOLE, CLASSE 2, SECAO CIRCULAR DE10,0 A 500,0MM2</t>
  </si>
  <si>
    <t>03429</t>
  </si>
  <si>
    <t>07.001.0130-1 ARGAMASSA CIM.,SAIBRO,AREIA 1:3:3,PREPARO MANUAL</t>
  </si>
  <si>
    <t>11186</t>
  </si>
  <si>
    <t xml:space="preserve">  </t>
  </si>
  <si>
    <t>PISO EM PORCELANATO RETIFICADO EXTRA, FORMATO MENOR OU IGUAL A 2025 CM2</t>
  </si>
  <si>
    <t>ARGAMASSA COLANTE TIPO ACIII</t>
  </si>
  <si>
    <t>REVESTIMENTO CERÂMICO PARA PISO COM PLACAS TIPO PORCELANATO DE DIMENSÕES APROXIMADAS DE 45X45 CM APLICADA EM AMBIENTES DE ÁREA MENOR QUE 5 M². AF_06/2014</t>
  </si>
  <si>
    <t>RODAPÉS,  SOLEIRAS E  PEITORIS</t>
  </si>
  <si>
    <t>05946</t>
  </si>
  <si>
    <t>PE DE GALINHA</t>
  </si>
  <si>
    <t>05337</t>
  </si>
  <si>
    <t>SUPORTE P/LAMPADA FLUORESCENTE</t>
  </si>
  <si>
    <t>05064</t>
  </si>
  <si>
    <t>CALHA CHANFRADA DE SOBREPOR, FIXADA EM LAJE OU FORRO, CHAPA ACO FOSFAT.,ESMALTADA EM ESTUFA 150§C, P/LAMP.FLUOR. 2X20W</t>
  </si>
  <si>
    <t>04317</t>
  </si>
  <si>
    <t>REATOR PARA LAMPADA FLUORESCENTE, DUPLO,PARTIDA E ALTO FATOR DE POTENCIA, DE 20W</t>
  </si>
  <si>
    <t>04311</t>
  </si>
  <si>
    <t>LAMPADA FLUORESCENTE TUBULAR, DE 20W</t>
  </si>
  <si>
    <t>APARELHOS SANITÁRIOS</t>
  </si>
  <si>
    <t>DEMOLICAO DE PISO DE ARDÓSIA COM RESPECTIVA CAMADA DE ARGAMASSA DE ASSENTAMENTO, INCLUSIVE EMPILHAMENTO LATERAL DENTRO D O CANTEIRO DE SERVICO (OBS.:3%-DESGASTE DE FERRAMENTAS E EPI).</t>
  </si>
  <si>
    <t>REMOCAO DE COBERTURA EM TELHAS DE FIBROCIMENTO CONVENCIONAL, ONDULADA, INCLUSIVE MADEIRAMENTO, MEDIDO O CONJUNTO PELA AREA REAL DE COBERTURA (OBS.:3%-DESGASTE DE FERRAMENTAS E EPI).</t>
  </si>
  <si>
    <t xml:space="preserve">GRELHA INOX, ESCAMOTEÁVEL, DE 15X15CM   </t>
  </si>
  <si>
    <t>GRELHA INOX, ESCAMOTEÁVEL, DE 15X15CM</t>
  </si>
  <si>
    <t>MASSA ÚNICA, EM ARGAMASSA TRAÇO 1:2:8, PREPARO MECÂNICO COM BETONEIRA 400L, APLICADA MANUALMENTE EM FACES INTERNAS DE PAREDES E TETOS , ESPESSURA DE 20MM, COM EXECUÇÃO DE TALISCAS. AF_06/2014</t>
  </si>
  <si>
    <t>REGULARIZAÇÃO DE SUPERFÍCIE COM EMBOÇO : REBOCO EXTERNO OU INTERNO COM ARGAMASSA DE CIMENTO,CAL HIDRATADA EM PO E AREIA FINA,NO TRACO 1:3:5,COM ESPESSURA DE 3MM, APLICADO SOBRE EMBOCO EXISTENTE,EXCLUSIVE EMBOCO (OBS.:3%-DESGASTE DE FERRAMENTAS E EPI).</t>
  </si>
  <si>
    <t xml:space="preserve">PARTE INTERNA </t>
  </si>
  <si>
    <t xml:space="preserve">PARTE EXTERNA </t>
  </si>
  <si>
    <t>EXECUÇÃO DE PASSEIO (CALÇADA) OU PISO DE CONCRETO COM CONCRETO MOLDADO IN LOCO, FEITO EM OBRA, ACABAMENTO CONVENCIONAL, ESPESSURA 8 CM, ARMADO. AF_07/2016</t>
  </si>
  <si>
    <t>So07156</t>
  </si>
  <si>
    <t>TELA DE ACO SOLDADA NERVURADA, CA-60, Q-196, (3,11 KG/M2), DIAMETRO DO FIO = 5,0 MM, LARGURA =  2,45 M, ESPACAMENTO DA MALHA = 10 X 10 CM</t>
  </si>
  <si>
    <t>PECA DE MADEIRA NATIVA/REGIONAL 2,5 X 7,0 CM (SARRAFO-P/FORMA)</t>
  </si>
  <si>
    <t>SARRAFO DE MADEIRA NAO APARELHADA *2,5 X 10 CM, MACARANDUBA, ANGELIM OU EQUIVALENTE DA REGIAO</t>
  </si>
  <si>
    <t>LONA PLASTICA PRETA, E= 150 MICRA</t>
  </si>
  <si>
    <t>CARPINTEIRO DE FORMAS COM ENCARGOS COMPLEMENTARES</t>
  </si>
  <si>
    <t>So000094964 CONCRETO FCK = 20MPA, TRAÇO 1:2,7:3 (CIMENTO/ AREIA MÉDIA/ BRITA 1)  - PREPARO MECÂNICO COM BETONEIRA 400 L. AF_07/2016</t>
  </si>
  <si>
    <t>CORDOES DE CONCRETO SIMPLES,COM SECAO DE 10X25CM,MOLDADOS NO LOCAL,INCLUSIVE ESCAVACAO E REATERRO (OBS.:3%-DESGASTE DE FERRAMENTAS E EPI).</t>
  </si>
  <si>
    <t>11228</t>
  </si>
  <si>
    <t>PISO CERAMICO TATIL ALERTA, AMARELO, PARA PORTADORES DE NECESSIDADES ESPECIFICAS</t>
  </si>
  <si>
    <t>05350</t>
  </si>
  <si>
    <t>OXIDO DE FERRO</t>
  </si>
  <si>
    <t>REVESTIMENTO DE PISO COM CERAMICA TATIL DIRECIONAL,(LADRILHO HIDRAULICO),PARA PESSOAS COM NECESSIDADES ESPECIFICAS,ASSEN TES SOBRE SUPERFICIE EM OSSO,CONFORME ITEM 13.330.0010 (OBS.:3%-DESGASTE DE FERRAMENTAS E EPI).</t>
  </si>
  <si>
    <t>11227</t>
  </si>
  <si>
    <t>PISO CERAMICO TATIL DIRECIONAL, AMARELO,PARA PORTADORES DE NECESSIDADES ESPECIFICAS</t>
  </si>
  <si>
    <t>PLANTIO DE GRAMA EM PLACAS TIPO ESMERALDA,INCLUSIVE FORNECIMENTO DA GRAMA E TRANSPORTE,EXCLUSIVE PREPARO DO TERRENO E O MATERIAL PARA ESTE (OBS.:3%-DESGASTE DE FERRAMENTAS E EPI).</t>
  </si>
  <si>
    <t>00699</t>
  </si>
  <si>
    <t>GRAMA EM PLACAS, TIPO ESMERALDA, COM TRANSPORTE</t>
  </si>
  <si>
    <t>TERRA ESTRUMADA,INCLUSIVE CARGA,TRANSPORTE E DESCARGA.FORNECIMENTO</t>
  </si>
  <si>
    <t>10896</t>
  </si>
  <si>
    <t>TERRA ESTRUMADA, INCLUINDO CARGA, TRANSPORTE E DESCARGA</t>
  </si>
  <si>
    <t>TERRA ESTRUMADA,INCLUSIVE CARGA,TRANSPORTE E DESCARGA. FORNECIMENTO</t>
  </si>
  <si>
    <t>REVESTIMENTO DE PISO COM CERAMICA TATIL DIRECIONAL ,(LADRILHO HIDRAULICO), PARA PESSOAS COM NECESSIDADES ESPECIFICAS, ASSENTES SOBRE SUPERFICIE EM OSSO, CONFORME ITEM 13.330.0010 (OBS.:3%-DESGASTE DE FERRAMENTAS E EPI).</t>
  </si>
  <si>
    <t xml:space="preserve">PINTURA INTERNA E EXTERNA </t>
  </si>
  <si>
    <t xml:space="preserve">PINTURA EXTERNA </t>
  </si>
  <si>
    <t>PINTURA INTERNA - Paredes</t>
  </si>
  <si>
    <t>PINTURA INTERNA - Tetos</t>
  </si>
  <si>
    <r>
      <t xml:space="preserve">PINTURA COM TINTA ACRILICA ACETINADA,PARA USO HOSPITALAR,SOBRE PAREDES </t>
    </r>
    <r>
      <rPr>
        <strike/>
        <sz val="11"/>
        <rFont val="Times New Roman"/>
        <family val="1"/>
      </rPr>
      <t>E TETOS</t>
    </r>
    <r>
      <rPr>
        <sz val="11"/>
        <rFont val="Times New Roman"/>
        <family val="1"/>
      </rPr>
      <t>,INCLUSIVE LIXAMENTO,UMA DEMAO DE SELADOR ACRILICO,DUAS DEMAOS DE MASSA ACRILICA E DUAS DEMAOS DE ACABAMENTO (OBS.:3%- DESGASTE DE FERRAMENTAS E EPI).</t>
    </r>
  </si>
  <si>
    <t>APLICAÇÃO DE FUNDO SELADOR ACRÍLICO EM PAREDES, UMA DEMÃO. AF_06/2014</t>
  </si>
  <si>
    <t>SELADOR ACRILICO PAREDES INTERNAS/EXTERNAS</t>
  </si>
  <si>
    <t>APLICAÇÃO DE FUNDO SELADOR LÁTEX PVA EM TETO, UMA DEMÃO. AF_06/2014</t>
  </si>
  <si>
    <t>SELADOR PVA PAREDES INTERNAS</t>
  </si>
  <si>
    <t>APLICAÇÃO MANUAL DE PINTURA COM TINTA LÁTEX ACRÍLICA EM PAREDES, DUAS DEMÃOS. AF_06/2014</t>
  </si>
  <si>
    <t>TINTA LATEX PVA PREMIUM, COR BRANCA</t>
  </si>
  <si>
    <t>APLICAÇÃO MANUAL DE MASSA ACRÍLICA EM PAREDES EXTERNAS DE CASAS, DUAS DEMÃOS. AF_05/2017</t>
  </si>
  <si>
    <t>APLICAÇÃO E LIXAMENTO DE MASSA LÁTEX EM TETO, UMA DEMÃO. AF_06/2014</t>
  </si>
  <si>
    <t>MASSA CORRIDA PVA PARA PAREDES INTERNAS</t>
  </si>
  <si>
    <t>18L</t>
  </si>
  <si>
    <t>Inclui : 1 Demão Selador Acrílico + 2 Demãos Massa Acrílica + 2 Demãos de Acabamento</t>
  </si>
  <si>
    <t>PINTURA ESMALTE FOSCO, DUAS DEMAOS, SOBRE SUPERFICIE METALICA, INCLUSO UMA DEMAO DE FUNDO ANTICORROSIVO. UTILIZACAO DE REVOLVER ( AR-COMPRIMIDO).</t>
  </si>
  <si>
    <t>FUNDO ANTICORROSIVO PARA METAIS FERROSOS (ZARCAO)</t>
  </si>
  <si>
    <t>TINTA ESMALTE SINTETICO PREMIUM FOSCO</t>
  </si>
  <si>
    <t>REMOVEDOR DE TINTA OLEO/ESMALTE VERNIZ</t>
  </si>
  <si>
    <t>LIXA EM FOLHA PARA FERRO, NUMERO 150</t>
  </si>
  <si>
    <t>PINTURA COM TINTA ACRILICA ACETINADA,PARA USO HOSPITALAR,SOBRE PAREDES, INCLUSIVE LIXAMENTO,UMA DEMAO DE SELADOR ACRILICO,DUAS DEMAOS DE MASSA ACRILICA E DUAS DEMAOS DE ACABAMENTO (OBS.:3%- DESGASTE DE FERRAMENTAS E EPI).</t>
  </si>
  <si>
    <t>ABRIGO PARA COMPRESSOR</t>
  </si>
  <si>
    <t>CONCRETAGEM DE RADIER, PISO OU LAJE SOBRE SOLO, FCK 30 MPA, PARA ESPESSURA DE 10 CM - LANÇAMENTO, ADENSAMENTO E ACABAMENTO. AF_09/2017</t>
  </si>
  <si>
    <t>CONCRETO USINADO BOMBEAVEL, CLASSE DE RESISTENCIA C30, COM BRITA 0 E 1, SLUMP = 100 +/- 20 MM, INCLUI SERVICO DE BOMBEAMENTO (NBR 8953)</t>
  </si>
  <si>
    <t>So000090586 VIBRADOR DE IMERSÃO, DIÂMETRO DE PONTEIRA 45MM, MOTOR ELÉTRICO TRIFÁSICO POTÊNCIA DE 2 CV - CHP DIURNO. AF_06/2015</t>
  </si>
  <si>
    <t>LAJE PRE-MOLDADA P/FORRO, SOBRECARGA 100KG/M2, VAOS ATE 3,50M/E=8CM, C/LAJOTAS E CAP.C/CONC FCK=20MPA, 3CM, INTER-EIXO 38CM, C/ESCORAMENTO (REAPR.3X) E FERRAGEM NEGATIVA</t>
  </si>
  <si>
    <t>TABUA MADEIRA 2A QUALIDADE 2,5 X 30,0CM (1 X 12") NAO APARELHADA</t>
  </si>
  <si>
    <t>LAJE PRE-MOLDADA CONVENCIONAL (LAJOTAS + VIGOTAS) PARA FORRO, UNIDIRECIONAL, SOBRECARGA DE 100 KG/M2, VAO ATE 4,00 M (SEM COLOCACAO)</t>
  </si>
  <si>
    <t>ACO CA-60, 5,0 MM, VERGALHAO</t>
  </si>
  <si>
    <t>05845</t>
  </si>
  <si>
    <t>ACO CA-50, ESTIRADO, PRECO DE REVENDEDOR, NO DIAMETRO DE 08,0MM</t>
  </si>
  <si>
    <t>05844</t>
  </si>
  <si>
    <t>ACO CA-50, ESTIRADO, PRECO DE REVENDEDOR, NO DIAMETRO DE 06,3MM</t>
  </si>
  <si>
    <t>02249</t>
  </si>
  <si>
    <t>00021</t>
  </si>
  <si>
    <t>ACO CA-50, ESTIRADO, PRECO DE REVENDEDOR, NO DIAMETRO, DE 25,0MM</t>
  </si>
  <si>
    <t>00019</t>
  </si>
  <si>
    <t>ACO CA-50, ESTIRADO, PRECO DE REVENDEDOR, NO DIAMETRO DE 16,0MM</t>
  </si>
  <si>
    <t>00018</t>
  </si>
  <si>
    <t>ACO CA-50, ESTIRADO, PRECO DE REVENDEDOR, NO DIAMETRO DE 12,5MM</t>
  </si>
  <si>
    <t>00017</t>
  </si>
  <si>
    <t>ACO CA-50, ESTIRADO, PRECO DE REVENDEDOR, NO DIAMETRO DE 10,0MM</t>
  </si>
  <si>
    <t>00004</t>
  </si>
  <si>
    <t>ARAME RECOZIDO N§ 18</t>
  </si>
  <si>
    <r>
      <t xml:space="preserve">DEMOLICAO DE PISO DE  ARDÓSIA            </t>
    </r>
    <r>
      <rPr>
        <strike/>
        <sz val="11"/>
        <color indexed="8"/>
        <rFont val="Times New Roman"/>
        <family val="1"/>
      </rPr>
      <t>LADRILHO</t>
    </r>
    <r>
      <rPr>
        <sz val="11"/>
        <color indexed="8"/>
        <rFont val="Times New Roman"/>
        <family val="1"/>
      </rPr>
      <t xml:space="preserve"> COM RESPECTIVA CAMADA DE ARGAMASSA DE ASSENTAMENTO,INCLUSIVE EMPILHAMENTO LATERAL DENTRO D O CANTEIRO DE SERVICO (OBS.:3%-DESGASTE DE FERRAMENTAS E EPI).</t>
    </r>
  </si>
  <si>
    <t>SI73859/002</t>
  </si>
  <si>
    <t>05.001.0001-A</t>
  </si>
  <si>
    <t xml:space="preserve"> (01) Composição : So000094450 </t>
  </si>
  <si>
    <t xml:space="preserve">(02) Composição : So000094450 </t>
  </si>
  <si>
    <t>Composição : 18.007.0051-0</t>
  </si>
  <si>
    <t>DUCHINHA MANUAL,COM REGISTRO DE PRESSAO 1/2" CROMADO,RABICHO CROMADO,SUPORTE BRANCO,PISTOLA BRANCA,BUCHAS E PARAFUSOS PARA FIXACAO. FORNECIMENTO E INSTALAÇÃO</t>
  </si>
  <si>
    <r>
      <t xml:space="preserve">GRELHA INOX, ESCAMOTEÁVEL, DE 15X15CM. FORNECIMENTO E INSTALAÇÃO.       </t>
    </r>
    <r>
      <rPr>
        <strike/>
        <sz val="11"/>
        <rFont val="Times New Roman"/>
        <family val="1"/>
      </rPr>
      <t xml:space="preserve"> RALO SIFONADO, PVC, DN 100 X 40 MM, JUNTA SOLDÁVEL, FORNECIDO E INSTALADO EM RAMAL DE DESCARGA OU EM RAMAL DE ESGOTO SANITÁRIO</t>
    </r>
    <r>
      <rPr>
        <sz val="11"/>
        <rFont val="Times New Roman"/>
        <family val="1"/>
      </rPr>
      <t>. AF_12/2014</t>
    </r>
  </si>
  <si>
    <t>REVESTIMENTO CERÂMICO PARA PISO COM PLACAS TIPO PORCELANATO DE DIMENSÕES 45X45 CM APLICADA EM AMBIENTES DE ÁREA MENOR QUE 5 M². AF_06/2014</t>
  </si>
  <si>
    <t xml:space="preserve">RODAPÉ DE MARMORITE </t>
  </si>
  <si>
    <t xml:space="preserve">SOLEIRA DE MARMORITE - 15 cm </t>
  </si>
  <si>
    <t>ALAMBRADO PARA QUADRA POLIESPORTIVA, ESTRUTURADO POR TUBOS DE ACO GALVANIZADO, COM COSTURA, DIN 2440, DIAMETRO 2", COM TELA DE ARAME GALVANIZADO, FIO 14 BWG E MALHA QUADRADA 5X5CM</t>
  </si>
  <si>
    <t>TUBO ACO GALVANIZADO COM COSTURA, CLASSE MEDIA, DN 2", E = *3,65* MM, PESO *5,10* KG/M (NBR 5580)</t>
  </si>
  <si>
    <t>TELA DE ARAME GALV QUADRANGULAR / LOSANGULAR,  FIO 2,11 MM (14 BWG), MALHA  5 X 5 CM, H = 2 M</t>
  </si>
  <si>
    <t>ARAME GALVANIZADO 10 BWG, 3,40 MM (0,0713 KG/M)</t>
  </si>
  <si>
    <t>ARAME GALVANIZADO 14 BWG, D = 2,11 MM (0,026 KG/M)</t>
  </si>
  <si>
    <t>SERRALHEIRO COM ENCARGOS COMPLEMENTARES</t>
  </si>
  <si>
    <t>RUFO EM FIBROCIMENTO (50 ETERNIT,  COM 615 MM DE LARGURA) PARA TELHA MODULAR DE CIMENTO, SEM AMIANTO, INCLUSO TRANSPORTE VERTICAL. AF_06/2016</t>
  </si>
  <si>
    <t>CALÇO PLÁSTICO COM VENTILAÇÃO, PARA TELHA MODULADA DE CIMENTO, SEM AMIANTO, COM 423 MM DE LARGURA, INCLUSO TRANSPORTE VERTICAL. AF_06/2016</t>
  </si>
  <si>
    <r>
      <t>RUFO EM FIBROCIMENTO (50 ETERNIT, COM 615 MM DE LARGURA) PARA TELHA MODULAR DE CIMENTO, SEM AMIANTO</t>
    </r>
    <r>
      <rPr>
        <strike/>
        <sz val="11"/>
        <color indexed="8"/>
        <rFont val="Times New Roman"/>
        <family val="1"/>
      </rPr>
      <t xml:space="preserve"> ONDULADA E = 6 MM, ABA DE 26 CM,</t>
    </r>
    <r>
      <rPr>
        <sz val="11"/>
        <color indexed="8"/>
        <rFont val="Times New Roman"/>
        <family val="1"/>
      </rPr>
      <t xml:space="preserve"> INCLUSO TRANSPORTE VERTICAL. AF_06/2016</t>
    </r>
  </si>
  <si>
    <t xml:space="preserve">RUFO EM FIBROCIMENTO (50 ETERNIT, OU SIMILAR, COM 615 MM DE LARGURA) </t>
  </si>
  <si>
    <r>
      <t xml:space="preserve">CALÇO PLÁSTICO COM VENTILAÇÃO, PARA TELHA MODULADA DE CIMENTO, SEM AMIANTO, COM 423 MM DE LARGURA,     </t>
    </r>
    <r>
      <rPr>
        <strike/>
        <sz val="11"/>
        <color indexed="8"/>
        <rFont val="Times New Roman"/>
        <family val="1"/>
      </rPr>
      <t>RUFO EM FIBROCIMENTO PARA TELHA ONDULADA E = 6 MM, ABA DE 26 CM</t>
    </r>
    <r>
      <rPr>
        <sz val="11"/>
        <color indexed="8"/>
        <rFont val="Times New Roman"/>
        <family val="1"/>
      </rPr>
      <t>, INCLUSO TRANSPORTE VERTICAL. AF_06/2016</t>
    </r>
  </si>
  <si>
    <t>CALÇO PLÁSTICO COM VENTILAÇÃO, PARA TELHA MODULADA DE CIMENTO, SEM AMIANTO, COM 423 MM DE LARGURA</t>
  </si>
  <si>
    <t>DUCHINHA MANUAL,COM REGISTRO DE PRESSAO 1/2" CROMADO,RABICHO CROMADO,SUPORTE BRANCO,PISTOLA BRANCA,BUCHAS E PARAFUSOS PA RA FIXACAO. FORNECIMENTO E INSTALAÇÃO</t>
  </si>
  <si>
    <t>Arqª Valeria V. M. de Camargo (CAU A11074-4)</t>
  </si>
  <si>
    <t>Engº Eros dos Santos</t>
  </si>
  <si>
    <t>Contrato de Repasse nº   851743 / 2017                  (SICONV)</t>
  </si>
  <si>
    <t>CRONOGRAMA  FÍSICO-FINANCEIRO</t>
  </si>
  <si>
    <t>SERVIÇO</t>
  </si>
  <si>
    <t xml:space="preserve">Desembolso </t>
  </si>
  <si>
    <t>Físico</t>
  </si>
  <si>
    <t>1º Mês</t>
  </si>
  <si>
    <t>2º Mês</t>
  </si>
  <si>
    <t>3º Mês</t>
  </si>
  <si>
    <t>4º Mês</t>
  </si>
  <si>
    <t>Financeiro</t>
  </si>
  <si>
    <t>Financ.</t>
  </si>
  <si>
    <t>R$</t>
  </si>
  <si>
    <t>TOTAL POR MEDIÇÃO</t>
  </si>
  <si>
    <t>TOTAL  ACUMULADO</t>
  </si>
  <si>
    <t>Orç. Nº</t>
  </si>
  <si>
    <t>Data</t>
  </si>
  <si>
    <t>Rev. Nº</t>
  </si>
  <si>
    <t>REMOÇÃO DE FORRO DE GESSO, DE FORMA MANUAL, SEM REAPROVEITAMENTO. AF_12/2017</t>
  </si>
  <si>
    <t>GESSEIRO COM ENCARGOS COMPLEMENTARES</t>
  </si>
  <si>
    <t>11181</t>
  </si>
  <si>
    <t>PEITORIL EM GRANITO CINZA ANDORINHA, (28X2)CM</t>
  </si>
  <si>
    <t>Para Arrancamento e Recoloção, aumentar em 50,0% a Mão-de-Obra :</t>
  </si>
  <si>
    <r>
      <t xml:space="preserve">Arrancamento e Recolocação : PEITORIL EM GRANITO CINZA ANDORINHA,ESPESSURA DE 2CM,LARGURA DE  30CM     </t>
    </r>
    <r>
      <rPr>
        <strike/>
        <sz val="11"/>
        <color indexed="8"/>
        <rFont val="Times New Roman"/>
        <family val="1"/>
      </rPr>
      <t xml:space="preserve"> 28CM</t>
    </r>
    <r>
      <rPr>
        <sz val="11"/>
        <color indexed="8"/>
        <rFont val="Times New Roman"/>
        <family val="1"/>
      </rPr>
      <t>,ASSENTADO COM NATA DE CIMENTO SOBRE ARGAMASSA DE CI MENTO,SAIBRO E AREIA,NO TRACO 1:3:3 E REJUNTAMENTO COM CIMENTO BRANCO (OBS.:3%-DESGASTE DE FERRAMENTAS E EPI).</t>
    </r>
  </si>
  <si>
    <t>Arrancamento e Recolocação : PEITORIL EM GRANITO CINZA ANDORINHA, ESPESSURA DE 2CM, ARGURA DE  30CM, ASSENTADO COM NATA DE CIMENTO SOBRE ARGAMASSA DE CI MENTO, SAIBRO E AREIA, NO TRACO 1:3:3 E REJUNTAMENTO COM CIMENTO BRANCO (OBS.:3%-DESGASTE DE FERRAMENTAS E EPI).</t>
  </si>
  <si>
    <t>CARGA E DESCARGA MECANICA DE SOLO UTILIZANDO CAMINHAO BASCULANTE 6,0M3/16T E PA CARREGADEIRA SOBRE PNEUS 128 HP, CAPACIDADE DA CAÇAMBA 1,7 A 2,8 M3, PESO OPERACIONAL 11632 KG</t>
  </si>
  <si>
    <t>ESPALHAMENTO DE MATERIAL DE 1A CATEGORIA COM TRATOR DE ESTEIRA COM 153HP</t>
  </si>
  <si>
    <t>So000005853 TRATOR DE ESTEIRAS, POTÊNCIA 150 HP, PESO OPERACIONAL 16,7 T, COM RODA MOTRIZ ELEVADA E LÂMINA 3,18 M3 - CHI DIURNO. AF_06/2014</t>
  </si>
  <si>
    <t>So000005851 TRATOR DE ESTEIRAS, POTÊNCIA 150 HP, PESO OPERACIONAL 16,7 T, COM RODA MOTRIZ ELEVADA E LÂMINA 3,18 M3 - CHP DIURNO. AF_06/2014</t>
  </si>
  <si>
    <t>SI74010/001</t>
  </si>
  <si>
    <t>SI74034/001</t>
  </si>
  <si>
    <t>SI000005940</t>
  </si>
  <si>
    <t>SI000005940 PÁ CARREGADEIRA SOBRE RODAS, POTÊNCIA LÍQUIDA 128 HP, CAPACIDADE DA CAÇAMBA 1,7 A 2,8 M3, PESO OPERACIONAL 11632 KG - CHP DIURNO. AF_06/2014</t>
  </si>
  <si>
    <t>SI000005853</t>
  </si>
  <si>
    <t>SI000005851</t>
  </si>
  <si>
    <t>CONCRETO FCK = 25MPA, TRAÇO 1:2,3:2,7 (CIMENTO/ AREIA MÉDIA/ BRITA 1)  - PREPARO MECÂNICO COM BETONEIRA 400 L. AF_07/2016</t>
  </si>
  <si>
    <t>PEDRA BRITADA N. 1 (9,5 a 19 MM) POSTO PEDREIRA/FORNECEDOR, SEM FRETE</t>
  </si>
  <si>
    <t>CIMENTO PORTLAND COMPOSTO CP II-32</t>
  </si>
  <si>
    <t>AREIA MEDIA - POSTO JAZIDA/FORNECEDOR (RETIRADO NA JAZIDA, SEM TRANSPORTE)</t>
  </si>
  <si>
    <t>OPERADOR DE BETONEIRA ESTACIONÁRIA/MISTURADOR COM ENCARGOS COMPLEMENTARES</t>
  </si>
  <si>
    <t>So000088831 BETONEIRA CAPACIDADE NOMINAL DE 400 L, CAPACIDADE DE MISTURA 280 L, MOTOR ELÉTRICO TRIFÁSICO POTÊNCIA DE 2 CV, SEM CARREGADOR - CHI DIURNO. AF_10/2014</t>
  </si>
  <si>
    <t>So000088830 BETONEIRA CAPACIDADE NOMINAL DE 400 L, CAPACIDADE DE MISTURA 280 L, MOTOR ELÉTRICO TRIFÁSICO POTÊNCIA DE 2 CV, SEM CARREGADOR - CHP DIURNO. AF_10/2014</t>
  </si>
  <si>
    <t>LANCAMENTO/APLICACAO MANUAL DE CONCRETO EM FUNDACOES</t>
  </si>
  <si>
    <t xml:space="preserve">Preparo, Lançamento e Adensamento </t>
  </si>
  <si>
    <t>por m3</t>
  </si>
  <si>
    <t>SILICONE ACETICO USO GERAL INCOLOR 280 G</t>
  </si>
  <si>
    <t>JANELA DE CORRER EM ALUMINIO, 120 X 120 CM (A X L), 2 FLS, SEM BANDEIRA, ACABAMENTO ACET OU BRILHANTE,  BATENTE/REQUADRO DE 6 A 14 CM, COM VIDRO, SEM GUARNICAO/ALIZAR</t>
  </si>
  <si>
    <t>PARAFUSO DE ACO ZINCADO COM ROSCA SOBERBA, CABECA CHATA E FENDA SIMPLES, DIAMETRO 4,2 MM, COMPRIMENTO * 32 * MM</t>
  </si>
  <si>
    <t>(Acréscimo de 50,0% na M.O. para Arrancamento.)</t>
  </si>
  <si>
    <r>
      <t xml:space="preserve">Arrancamento e Recolocação de JANELA DE ALUMÍNIO GUILHOTINA      </t>
    </r>
    <r>
      <rPr>
        <strike/>
        <sz val="11"/>
        <color indexed="8"/>
        <rFont val="Times New Roman"/>
        <family val="1"/>
      </rPr>
      <t xml:space="preserve"> DE CORRER</t>
    </r>
    <r>
      <rPr>
        <sz val="11"/>
        <color indexed="8"/>
        <rFont val="Times New Roman"/>
        <family val="1"/>
      </rPr>
      <t>, 2 FOLHAS, FIXAÇÃO COM PARAFUSO SOBRE CONTRAMARCO (EXCLUSIVE CONTRAMARCO), COM VIDROS PADRONIZADA. AF_07/2016</t>
    </r>
  </si>
  <si>
    <t>CABIDE SIMPLES,DE SOBREPOR,EM METAL CROMADO.FORNECIMENTO E COLOCACAO (OBS.:3%-DESGASTE DE FERRAMENTAS E EPI).</t>
  </si>
  <si>
    <t>07892</t>
  </si>
  <si>
    <t>CABIDE SIMPLES, DE SOBREPOR, EM METAL CROMADO</t>
  </si>
  <si>
    <t>13986</t>
  </si>
  <si>
    <t>POLIUREIA PURA AROMATICA</t>
  </si>
  <si>
    <t>IMPERMEABILIZACAO / REVESTIMENTO DE LAJES, TANQUES, PISCINAS, RESERVATORIOS, ARQUIBANCADAS, ESTACIONAMENTOS, A BASE DE POLIUREIA , ISENTO DE SOLVENTES, MOLDADO NO LOCAL ,CURA RAPIDA, A QUENTE, APLICADO COM EQUIPAMENTO BICOMPONENTE TIPO HOT SPRAY, COM 2,50 MM DE ESPESSURA, SEM PROTECAO MECANICA (OBS.:3%-DESGASTE DE FERRAMENTAS E EPI 30%-EQUIPAMENTO HOT SPRAY).</t>
  </si>
  <si>
    <t>REMOÇÃO DE LUMINÁRIAS E VENTILADORES, DE FORMA MANUAL, SEM REAPROVEITAMENTO. AF_12/2017</t>
  </si>
  <si>
    <t>TORNEIRA DE PAREDE, PARA LAVATÓRIO / BANCADA, CROMADA . H=157MM; C=296MM; L=50MM</t>
  </si>
  <si>
    <t>TORNEIRA DE PAREDE, PARA LAVATÓRIO / BANCADA, CROMADA . H=157MM; C=296MM; L=50MM. FORNECIMENTO E INSTALAÇÃO. AF_12/2013</t>
  </si>
  <si>
    <t>PORTA EM ALUMÍNIO DE ABRIR E DE CORRER TIPO VENEZIANA COM GUARNIÇÃO, FIXAÇÃO COM PARAFUSOS - FORNECIMENTO E INSTALAÇÃO. AF_08/2015</t>
  </si>
  <si>
    <t>GUARDA-CORPO EM TUBO DE ACO GALVANIZADO 1 1/2"</t>
  </si>
  <si>
    <t>TUBO ACO GALVANIZADO COM COSTURA, CLASSE MEDIA, DN 1.1/2", E = *3,25* MM, PESO *3,61* KG/M (NBR 5580)</t>
  </si>
  <si>
    <t>So000088631 ARGAMASSA TRAÇO 1:4 (CIMENTO E AREIA MÉDIA), PREPARO MANUAL. AF_08/2014</t>
  </si>
  <si>
    <t>14541</t>
  </si>
  <si>
    <t>BRITA 0, PARA REGIAO METROPOLITANA DO RIO DE JANEIRO</t>
  </si>
  <si>
    <t>T</t>
  </si>
  <si>
    <t>05349</t>
  </si>
  <si>
    <t>ARGAMASSA DE CIMENTO, AREIA DE QUARTZO EADITIVOS</t>
  </si>
  <si>
    <t>REATERRO MANUAL APILOADO COM SOQUETE. AF_10/2017</t>
  </si>
  <si>
    <t>SI000096995</t>
  </si>
  <si>
    <t>FERRAGENS P/PORTA DE  1 FOLHA DE ABRIR,DE ENTRADA PRINCIPAL, CONSTANDO DE FORNEC.S/COLOCACAO DE:-FECHADURA DE CILINDRO, DE LATAO CROMADO;-MACANETA TIPO BOLA,DE LATAO, ACABAMENTO CROMADO;-ESPELHO DE LATAO FUNDIDO OU LAMINADO,FORMA RETANGULAR OU SEMI-ELIPTICA,ACABAMENTO CROMADO;-3 DOBRADICAS3"X3" DE ACO LAMINADO,COM PINO E BOLAS DE FERRO</t>
  </si>
  <si>
    <t>PEITORIL EM GRANITO CINZA ANDORINHA,ESPESSURA DE 2CM,LARGURA 15 A 18CM,ASSENTADO COM NATA DE CIMENTO SOBRE ARGAMASSA DE CIMENTO,SAIBRO E AREIA,NO TRACO 1:3:3 E REJUNTAMENTO COM CIMENTO BRANCO (OBS.:3%-DESGASTE DE FERRAMENTAS E EPI).</t>
  </si>
  <si>
    <t>11200</t>
  </si>
  <si>
    <t>PEITORIL GRANITO CINZA ANDORINHA, 18X2CM</t>
  </si>
  <si>
    <t>CONCRETO ARMADO, FCK=20MPA , INCLUINDO MATERIAIS PARA 1,00M3 DE CONCRETO ADENSADO E COLOCADO, 14,00M2 DE AREA MOLDADA, FORMAS E ESCORAMENTO CONFORME ITENS 11.004.0022E 11.004.0035,60KG DE ACO CA-50, INCLUSIVE MAO-DE-OBRA PARA CORTE, DOBRAGEM,MONTAGEM E COLOCACAO NAS FORMAS (OBS.:3%-DESGASTE DE FERRAMENTAS E EPI).</t>
  </si>
  <si>
    <t>LAMPADA LED TUBULAR BIVOLT 9/10 W, BASE G13</t>
  </si>
  <si>
    <t>LUMINARIA DE SOBREPOR, FIXADA EM LAJE OU FORRO, TIPO CALHA, CHANFRADA OU PRISMATICA, ESMALTADA, COMPLETA,EQUIPADA COM REATOR ELETRONICO DE ALTO FATOR DE POTENCIA (AFP&gt;=0,92) E LAMPADA LED TUBULAR BIVOLT 9/10 W. FORNECIMENTO E COLOCACAO (OBS.:3%-DESGASTE DE FERRAMENTAS E EPI).</t>
  </si>
  <si>
    <t>Arrancamento e Recolocação de JANELA DE ALUMÍNIO GUILHOTINA, 2 FOLHAS, FIXAÇÃO COM PARAFUSO SOBRE CONTRAMARCO (EXCLUSIVE CONTRAMARCO), COM VIDROS PADRONIZADA. AF_07/2016</t>
  </si>
  <si>
    <t>CANTONEIRA DE ALUMINIO 2"X2", PARA PROTECAO DE QUINA DE PAREDE</t>
  </si>
  <si>
    <t>CANTONEIRA ALUMINIO ABAS IGUAIS 2 ", E = 1/8 "</t>
  </si>
  <si>
    <t>CONCRETO ARMADO, FCK=20MPA, INCLUINDO MATERIAIS PARA 1,00M3 DE CONCRETO ADENSADO E COLOCADO, 14,00M2 DE AREA MOLDADA, FORMAS E ESCORAMENTO CONFORME ITENS 11.004.0022 E 11.004.0035, 60KG DE ACO CA-50, INCLUSIVE MAO-DE-OBRA PARA CORTE, DOBRAGEM,MONTAGEM E COLOCACAO NAS FORMAS (OBS.:3%-DESGASTE DE FERRAMENTAS E EPI).</t>
  </si>
  <si>
    <t>REPARO ESTRUTURAL : GROUT (ARGAMASSA FLUIDA DE ELEVADA RESISTENCIA) COM PEDRISCO (30% EM PESO), INCLUSIVE PREPARO, LANCAMENTO E FORNECIMENTO DOS MATERIAIS</t>
  </si>
  <si>
    <t>TUBO DE PVC RIGIDO DE 50MM,SOLDAVEL,EXCLUSIVE CONEXOES,EMENDAS,ABERTURA E FECHAMENTO DE RASGO.FORNECIMENTO E ASSENTAMENT O (OBS.:3%-DESGASTE DE FERRAMENTAS E EPI).</t>
  </si>
  <si>
    <t>05694</t>
  </si>
  <si>
    <t>TUBO DE PVC RIGIDO SOLDAVEL, PONTA/BOLSA, EM BARRAS DE 6,00M, DE 050MM</t>
  </si>
  <si>
    <t>01993</t>
  </si>
  <si>
    <t>MAO-DE-OBRA DE BOMBEIRO HIDRAULICO DA CONSTRUCAO CIVIL, INCLUSIVE ENCARGOS SOCIAIS</t>
  </si>
  <si>
    <t>15.036.0028-0</t>
  </si>
  <si>
    <t>TUBO DE PVC RIGIDO DE 25MM,SOLDAVEL,EXCLUSIVE CONEXOES,EMENDAS,ABERTURA E FECHAMENTO DE RASGO.FORNECIMENTO E ASSENTAMENT O (OBS.:3%-DESGASTE DE FERRAMENTAS E EPI).</t>
  </si>
  <si>
    <t>05031</t>
  </si>
  <si>
    <t>TUBO DE PVC RIGIDO SOLDAVEL, PONTA/BOLSAC/VIROLA, EM BARRAS DE 6,00M, DE 025MM</t>
  </si>
  <si>
    <t>15.038.0456-0</t>
  </si>
  <si>
    <t>JOELHO 90§ SOLDAVEL E COM BUCHA DE LATAO,COM DIAMETRO DE 25MMX1/2".FORNECIMENTO</t>
  </si>
  <si>
    <t>05780</t>
  </si>
  <si>
    <t>JOELHO 90§ DE PVC SOLDAVEL COM BUCHA DELATAO, DE 25MMX1/2"</t>
  </si>
  <si>
    <t>15.038.0339-0</t>
  </si>
  <si>
    <t>JOELHO 90§ SOLDAVEL,COM DIAMETRO DE 50MM.FORNECIMENTO</t>
  </si>
  <si>
    <t>07132</t>
  </si>
  <si>
    <t>JOELHO 90§ DE PVC SOLDAVEL, DE 050MM</t>
  </si>
  <si>
    <t>15.038.0336-0</t>
  </si>
  <si>
    <t>JOELHO 90§ SOLDAVEL,COM DIAMETRO DE 25MM.FORNECIMENTO</t>
  </si>
  <si>
    <t>05734</t>
  </si>
  <si>
    <t>JOELHO 90§ DE PVC SOLDAVEL, DE 025MM</t>
  </si>
  <si>
    <t>15.038.0404-0</t>
  </si>
  <si>
    <t>TE DE REDUCAO 90§ SOLDAVEL,COM DIAMETRO DE 50MMX25MM.FORNECIMENTO</t>
  </si>
  <si>
    <t>07140</t>
  </si>
  <si>
    <t>TE 90§ DE PVC RIGIDO SOLDAVEL, DE REDUCAO, DE (050X025)MM</t>
  </si>
  <si>
    <t>15.038.0206-0</t>
  </si>
  <si>
    <t>ADAPTADOR SOLDAVEL CURTO COM BOLSA E ROSCA PARA REGISTRO,COM DIAMETRO DE 50MMX1.1/2".FORNECIMENTO</t>
  </si>
  <si>
    <t>07141</t>
  </si>
  <si>
    <t>ADAPTADOR DE PVC, SOLDAVEL CURTO, COM BOLSA E ROSCA PARA REGISTRO, DE 050MMX1.1/2"</t>
  </si>
  <si>
    <t>REGISTRO DE GAVETA BRUTO, LATÃO, ROSCÁVEL, 1 1/2, COM ACABAMENTO E CANOPLA CROMADOS, INSTALADO EM RESERVAÇÃO DE ÁGUA DE EDIFICAÇÃO QUE POSSUA RESERVATÓRIO DE FIBRA/FIBROCIMENTO  FORNECIMENTO E INSTALAÇÃO. AF_06/2016</t>
  </si>
  <si>
    <t>REGISTRO GAVETA COM ACABAMENTO E CANOPLA CROMADOS, SIMPLES, BITOLA 1 1/2 " (REF 1509)</t>
  </si>
  <si>
    <t>FITA VEDA ROSCA EM ROLOS DE 18 MM X 50 M (L X C)</t>
  </si>
  <si>
    <t>15.038.0440-0</t>
  </si>
  <si>
    <t>LUVA SOLDAVEL E COM ROSCA,COM DIAMETRO DE 50MMX1.1/2".FORNECIMENTO</t>
  </si>
  <si>
    <t>13077</t>
  </si>
  <si>
    <t>LUVA DE PVC, SOLDAVEL E COM ROSCA, DE 50MMX1 1/2"</t>
  </si>
  <si>
    <t>15.038.0174-0</t>
  </si>
  <si>
    <t>UNIAO COM ROSCA,COM DIAMETRO DE 1.1/2".FORNECIMENTO</t>
  </si>
  <si>
    <t>05141</t>
  </si>
  <si>
    <t>UNIAO DE PVC RIGIDO COM ROSCA, DE 1.1/2"</t>
  </si>
  <si>
    <t>ASSENTAMENTO DE PECAS E ACESSORIOS DE PVC RIGIDO,COM JUNTA ELASTICA,COM DIAMETRO NOMINAL DE ATÉ  50MM,EXCLUSIVE PECAS E JUNTA S ELASTICAS.CUSTO POR BOLSA (OBS.:3%-DESGASTE DE FERRAMENTAS E EPI).</t>
  </si>
  <si>
    <t>TUBO DE PVC RIGIDO DE 100MM,SOLDAVEL,EXCLUSIVE EMENDAS,CONEXOES,ABERTURA E FECHAMENTO DE RASGO.FORNECIMENTO E ASSENTAMEN TO (OBS.:3%-DESGASTE DE FERRAMENTAS E EPI).</t>
  </si>
  <si>
    <t>02617</t>
  </si>
  <si>
    <t>TUBO DE PVC RIGIDO, PONTA/BOLSA COM VIROLA, EM BARRAS DE 6,00M, DE 100MM</t>
  </si>
  <si>
    <t>TUBO DE PVC RIGIDO DE 50MM,SOLDAVEL,EXCLUSIVE EMENDAS,CONEXOES,ABERTURA E FECHAMENTO DE RASGO.FORNECIMENTO E ASSENTAMENT O (OBS.:3%-DESGASTE DE FERRAMENTAS E EPI).</t>
  </si>
  <si>
    <t>02615</t>
  </si>
  <si>
    <t>TUBO DE PVC RIGIDO, PONTA/BOLSA COM VIROLA, EM BARRAS DE 6,00M, DE 050MM</t>
  </si>
  <si>
    <t>TUBO DE PVC RIGIDO DE 40MM,SOLDAVEL,EXCLUSIVE EMENDAS,CONEXOES,ABERTURA E FECHAMENTO DE RASGO.FORNECIMENTO E ASSENTAMENT O (OBS.:3%-DESGASTE DE FERRAMENTAS E EPI).</t>
  </si>
  <si>
    <t>02614</t>
  </si>
  <si>
    <t>TUBO DE PVC RIGIDO SOLDAVEL, PONTA/BOLSA, PARA ESGOTO, EM BARRAS DE 6,00M, DE 040MM</t>
  </si>
  <si>
    <t>JOELHO 45§ SOLDAVEL,COM DIAMETRO DE 50MM.FORNECIMENTO</t>
  </si>
  <si>
    <t>13006</t>
  </si>
  <si>
    <t>JOELHO 45ø DE PVC, SOLDAVEL, DE 50MM</t>
  </si>
  <si>
    <t>JOELHO 45§ SOLDAVEL,COM DIAMETRO DE 40MM.FORNECIMENTO</t>
  </si>
  <si>
    <t>13005</t>
  </si>
  <si>
    <t>JOELHO 45ø DE PVC, SOLDAVEL, DE 40MM</t>
  </si>
  <si>
    <t>RALO SIFONADO DE PVC(100X100)X50MM,EM PAVIMENTO TERREO,COM TAMPA CEGA,COM 1 ENTRADA DE 40MM E SAIDA DE 50MM,INCLUSIVE LI GACAO DE 50MM DE PVC ATE A CAIXA DE INSPECAO,CONSIDERANDO ADISTANCIA DO CENTRO DO RALO ATE 2,00M.FORNECIMENTO E INSTALA CAO (OBS.:3%-DESGASTE DE FERRAMENTAS E EPI).</t>
  </si>
  <si>
    <t>07076</t>
  </si>
  <si>
    <t>RALO SIFONADO DE PVC RIGIDO, DE (100X100)MM, COM SAIDA DE 50MM, COM TAMPA CEGA</t>
  </si>
  <si>
    <t>05791</t>
  </si>
  <si>
    <t>JOELHO 90§ DE PVC, PARA ESGOTO, DE 040MM</t>
  </si>
  <si>
    <t>02832</t>
  </si>
  <si>
    <t>ANEL DE BORRACHA, PARA TUBO DE PVC-ESGOTO PRIMARIO, DE 040MM</t>
  </si>
  <si>
    <t>CORTE E COLOCACAO DE CONEXOES EM TUBO DE PVC RIGIDO,ESGOTO,SOLDAVEL,COM DIAMETRO DE 40MM,EXCLUSIVE A PECA (OBS.:3%-DESGASTE DE FERRAMENTAS E EPI).</t>
  </si>
  <si>
    <t>CORTE E COLOCACAO DE CONEXOES EM TUBO DE PVC RIGIDO,ESGOTO,SOLDAVEL,COM DIAMETRO DE 50MM,EXCLUSIVE A PECA (OBS.:3%-DESGASTE DE FERRAMENTAS E EPI).</t>
  </si>
  <si>
    <t xml:space="preserve">INSTALAÇÕES HIDRÁULICAS </t>
  </si>
  <si>
    <t>ÁGUA</t>
  </si>
  <si>
    <t>ESGOTO</t>
  </si>
  <si>
    <t xml:space="preserve">Água </t>
  </si>
  <si>
    <t>Esgoto</t>
  </si>
  <si>
    <t>RASGO NO PISO PARA TUBULAÇÃO : DEMOLICAO MANUAL DE CONCRETO SIMPLES COM EMPILHAMENTO LATERAL DENTRO DO CANTEIRO DE SERVICO (OBS.:3%-DESGASTE DE FERRAMENTAS E EPI).</t>
  </si>
  <si>
    <t>CONCRETO FCK = 20MPA, TRAÇO 1:2,7:3 (CIMENTO/ AREIA MÉDIA/ BRITA 1)  - PREPARO MECÂNICO COM BETONEIRA 400 L. AF_07/2016</t>
  </si>
  <si>
    <t xml:space="preserve">TOTAL GERAL </t>
  </si>
  <si>
    <t>(Preparao + Lançamento + Adensamento) : CONCRETO FCK = 20MPA, TRAÇO 1:2,7:3 (CIMENTO/ AREIA MÉDIA/ BRITA 1)  - PREPARO MECÂNICO COM BETONEIRA 400 L. AF_07/2016</t>
  </si>
  <si>
    <t>15.038.0389-0</t>
  </si>
  <si>
    <t>TE SOLDAVEL 90§,COM DIAMETRO DE 50MM.FORNECIMENTO</t>
  </si>
  <si>
    <t>07137</t>
  </si>
  <si>
    <t>TE 90§ DE PVC RIGIDO SOLDAVEL, DE 050MM</t>
  </si>
  <si>
    <t>15.038.0386-0</t>
  </si>
  <si>
    <t>TE SOLDAVEL 90§,COM DIAMETRO DE 25MM.FORNECIMENTO</t>
  </si>
  <si>
    <t>05732</t>
  </si>
  <si>
    <t>TE 90§ DE PVC RIGIDO SOLDAVEL, DE 025MM</t>
  </si>
  <si>
    <t>ASSENTAMENTO DE PECAS E ACESSORIOS DE PVC RIGIDO,COM JUNTA ELASTICA,COM DIAMETRO NOMINAL DE 50MM,EXCLUSIVE PECAS E JUNTA S ELASTICAS.CUSTO POR BOLSA (OBS.:3%-DESGASTE DE FERRAMENTAS E EPI).</t>
  </si>
  <si>
    <t>RASGO EM ALVENARIA PARA RAMAIS/ DISTRIBUIÇÃO COM DIAMETROS MENORES OU IGUAIS A 40 MM. AF_05/2015</t>
  </si>
  <si>
    <t>Engº  Alfredo A. N. M. Cunha   -     (CREA-RJ   1997101434)</t>
  </si>
  <si>
    <t xml:space="preserve">Obra : Reforma de Unidade de Atenção Especializada em Saúde - SIRENE II - Vila Nova  </t>
  </si>
  <si>
    <t>REVESTIMENTO DE PAREDES COM CERAMICA BRANCA OU COLORIDA,10X10CM, TELADA, PLACA 30X30CM,ASSENTE COM ARGAMASSA COLANTE, REJUNTAMENTO COM ARGAMASSA INDUSTRIALIZADA, EXCLUSIVE CHAPISCO E EMBOCO</t>
  </si>
  <si>
    <t>REVESTIMENTO DE PAREDES COM AZULEJO BRANCO 15X15CM,QUALIDADE EXTRA,ASSENTES COM NATA DE CIMENTO COMUM,TENDO JUNTAS CORRI DAS COM 2MM,REJUNTADAS COM PASTA DE CIMENTO BRANCO,EXCLUSIVECHAPISCO E EMBOCO (OBS.:3%-DESGASTE DE FERRAMENTAS E EPI).</t>
  </si>
  <si>
    <t>TRANSPORTE COM CAMINHÃO BASCULANTE DE 6 M3, EM VIA URBANA PAVIMENTADA, DMT ATÉ 30 KM (UNIDADE: M3XKM). AF_01/2018</t>
  </si>
  <si>
    <t>So000067827 CAMINHÃO BASCULANTE 6 M3 TOCO, PESO BRUTO TOTAL 16.000 KG, CARGA ÚTIL MÁXIMA 11.130 KG, DISTÂNCIA ENTRE EIXOS 5,36 M, POTÊNCIA 185 CV, INCLUSIVE CAÇAMBA METÁLICA - CHI DIURNO. AF_06/2014</t>
  </si>
  <si>
    <t>So000067826 CAMINHÃO BASCULANTE 6 M3 TOCO, PESO BRUTO TOTAL 16.000 KG, CARGA ÚTIL MÁXIMA 11.130 KG, DISTÂNCIA ENTRE EIXOS 5,36 M, POTÊNCIA 185 CV, INCLUSIVE CAÇAMBA METÁLICA - CHP DIURNO. AF_06/2014</t>
  </si>
  <si>
    <t>CABO DE ACO GALVANIZADO, DIAMETRO 9,53 MM (3/8"), COM ALMA DE FIBRA 6 X 25 F  (COLETADO CAIXA)</t>
  </si>
  <si>
    <t>ARRANCAMENTO DE GRADES,GRADIS,ALAMBRADOS,CERCAS E PORTOES (OBS.:3%-DESGASTE DE FERRAMENTAS E EPI).</t>
  </si>
  <si>
    <t>VIBRADOR DE IMERSÃO, DIÂMETRO DE PONTEIRA 45MM, MOTOR ELÉTRICO TRIFÁSICO POTÊNCIA DE 2 CV - CHI DIURNO. AF_06/2015</t>
  </si>
  <si>
    <t>VIBRADOR DE IMERSÃO, DIÂMETRO DE PONTEIRA 45MM, MOTOR ELÉTRICO TRIFÁSICO POTÊNCIA DE 2 CV - CHP DIURNO. AF_06/2015</t>
  </si>
  <si>
    <t>CONCRETO ARMADO,FCK=20MPA,INCLUINDO MATERIAIS PARA 1,00M3 DE CONCRETO(IMPORTADO DE USINA)ADENSADO E COLOCADO,14,00M2 DE AREA MOLDADA,FORMAS E ESCORAMENTO CONFORME ITENS 11.004.0022E 11.004.0035,60KG DE ACO CA-50,INCLUSIVE MAO-DE-OBRA PARA CORTE,DOBRAGEM,MONTAGEM E COLOCACAO NAS FORMAS (OBS.:3%-DESGASTE DE FERRAMENTAS E EPI).</t>
  </si>
  <si>
    <t>CONCRETO IMPORTADO DE USINA, UTILIZANDOBRITA 1, DE 20MPA</t>
  </si>
  <si>
    <t>GUINCHO ELÉTRICO DE COLUNA, CAPACIDADE 400 KG, COM MOTO FREIO, MOTOR TRIFÁSICO DE 1,25 CV - CHI DIURNO. AF_03/2016</t>
  </si>
  <si>
    <t>GUINCHO ELÉTRICO DE COLUNA, CAPACIDADE 400 KG, COM MOTO FREIO, MOTOR TRIFÁSICO DE 1,25 CV - CHP DIURNO. AF_03/2016</t>
  </si>
  <si>
    <t>&gt; Preço por m2 = R$ 26,61 / 0,25 m2 = R$ 106,44 / m2</t>
  </si>
  <si>
    <t>&gt; Preço para Orçamento : R$ 106,44 x 0,53 m2 = R$ 56,41 por m</t>
  </si>
  <si>
    <t>&gt; Preço para Orçamento : R$ 106,44 x 0,35 m2 = R$ 37,25 por m</t>
  </si>
  <si>
    <t>sinapi 39386</t>
  </si>
  <si>
    <t>LAVATORIO DE LOUCA BRANCA,TIPO MEDIO LUXO,COM LADRAO,COM MEDIDAS EM TORNO DE 47X35CM,INCLUSIVE ACESSORIOS DE FIXACAO.FER RAGENS EM METAL CROMADO:SIFAO 1680 DE 1"X1.1/4",TORNEIRA DEPRESSAO 1193 DE 1/2" E VALVULA DE ESCOAMENTO 1603.RABICHO EM PVC.FORNECIMENTO</t>
  </si>
  <si>
    <t>FORRO EM PLACAS DE GESSO, PARA AMBIENTES COMERCIAIS. AF_05/2017_P</t>
  </si>
  <si>
    <t>PARAFUSO ZINCADO, AUTOBROCANTE, FLANGEADO, 4,2 X 19"</t>
  </si>
  <si>
    <t>CENTO</t>
  </si>
  <si>
    <t>SISAL EM FIBRA</t>
  </si>
  <si>
    <t>PLACA DE GESSO PARA FORRO, DE  *60 X 60* CM E ESPESSURA DE 12 MM (30 MM NAS BORDAS) SEM COLOCACAO</t>
  </si>
  <si>
    <t>GESSO EM PO PARA REVESTIMENTOS/MOLDURAS/SANCAS</t>
  </si>
  <si>
    <t>ARAME GALVANIZADO 18 BWG, 1,24MM (0,009 KG/M)</t>
  </si>
  <si>
    <t>GROUT (ARGAMASSA FLUIDA DE ELEVADA RESISTENCIA) COM PEDRISCO (30% EM PESO),INCLUSIVE PREPARO,LANCAMENTO E FORNECIMENTO DOS MATERIAIS</t>
  </si>
  <si>
    <t>DEMOLICAO MANUAL DE CONCRETO SIMPLES COM EMPILHAMENTO LATERAL DENTRO DO CANTEIRO DE SERVICO</t>
  </si>
  <si>
    <t>SI000097914</t>
  </si>
  <si>
    <t>SI000067827</t>
  </si>
  <si>
    <t>SI000067826</t>
  </si>
  <si>
    <t>SI000097626</t>
  </si>
  <si>
    <t>SI42655</t>
  </si>
  <si>
    <t>Composição : SI000097633</t>
  </si>
  <si>
    <t>SI000088256</t>
  </si>
  <si>
    <t>SI000097631</t>
  </si>
  <si>
    <t>SI000097641</t>
  </si>
  <si>
    <t>SI000088269</t>
  </si>
  <si>
    <t>SI000097647</t>
  </si>
  <si>
    <t>SI000088323</t>
  </si>
  <si>
    <t>05.001.0147-A</t>
  </si>
  <si>
    <t>SI000072897</t>
  </si>
  <si>
    <t>SI000005961</t>
  </si>
  <si>
    <t>SI000083344</t>
  </si>
  <si>
    <t>SI000005847</t>
  </si>
  <si>
    <t>05.001.0146-A</t>
  </si>
  <si>
    <t>ARRANCAMENTO DE BANCADA DE PIA/LAVATORIO OU BANCA SECA DE ATE 1,00M DE ALTURA E ATE 0,80M DE LARGURA</t>
  </si>
  <si>
    <t>SI000097663</t>
  </si>
  <si>
    <t>SI000088267</t>
  </si>
  <si>
    <t>SI000097666</t>
  </si>
  <si>
    <t>05.001.0041-A</t>
  </si>
  <si>
    <t>SI000097660</t>
  </si>
  <si>
    <t>SI000088264</t>
  </si>
  <si>
    <t>Composição : SI000097665</t>
  </si>
  <si>
    <t>Composição : SI000072897</t>
  </si>
  <si>
    <t>SI000097094</t>
  </si>
  <si>
    <t>SI01525</t>
  </si>
  <si>
    <t>SI000090587</t>
  </si>
  <si>
    <t>SI000090586</t>
  </si>
  <si>
    <t>SI74202/001</t>
  </si>
  <si>
    <t>06189</t>
  </si>
  <si>
    <t>05061</t>
  </si>
  <si>
    <t>04491</t>
  </si>
  <si>
    <t>03736</t>
  </si>
  <si>
    <t>00039</t>
  </si>
  <si>
    <t>SI000088262</t>
  </si>
  <si>
    <t>SI000088239</t>
  </si>
  <si>
    <t>SI000092874</t>
  </si>
  <si>
    <t>SI000092874 LANÇAMENTO COM USO DE BOMBA, ADENSAMENTO E ACABAMENTO DE CONCRETO EM ESTRUTURAS. AF_12/2015</t>
  </si>
  <si>
    <t>SI000094970</t>
  </si>
  <si>
    <t>SI000094970 CONCRETO FCK = 20MPA, TRAÇO 1:2,7:3 (CIMENTO/ AREIA MÉDIA/ BRITA 1)  - PREPARO MECÂNICO COM BETONEIRA 600 L. AF_07/2016</t>
  </si>
  <si>
    <t>16.036.0062-A</t>
  </si>
  <si>
    <t>IMPERMEABILIZACAO/REVESTIMENTO DE LAJES,TANQUES,PISCINAS,RESERVATORIOS,ARQUIBANCADAS,ESTACIONAMENTOS,A BASE DE POLIUREIA ,ISENTO DE SOLVENTES,MOLDADO NO LOCAL,CURA RAPIDA,A QUENTE,APLICADO COM EQUIPAMENTO BICOMPONENTE TIPO HOT SPRAY,COM 2,50 MM DE ESPESSURA,SEM PROTECAO MECANICA</t>
  </si>
  <si>
    <t>20083</t>
  </si>
  <si>
    <t>MAO-DE-OBRA DE IMPERMEABILIZADOR, INCLUSIVE ENCARGOS SOCIAIS DESONERADOS</t>
  </si>
  <si>
    <t>11.013.0070-B</t>
  </si>
  <si>
    <t>20046</t>
  </si>
  <si>
    <t>MAO-DE-OBRA DE CARPINTEIRO DE FORMA DE CONCRETO, INCLUSIVE ENCARGOS SOCIAIS DESONERADOS</t>
  </si>
  <si>
    <t>20015</t>
  </si>
  <si>
    <t>MAO-DE-OBRA DE ARMADOR DE CONCRETO ARMADO, INCLUSIVE ENCARGOS SOCIAIS DESONERADOS</t>
  </si>
  <si>
    <t>30885</t>
  </si>
  <si>
    <t>54.001.0100-B FORMAS MADEIRA P/MOLDAGEM, INCL. ESCOR.</t>
  </si>
  <si>
    <t>30731</t>
  </si>
  <si>
    <t>19.007.0013-E VIBRADOR IMERSAO ELETR. 2CV (CI)</t>
  </si>
  <si>
    <t>30730</t>
  </si>
  <si>
    <t>19.007.0013-C VIBRADOR IMERSAO ELETR. 2CV (CP)</t>
  </si>
  <si>
    <t>12.003.0075-B</t>
  </si>
  <si>
    <t>ALVENARIA DE TIJOLOS CERAMICOS FURADOS 10X20X20CM,ASSENTES COM ARGAMASSA DE CIMENTO E SAIBRO,NO TRACO 1:8,EM PAREDES DE MEIA VEZ(0,10M),DE SUPERFICIE CORRIDA,ATE 3,00M DE ALTURA EMEDIDA PELA AREA REAL</t>
  </si>
  <si>
    <t>30179</t>
  </si>
  <si>
    <t>07.006.0025-B ARGAMASSA CIM.,SAIBRO TRACO 1:8,PREPAROMECANICO</t>
  </si>
  <si>
    <t>SI000087879</t>
  </si>
  <si>
    <t>SI000087313</t>
  </si>
  <si>
    <t>Composição : SI000087529</t>
  </si>
  <si>
    <t>SI000087292</t>
  </si>
  <si>
    <t>SI000091341</t>
  </si>
  <si>
    <t>SI39025</t>
  </si>
  <si>
    <t>SI36888</t>
  </si>
  <si>
    <t>SI07568</t>
  </si>
  <si>
    <t>SI00142</t>
  </si>
  <si>
    <t>SI74084/001</t>
  </si>
  <si>
    <t>SI41758</t>
  </si>
  <si>
    <t>SI05088</t>
  </si>
  <si>
    <t>SI000088261</t>
  </si>
  <si>
    <t>SI000088485</t>
  </si>
  <si>
    <t>SI06085</t>
  </si>
  <si>
    <t>SI000088310</t>
  </si>
  <si>
    <t>SI000095626</t>
  </si>
  <si>
    <t>SI07356</t>
  </si>
  <si>
    <t>SI000093188</t>
  </si>
  <si>
    <t>SI39017</t>
  </si>
  <si>
    <t>SI04491</t>
  </si>
  <si>
    <t>SI02692</t>
  </si>
  <si>
    <t>SI000092791</t>
  </si>
  <si>
    <t>SI000092270</t>
  </si>
  <si>
    <t>16.001.0061-A</t>
  </si>
  <si>
    <t>MADEIRAMENTO PARA COBERTURA EM TELHAS ONDULADAS,CONSTITUIDO DE PECAS DE 3"X3" E 3"X4.1/2",EM MADEIRA APARELHADA,SEM TESO URA OU PONTALETE,MEDIDO PELA AREA REAL DO MADEIRAMENTO.FORNECIMENTO E COLOCACAO</t>
  </si>
  <si>
    <t>31007</t>
  </si>
  <si>
    <t>58.002.0434-B MACARANDUBA APARELHADA 3" X 4.1/2"</t>
  </si>
  <si>
    <t>31006</t>
  </si>
  <si>
    <t>58.002.0433-B MACARANDUBA APARELHADA 3" X 3"</t>
  </si>
  <si>
    <t>16.001.0086-A</t>
  </si>
  <si>
    <t>PONTALETE DE MADEIRA SERRADA,EM PECAS DE 3"X3",VERTICAIS E HORIZONTAIS,PARA COBERTURA DE TELHAS ONDULADAS DE QUALQUER TI PO,MEDIDO PELA AREA REAL DA COBERTURA DO TELHADO.FORNECIMENTO E COLOCACAO</t>
  </si>
  <si>
    <t>Composição : 16.001.0061-A + 16.001.0086-A</t>
  </si>
  <si>
    <t>16.004.0030-A</t>
  </si>
  <si>
    <t>COBERTURA EM TELHA MODULAR DE CIMENTO,SEM AMIANTO,REFORCADO COM FIOS SINTETICOS (CRFS),COM 50CM DE LARGURA,ESPESSURA DE 8MM,INCLUSIVE ACESSORIOS DE FIXACAO E VEDACAO,EXCLUSIVE MADEIRAMENTO.FORNECIMENTO E COLOCACAO</t>
  </si>
  <si>
    <t>16.004.0050-A</t>
  </si>
  <si>
    <t>CALHA DE BEIRAL,SEMI-CIRCULAR DE PVC,DN 125,EXCLUSIVE CONDUTORES (VIDE ITEM 16.004.0055).FORNECIMENTO E COLOCACAO</t>
  </si>
  <si>
    <t>Composição : SI000094231</t>
  </si>
  <si>
    <t>SI40872</t>
  </si>
  <si>
    <t>SI13388</t>
  </si>
  <si>
    <t>SI05104</t>
  </si>
  <si>
    <t>SI05061</t>
  </si>
  <si>
    <t>SI000093282</t>
  </si>
  <si>
    <t>SI000093281</t>
  </si>
  <si>
    <t>16.004.0055-A</t>
  </si>
  <si>
    <t>CONDUTOR PARA CALHA DE BEIRAL DE PVC,DN 88,INCLUSIVE CONEXOES.FORNECIMENTO E COLOCACAO</t>
  </si>
  <si>
    <t>20060</t>
  </si>
  <si>
    <t>MAO-DE-OBRA DE ELETRICISTA DA CONSTRUCAOCIVIL, INCLUSIVE ENCARGOS SOCIAIS DESONERADOS</t>
  </si>
  <si>
    <t>18.027.0312-A</t>
  </si>
  <si>
    <t>LUMINARIA DE SOBREPOR,FIXADA EM LAJE OU FORRO,TIPO CALHA,CHANFRADA OU PRISMATICA,ESMALTADA,COMPLETA,EQUIPADA COM REATOR ELETRONICO DE ALTO FATOR DE POTENCIA(AFP&gt;=0,92)E LAMPADA FLUORESCENTE DE 2X20W.FORNECIMENTO E COLOCACAO</t>
  </si>
  <si>
    <t>15.036.0031-A</t>
  </si>
  <si>
    <t>20039</t>
  </si>
  <si>
    <t>MAO-DE-OBRA DE BOMBEIRO HIDRAULICO DA CONSTRUCAO CIVIL, INCLUSIVE ENCARGOS SOCIAIS DESONERADOS</t>
  </si>
  <si>
    <t>SI000094794</t>
  </si>
  <si>
    <t>SI06015</t>
  </si>
  <si>
    <t>SI03148</t>
  </si>
  <si>
    <t>SI000088248</t>
  </si>
  <si>
    <t>06.001.0260-A</t>
  </si>
  <si>
    <t>SI000090443</t>
  </si>
  <si>
    <t>15.036.0048-A</t>
  </si>
  <si>
    <t>15.045.0084-A</t>
  </si>
  <si>
    <t>15.045.0085-A</t>
  </si>
  <si>
    <t>15.004.0181-A</t>
  </si>
  <si>
    <t>15.038.0323-A</t>
  </si>
  <si>
    <t>15.038.0324-A</t>
  </si>
  <si>
    <t>15.036.0045-A</t>
  </si>
  <si>
    <t>15.036.0046-A</t>
  </si>
  <si>
    <t>SI000094964</t>
  </si>
  <si>
    <t>SI04721</t>
  </si>
  <si>
    <t>SI01379</t>
  </si>
  <si>
    <t>SI00370</t>
  </si>
  <si>
    <t>SI000088377</t>
  </si>
  <si>
    <t>SI000088831</t>
  </si>
  <si>
    <t>SI000088830</t>
  </si>
  <si>
    <t>SI74157/004</t>
  </si>
  <si>
    <t>18.016.0105-A</t>
  </si>
  <si>
    <t>18.016.0106-A</t>
  </si>
  <si>
    <t>18.002.0012-A</t>
  </si>
  <si>
    <t>(01) Composição : SI000086912</t>
  </si>
  <si>
    <t>SI03146</t>
  </si>
  <si>
    <t>(02) Composição : SI000086912</t>
  </si>
  <si>
    <t>18.007.0051-A</t>
  </si>
  <si>
    <t>18.006.0054-A</t>
  </si>
  <si>
    <t>CABIDE SIMPLES,DE SOBREPOR,EM METAL CROMADO.FORNECIMENTO E COLOCACAO</t>
  </si>
  <si>
    <t>20087</t>
  </si>
  <si>
    <t>MAO-DE-OBRA DE LADRILHEIRO, INCLUSIVE ENCARGOS SOCIAIS DESONERADOS</t>
  </si>
  <si>
    <t>14.007.0010-A</t>
  </si>
  <si>
    <t>FERRAGENS P/PORTA DE MADEIRA,DE 1 FOLHA DE ABRIR,DE ENTRADA PRINCIPAL, CONSTANDO DE FORNEC.S/COLOCACAO DE:-FECHADURA DE CILINDRO, DE LATAO CROMADO;-MACANETA TIPO BOLA,DE LATAO, ACABAMENTO CROMADO;-ESPELHO DE LATAO FUNDIDO OU LAMINADO,FORMA RETANGULAR OU SEMI-ELIPTICA,ACABAMENTO CROMADO;-3 DOBRADICAS3"X3" DE ACO LAMINADO,COM PINO E BOLAS DE FERRO</t>
  </si>
  <si>
    <t>14.003.0070-A</t>
  </si>
  <si>
    <t>20131</t>
  </si>
  <si>
    <t>MAO-DE-OBRA DE SERRALHEIRO DA CONSTRUCAOCIVIL, INCLUSIVE ENCARGOS SOCIAIS DESONERADOS</t>
  </si>
  <si>
    <t>Composição : SI000094570</t>
  </si>
  <si>
    <t>SI39961</t>
  </si>
  <si>
    <t>SI34362</t>
  </si>
  <si>
    <t>SI04377</t>
  </si>
  <si>
    <t>SI74244/001</t>
  </si>
  <si>
    <t>SI07167</t>
  </si>
  <si>
    <t>SI07696</t>
  </si>
  <si>
    <t>SI00335</t>
  </si>
  <si>
    <t>SI00333</t>
  </si>
  <si>
    <t>SI000088315</t>
  </si>
  <si>
    <t>SI000072122</t>
  </si>
  <si>
    <t>SI10499</t>
  </si>
  <si>
    <t>SI10498</t>
  </si>
  <si>
    <t>SI000088325</t>
  </si>
  <si>
    <t>SI000073631</t>
  </si>
  <si>
    <t>SI07697</t>
  </si>
  <si>
    <t>SI000088631</t>
  </si>
  <si>
    <t>13.008.0010-A</t>
  </si>
  <si>
    <t>REBOCO EXTERNO OU INTERNO COM ARGAMASSA DE CIMENTO,CAL HIDRATADA EM PO E AREIA FINA,NO TRACO 1:3:5,COM ESPESSURA DE 3MM, APLICADO SOBRE EMBOCO EXISTENTE,EXCLUSIVE EMBOCO</t>
  </si>
  <si>
    <t>20076</t>
  </si>
  <si>
    <t>MAO-DE-OBRA DE ESTUCADOR, INCLUSIVE ENCARGOS SOCIAIS DESONERADOS</t>
  </si>
  <si>
    <t>30170</t>
  </si>
  <si>
    <t>07.005.0010-B ARGAMASSA CIM.,CAL E AREIA FINA,TRACO1:3:5,PREPARO MECANICO</t>
  </si>
  <si>
    <t>13.026.0011-A</t>
  </si>
  <si>
    <t>REVESTIMENTO DE PAREDES COM AZULEJO BRANCO 15X15CM,QUALIDADE EXTRA,ASSENTES COM NATA DE CIMENTO COMUM,TENDO JUNTAS CORRI DAS COM 2MM,REJUNTADAS COM PASTA DE CIMENTO BRANCO,EXCLUSIVECHAPISCO E EMBOCO</t>
  </si>
  <si>
    <t>30129</t>
  </si>
  <si>
    <t>07.001.0010-B PASTA DE CIMENTO COMUM</t>
  </si>
  <si>
    <t>SI73908/001</t>
  </si>
  <si>
    <t>SI00584</t>
  </si>
  <si>
    <t>REVESTIMENTO DE PAREDES COM CERAMICA BRANCA,CINZA OU BEGE,10X10CM, TELADA, PLACA 30X30CM,ASSENTE COM ARGAMASSA COLANTE, REJUNTAMENTO COM ARGAMASSA INDUSTRIALIZADA, EXCLUSIVE CHAPISCO E EMBOCO</t>
  </si>
  <si>
    <t>20091</t>
  </si>
  <si>
    <t>MAO-DE-OBRA DE MARMORISTA DE MARMORE E GRANITO, INCLUSIVE ENCARGOS SOCIAIS DESONERADOS</t>
  </si>
  <si>
    <t>Composição : 13.037.0030-A</t>
  </si>
  <si>
    <t>Composição : 13.365.0085-A</t>
  </si>
  <si>
    <t>30180</t>
  </si>
  <si>
    <t>07.007.0010-B ARGAMASSA CIM.,SAIBRO,AREIA 1:2:2,PREPARO MECANICO</t>
  </si>
  <si>
    <t>PREÇO POR M2  (R$ 43,47 / 0,30 m2 = R$ 144,90 por m2)</t>
  </si>
  <si>
    <t>SI000096113</t>
  </si>
  <si>
    <t>SI40547</t>
  </si>
  <si>
    <t>SI20250</t>
  </si>
  <si>
    <t>SI04812</t>
  </si>
  <si>
    <t>SI03315</t>
  </si>
  <si>
    <t>SI00345</t>
  </si>
  <si>
    <t>20092</t>
  </si>
  <si>
    <t>MAO-DE-OBRA DE MARMORISTA DE MARMORITE,INCLUSIVE ENCARGOS SOCIAIS DESONERADOS</t>
  </si>
  <si>
    <t>SI000087258</t>
  </si>
  <si>
    <t>SI37595</t>
  </si>
  <si>
    <t>SI34357</t>
  </si>
  <si>
    <t>SI21108</t>
  </si>
  <si>
    <t>SI000094994</t>
  </si>
  <si>
    <t>SI07156</t>
  </si>
  <si>
    <t>SI04517</t>
  </si>
  <si>
    <t>SI04460</t>
  </si>
  <si>
    <t>SI03777</t>
  </si>
  <si>
    <t>09.010.0001-A</t>
  </si>
  <si>
    <t>CORDOES DE CONCRETO SIMPLES,COM SECAO DE 10X25CM,MOLDADOS NO LOCAL,INCLUSIVE ESCAVACAO E REATERRO</t>
  </si>
  <si>
    <t>30282</t>
  </si>
  <si>
    <t>11.004.0021-B FORMAS MADEIRA PARAM. PLANOS, 2 VEZES</t>
  </si>
  <si>
    <t>30270</t>
  </si>
  <si>
    <t>11.002.0035-B LANCAMENTO CONC.S/ARM.2,0M3/H, HORIZ.</t>
  </si>
  <si>
    <t>30263</t>
  </si>
  <si>
    <t>11.002.0027-B LANCAMENTO CONC.S/ARM.7,0M3/H,HORIZ/VERT</t>
  </si>
  <si>
    <t>30246</t>
  </si>
  <si>
    <t>11.001.0005-B CONCRETO FCK 15MPA</t>
  </si>
  <si>
    <t>30164</t>
  </si>
  <si>
    <t>07.002.0030-B ARGAMASSA CIM.,AREIA TRACO 1:4,PREPAROMECANICO</t>
  </si>
  <si>
    <t>13.333.0010-A</t>
  </si>
  <si>
    <t>30153</t>
  </si>
  <si>
    <t>07.001.0130-B ARGAMASSA CIM.,SAIBRO,AREIA 1:3:3,PREPARO MANUAL</t>
  </si>
  <si>
    <t>13.333.0015-A</t>
  </si>
  <si>
    <t>SI000094965</t>
  </si>
  <si>
    <t>11.015.0020-A</t>
  </si>
  <si>
    <t>30267</t>
  </si>
  <si>
    <t>11.002.0031-B LANCAMENTO CONC.S/ARM.1,0M3/H/HORIZ/VERT</t>
  </si>
  <si>
    <t>30256</t>
  </si>
  <si>
    <t>11.002.0015-B PREPARO CONCR. BETON. 320L; 1,00M3/H</t>
  </si>
  <si>
    <t>09.006.0032-A</t>
  </si>
  <si>
    <t>09.001.0020-A</t>
  </si>
  <si>
    <t>PLANTIO DE GRAMA EM PLACAS TIPO ESMERALDA,INCLUSIVE FORNECIMENTO DA GRAMA E TRANSPORTE,EXCLUSIVE PREPARO DO TERRENO E O MATERIAL PARA ESTE</t>
  </si>
  <si>
    <t>20133</t>
  </si>
  <si>
    <t>MAO-DE-OBRA DE SERVENTE PARA SERVICOS DECONSERVACAO, INCLUSIVE ENCARGOS SOCIAISDESONERADOS</t>
  </si>
  <si>
    <t>13.380.0015-A</t>
  </si>
  <si>
    <t>RODAPE DE MARMORITE,FUNDIDO NO LOCAL,COM 10CM DE ALTURA,1CM DE ESPESSURA, TERMINANDO EM CANTO RETO JUNTO AO PISO, FEITO COM CIMENTO E GRANA N§1 DE MARMORE BRANCO NACIONAL, COM POLIMENTO MANUAL,O MARMORITE E EXECUTADO SOBRE EMBOCO PREVIO NAO INCLUIDO NESTA</t>
  </si>
  <si>
    <t>13.348.0075-A</t>
  </si>
  <si>
    <t>SOLEIRA EM GRANITO CINZA ANDORINHA,ESPESSURA DE 3CM,COM 2 P LIMENTOS,LARGURA DE 15CM,ASSENTADO COM ARGAMASSA DE CIMENTO, SAIBRO E AREIA, NO TRACO 1:2:2, E REJUNTAMENTO COM CIMENTOBRANCO E CORANTE</t>
  </si>
  <si>
    <t>13.348.0050-A</t>
  </si>
  <si>
    <t>PEITORIL EM GRANITO CINZA ANDORINHA,ESPESSURA DE 2CM,LARGURA 15 A 18CM,ASSENTADO COM NATA DE CIMENTO SOBRE ARGAMASSA DE CIMENTO,SAIBRO E AREIA,NO TRACO 1:3:3 E REJUNTAMENTO COM CIMENTO BRANCO</t>
  </si>
  <si>
    <t>Composição : 13.348.0055-5</t>
  </si>
  <si>
    <t>17.035.0020-A</t>
  </si>
  <si>
    <t>REMOCAO DE PINTURA PLASTICA E SEMELHANTES</t>
  </si>
  <si>
    <t>17.018.0265-A</t>
  </si>
  <si>
    <t>SI000096135</t>
  </si>
  <si>
    <t>SI04056</t>
  </si>
  <si>
    <t>SI03767</t>
  </si>
  <si>
    <t>SI000088489</t>
  </si>
  <si>
    <t>SI000088482</t>
  </si>
  <si>
    <t>SI06090</t>
  </si>
  <si>
    <t>SI000088494</t>
  </si>
  <si>
    <t>SI04051</t>
  </si>
  <si>
    <t>SI000088486</t>
  </si>
  <si>
    <t>SI07345</t>
  </si>
  <si>
    <t>SI74145/001</t>
  </si>
  <si>
    <t>SI07307</t>
  </si>
  <si>
    <t>SI07288</t>
  </si>
  <si>
    <t>SI05320</t>
  </si>
  <si>
    <t>SI03768</t>
  </si>
  <si>
    <t>Encargos Sociais COM Desoneração - SINAPI :    90,79 % (Hora) e 51,52% (Mês)</t>
  </si>
  <si>
    <t>ARRANCAMENTO DE ALAMBRADOS.</t>
  </si>
  <si>
    <t>CAMINHÃO BASCULANTE 6 M3 TOCO, PESO BRUTO TOTAL 16.000 KG, CARGA ÚTIL MÁXIMA 11.130 KG, DISTÂNCIA ENTRE EIXOS 5,36 M, POTÊNCIA 185 CV, INCLUSIVE CAÇAMBA METÁLICA - CHI DIURNO. AF_06/2014</t>
  </si>
  <si>
    <t>CAMINHÃO BASCULANTE 6 M3 TOCO, PESO BRUTO TOTAL 16.000 KG, CARGA ÚTIL MÁXIMA 11.130 KG, DISTÂNCIA ENTRE EIXOS 5,36 M, POTÊNCIA 185 CV, INCLUSIVE CAÇAMBA METÁLICA - CHP DIURNO. AF_06/2014</t>
  </si>
  <si>
    <t>TRATOR DE ESTEIRAS, POTÊNCIA 170 HP, PESO OPERACIONAL 19 T, CAÇAMBA 5,2 M3 - CHP DIURNO. AF_06/2014</t>
  </si>
  <si>
    <t>Rampa de Concreto Simples  (Preparo, Lançamento e Adensamento) e Tela, exclusive esta: CONCRETO FCK = 25MPA, TRAÇO 1:2,3:2,7 (CIMENTO/ AREIA MÉDIA/ BRITA 1)  - PREPARO MECÂNICO COM BETONEIRA 400 L. AF_07/2016</t>
  </si>
  <si>
    <t>m</t>
  </si>
  <si>
    <t>Composição : 13.380.0015-0</t>
  </si>
  <si>
    <t>RODAPÉ DE MARMORITE - (1,50x6=9,00 m)</t>
  </si>
  <si>
    <t>SOLEIRA,PEITORIL OU CHAPIM DE MARMORITE,PRE-MOLDADO EM OFICINA E ASSENTADO NA OBRA, COM OU SEM REBAIXO, FEITO COM GRANA N§1 DE MARMORE BRANCO NACIONAL E CIMENTO,NA ESPESSURA DE 6MM</t>
  </si>
  <si>
    <t>13.380.0025-A</t>
  </si>
  <si>
    <t>Composição : 13.380.0025-a</t>
  </si>
  <si>
    <t>023/18</t>
  </si>
  <si>
    <t>00</t>
  </si>
  <si>
    <t>Fonte Oficial dos Preços : EMOP / SINAPI -  RJ  -  Desonerado  - JULHO/2018</t>
  </si>
  <si>
    <t>Engº  Alfredo A. N. M. Cunha   -           (CREA-RJ   1997101434)</t>
  </si>
  <si>
    <t>Arqª Valeria V. M. de Camargo               (CAU A11074-4)</t>
  </si>
  <si>
    <t>Arqª Valeria V. M. de Camargo                   (CAU A11074-4)</t>
  </si>
  <si>
    <t>Encargos Sociais  Desonerados : 90,79 % (Hora) e 51,52% (Mês)</t>
  </si>
  <si>
    <t>CONTRARUFO :  EM CHAPA DE AÇO GALVANIZADO NÚMERO 24, CORTE DE  53CM, INCLUSO TRANSPORTE VERTICAL. AF_06/2016</t>
  </si>
  <si>
    <t>RUFO LATERAL :  EM CHAPA DE AÇO GALVANIZADO NÚMERO 24, CORTE DE  35CM, INCLUSO TRANSPORTE VERTICAL. AF_06/2016</t>
  </si>
  <si>
    <r>
      <t xml:space="preserve">RASGO EM ALVENARIA PARA RAMAIS/ DISTRIBUIÇÃO COM DIAMETROS ENTRE  </t>
    </r>
    <r>
      <rPr>
        <sz val="12"/>
        <color indexed="8"/>
        <rFont val="Times New Roman"/>
        <family val="1"/>
      </rPr>
      <t>Ø</t>
    </r>
    <r>
      <rPr>
        <sz val="12"/>
        <rFont val="Times New Roman"/>
        <family val="1"/>
      </rPr>
      <t xml:space="preserve">  25mm e 59mm. AF_05/2015</t>
    </r>
  </si>
  <si>
    <t>LAVATORIO DE LOUCA BRANCA,TIPO MEDIO LUXO,COM LADRAO,COM MEDIDAS EM TORNO DE 47X35CM,INCLUSIVE ACESSORIOS DE FIXACAO.FER RAGENS EM METAL CROMADO:SIFAO 1680 DE 1"X1.1/4",E VALVULA DE ESCOAMENTO 1603.RABICHO EM PVC.FORNECIMENTO</t>
  </si>
  <si>
    <t>ASSENTO DE BANCO  EM GRANITO CINZA CORUMBA, COM ESPESSURA DE 3CM, COM POLIMENTO ASSENTE EM SUPERFICIE EM OSSO, COM NATA DE CIMENTO, SOBRE ARGAMASSA DE CIMENTO, AREIA E SAIBRO NO TRACO 1:2:2 E REJUNTAMENTO PRONTO (OBS.:3%-DESGASTE DE FERRAMENTAS E EPI).</t>
  </si>
  <si>
    <t>SI000097644</t>
  </si>
  <si>
    <t>SI000095302</t>
  </si>
  <si>
    <t xml:space="preserve"> SI000091341</t>
  </si>
  <si>
    <t xml:space="preserve"> (01) Composição : SI000094450 </t>
  </si>
  <si>
    <t xml:space="preserve">(02) Composição : SI000094450 </t>
  </si>
  <si>
    <t>15.036.0028-A</t>
  </si>
  <si>
    <t>15.038.0456-A</t>
  </si>
  <si>
    <t>15.038.0339-A</t>
  </si>
  <si>
    <t>15.038.0336-A</t>
  </si>
  <si>
    <t>15.038.0404-A</t>
  </si>
  <si>
    <t>15.038.0389-A</t>
  </si>
  <si>
    <t>15.038.0386-A</t>
  </si>
  <si>
    <t>15.038.0206-A</t>
  </si>
  <si>
    <t>15.038.0440-A</t>
  </si>
  <si>
    <t>15.038.0174-A</t>
  </si>
  <si>
    <t>Composição : SI000094964 + SI74157/004</t>
  </si>
  <si>
    <t>Composição : SI000095471</t>
  </si>
  <si>
    <t>Composição : 18.002.0012-A</t>
  </si>
  <si>
    <t>(01) Composição : 18.016.0030-A</t>
  </si>
  <si>
    <t>(02) Composição : 18.016.0030-A</t>
  </si>
  <si>
    <t>Composição : SIo000089709</t>
  </si>
  <si>
    <t>Composição : SI000094965 + SI74157/004</t>
  </si>
  <si>
    <t>Composição : 13.380.0015-A</t>
  </si>
  <si>
    <t>Composição : 13.348.0055-A</t>
  </si>
  <si>
    <t>PLACA DE IDENTIFICACAO DE OBRA PUBLICA, INCLUSIVE PINTURA E SUPORTES DE MADEIRA. FORNECIMENTO E COLOCACAO.</t>
  </si>
  <si>
    <t>1.0</t>
  </si>
  <si>
    <t>1.1</t>
  </si>
  <si>
    <t>2.0</t>
  </si>
  <si>
    <t>2.1</t>
  </si>
  <si>
    <t>2.2</t>
  </si>
  <si>
    <t>2.3</t>
  </si>
  <si>
    <t>2.4</t>
  </si>
  <si>
    <t>2.5</t>
  </si>
  <si>
    <t>2.6</t>
  </si>
  <si>
    <t>3.0</t>
  </si>
  <si>
    <t>3.1</t>
  </si>
  <si>
    <t>3.2</t>
  </si>
  <si>
    <t>3.3</t>
  </si>
  <si>
    <t>3.4</t>
  </si>
  <si>
    <t>3.5</t>
  </si>
  <si>
    <t>3.6</t>
  </si>
  <si>
    <t>3.7</t>
  </si>
  <si>
    <t>3.8</t>
  </si>
  <si>
    <t>3.9</t>
  </si>
  <si>
    <t>3.10</t>
  </si>
  <si>
    <t>3.11</t>
  </si>
  <si>
    <t>3.12</t>
  </si>
  <si>
    <t>4.0</t>
  </si>
  <si>
    <t>4.1</t>
  </si>
  <si>
    <t>4.2</t>
  </si>
  <si>
    <t>4.3</t>
  </si>
  <si>
    <t>4.4</t>
  </si>
  <si>
    <t>4.5</t>
  </si>
  <si>
    <t>4.6</t>
  </si>
  <si>
    <t>4.7</t>
  </si>
  <si>
    <t>4.8</t>
  </si>
  <si>
    <t>4.9</t>
  </si>
  <si>
    <t>5.0</t>
  </si>
  <si>
    <t>5.1</t>
  </si>
  <si>
    <t>5.2</t>
  </si>
  <si>
    <t>5.3</t>
  </si>
  <si>
    <t>5.4</t>
  </si>
  <si>
    <t>5.5</t>
  </si>
  <si>
    <t>5.6</t>
  </si>
  <si>
    <t>5.7</t>
  </si>
  <si>
    <t>5.8</t>
  </si>
  <si>
    <t>5.9</t>
  </si>
  <si>
    <t>5.10</t>
  </si>
  <si>
    <t>5.11</t>
  </si>
  <si>
    <t>6.0</t>
  </si>
  <si>
    <t>6.1</t>
  </si>
  <si>
    <t>6.2</t>
  </si>
  <si>
    <t>7.0</t>
  </si>
  <si>
    <t>7.1</t>
  </si>
  <si>
    <t>7.2</t>
  </si>
  <si>
    <t>7.3</t>
  </si>
  <si>
    <t>7.4</t>
  </si>
  <si>
    <t>7.5</t>
  </si>
  <si>
    <t>7.6</t>
  </si>
  <si>
    <t>7.7</t>
  </si>
  <si>
    <t>7.8</t>
  </si>
  <si>
    <t>8.1</t>
  </si>
  <si>
    <t>8.0</t>
  </si>
  <si>
    <t>9.0</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</si>
  <si>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</si>
  <si>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</si>
  <si>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</si>
  <si>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</si>
  <si>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</si>
  <si>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</si>
  <si>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</si>
  <si>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</si>
  <si>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</si>
  <si>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</si>
  <si>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</si>
  <si>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</si>
  <si>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</si>
  <si>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</si>
  <si>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</si>
  <si>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</si>
  <si>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</si>
  <si>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</si>
  <si>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</si>
  <si>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</si>
  <si>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</si>
  <si>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</si>
  <si>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</si>
  <si>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</si>
  <si>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10.0</t>
  </si>
  <si>
    <t>10.1</t>
  </si>
  <si>
    <t>10.2</t>
  </si>
  <si>
    <t>10.3</t>
  </si>
  <si>
    <t>10.4</t>
  </si>
  <si>
    <t>10.5</t>
  </si>
  <si>
    <t>10.6</t>
  </si>
  <si>
    <t>10.7</t>
  </si>
  <si>
    <t>10.8</t>
  </si>
  <si>
    <t>10.9</t>
  </si>
  <si>
    <t>10.10</t>
  </si>
  <si>
    <t>10.11</t>
  </si>
  <si>
    <t>11.0</t>
  </si>
  <si>
    <t>11.1</t>
  </si>
  <si>
    <t>11.2</t>
  </si>
  <si>
    <t>11.3</t>
  </si>
  <si>
    <t>11.4</t>
  </si>
  <si>
    <t>11.5</t>
  </si>
  <si>
    <t>11.6</t>
  </si>
  <si>
    <t>12.0</t>
  </si>
  <si>
    <t>12.1</t>
  </si>
  <si>
    <t>13.0</t>
  </si>
  <si>
    <t>13.1</t>
  </si>
  <si>
    <t>13.2</t>
  </si>
  <si>
    <t>13.3</t>
  </si>
  <si>
    <t>13.4</t>
  </si>
  <si>
    <t>13.5</t>
  </si>
  <si>
    <t>13.6</t>
  </si>
  <si>
    <t>13.7</t>
  </si>
  <si>
    <t>13.8</t>
  </si>
  <si>
    <t>13.9</t>
  </si>
  <si>
    <t>14.0</t>
  </si>
  <si>
    <t>14.1</t>
  </si>
  <si>
    <t>14.2</t>
  </si>
  <si>
    <t>14.3</t>
  </si>
  <si>
    <t>14.4</t>
  </si>
  <si>
    <t>14.5</t>
  </si>
  <si>
    <t>14.6</t>
  </si>
  <si>
    <t>14.7</t>
  </si>
  <si>
    <t>14.8</t>
  </si>
  <si>
    <t>14.9</t>
  </si>
  <si>
    <t>14.10</t>
  </si>
  <si>
    <t>14.11</t>
  </si>
  <si>
    <t>14.12</t>
  </si>
  <si>
    <t>15.0</t>
  </si>
  <si>
    <t>15.1</t>
  </si>
  <si>
    <t>15.2</t>
  </si>
  <si>
    <t>15.3</t>
  </si>
  <si>
    <t>15.4</t>
  </si>
  <si>
    <t>15.5</t>
  </si>
  <si>
    <t>15.6</t>
  </si>
  <si>
    <t>16.0</t>
  </si>
  <si>
    <t>16.1</t>
  </si>
  <si>
    <t>16.2</t>
  </si>
  <si>
    <t>16.3</t>
  </si>
  <si>
    <t>16.4</t>
  </si>
  <si>
    <t>16.5</t>
  </si>
  <si>
    <t>16.6</t>
  </si>
  <si>
    <t>16.7</t>
  </si>
  <si>
    <t>16.8</t>
  </si>
  <si>
    <t>16.9</t>
  </si>
  <si>
    <t>16.10</t>
  </si>
  <si>
    <t>16.11</t>
  </si>
  <si>
    <t>Fonte Oficial dos Preços : EMOP / SINAPI -  RJ  -  desonerado  - jul/2018</t>
  </si>
  <si>
    <t>TOTAL GERAL C/BDI DE 28,82%</t>
  </si>
  <si>
    <t>5º Mês</t>
  </si>
  <si>
    <t>6º Mês</t>
  </si>
  <si>
    <t>7º Mês</t>
  </si>
  <si>
    <t>8º Mês</t>
  </si>
  <si>
    <r>
      <t xml:space="preserve">MASSA ÚNICA, </t>
    </r>
    <r>
      <rPr>
        <strike/>
        <sz val="11"/>
        <rFont val="Times New Roman"/>
        <family val="1"/>
      </rPr>
      <t xml:space="preserve">PARA RECEBIMENTO DE PINTURA, </t>
    </r>
    <r>
      <rPr>
        <sz val="11"/>
        <rFont val="Times New Roman"/>
        <family val="1"/>
      </rPr>
      <t>EM ARGAMASSA TRAÇO 1:2:8, PREPARO MECÂNICO COM BETONEIRA 400L, APLICADA MANUALMENTE EM FACES INTERNAS DE PAREDES E TETOS , ESPESSURA DE 20MM, COM EXECUÇÃO DE TALISCAS. AF_06/2014</t>
    </r>
  </si>
  <si>
    <t>a</t>
  </si>
  <si>
    <t>b</t>
  </si>
  <si>
    <t>a+b=</t>
  </si>
  <si>
    <r>
      <t xml:space="preserve">MASSA ÚNICA, </t>
    </r>
    <r>
      <rPr>
        <strike/>
        <sz val="11"/>
        <color indexed="8"/>
        <rFont val="Times New Roman"/>
        <family val="1"/>
      </rPr>
      <t xml:space="preserve">PARA RECEBIMENTO DE PINTURA, </t>
    </r>
    <r>
      <rPr>
        <sz val="11"/>
        <color indexed="8"/>
        <rFont val="Times New Roman"/>
        <family val="1"/>
      </rPr>
      <t>EM ARGAMASSA TRAÇO 1:2:8, PREPARO MECÂNICO COM BETONEIRA 400L, APLICADA MANUALMENTE EM FACES INTERNAS DE PAREDES E TETOS , ESPESSURA DE 20MM, COM EXECUÇÃO DE TALISCAS. AF_06/2014</t>
    </r>
  </si>
  <si>
    <r>
      <t xml:space="preserve">ASSENTO DE BANCO   </t>
    </r>
    <r>
      <rPr>
        <strike/>
        <sz val="11"/>
        <color indexed="8"/>
        <rFont val="Times New Roman"/>
        <family val="1"/>
      </rPr>
      <t xml:space="preserve">CAPA DE DEGRAU  </t>
    </r>
    <r>
      <rPr>
        <sz val="11"/>
        <color indexed="8"/>
        <rFont val="Times New Roman"/>
        <family val="1"/>
      </rPr>
      <t xml:space="preserve">     EM GRANITO CINZA CORUMBA, COM    </t>
    </r>
    <r>
      <rPr>
        <strike/>
        <sz val="11"/>
        <color indexed="8"/>
        <rFont val="Times New Roman"/>
        <family val="1"/>
      </rPr>
      <t xml:space="preserve"> LARGURA DE 30CM</t>
    </r>
    <r>
      <rPr>
        <sz val="11"/>
        <color indexed="8"/>
        <rFont val="Times New Roman"/>
        <family val="1"/>
      </rPr>
      <t>, ESPESSURA DE 3CM, COM POLIMENTO ASSENTE EM SUPERFICIE EM OSSO, COM NATA DE CIMENTO, SOBRE ARGAMASSA DE CIMENTO, AREIA E SAIBRO NO TRACO 1:2:2 E REJUNTAMENTO PRONTO (OBS.:3%-DESGASTE DE FERRAMENTAS E EPI).</t>
    </r>
  </si>
  <si>
    <r>
      <t xml:space="preserve">ASSENTO DE BANCO    </t>
    </r>
    <r>
      <rPr>
        <strike/>
        <sz val="11"/>
        <color indexed="8"/>
        <rFont val="Times New Roman"/>
        <family val="1"/>
      </rPr>
      <t xml:space="preserve"> CAPA DE DEGRAU </t>
    </r>
    <r>
      <rPr>
        <sz val="11"/>
        <color indexed="8"/>
        <rFont val="Times New Roman"/>
        <family val="1"/>
      </rPr>
      <t xml:space="preserve">    EM GRANITO, CINZA CORUMBA 3CM, POLIDO</t>
    </r>
  </si>
  <si>
    <t>023-18</t>
  </si>
  <si>
    <t>03-12-18</t>
  </si>
  <si>
    <t xml:space="preserve">Composição de Preços Com Desoneração </t>
  </si>
  <si>
    <t xml:space="preserve">Fonte Oficial dos Preços : EMOP / SINAPI -  RJ  -  COM Desoneração  - jul/2018 </t>
  </si>
  <si>
    <t xml:space="preserve"> </t>
  </si>
  <si>
    <t>13.380.0010-A</t>
  </si>
  <si>
    <t>PISO DE MARMORITE,COMPREENDENDO:A)LASTRO,COM 4CM DE ESPESSURA MEDIA,DE ARGAMASSA DE CIMENTO E AREIA GROSSA,NO TRACO 1:4; B)CAMADA DE MARMORITE,COM 1CM DE ESPESSURA,FEITA COM GRANA N§1 DE MARMORE BRANCO NACIONAL E CIMENTO,SUPERFICIE ESTUCADA APOS A FUNDICAO,COM 3 POLIMENTOS MECANICOS,EXCLUSIVE JUNTA</t>
  </si>
  <si>
    <t>30707</t>
  </si>
  <si>
    <t>19.006.0050-E MAQUINA POLIDORA 4HP (CI)</t>
  </si>
  <si>
    <t>30706</t>
  </si>
  <si>
    <t>19.006.0050-C MAQUINA POLIDORA 4HP (CP)</t>
  </si>
  <si>
    <t>13.381.0050-A</t>
  </si>
  <si>
    <t>JUNTA PLASTICA 17X3MM,PARA PISOS CONTINUOS.FORNECIMENTO E COLOCACAO</t>
  </si>
  <si>
    <t>00316</t>
  </si>
  <si>
    <t>JUNTA PLASTICA, P/PISO, ALTURA DE 17MM,E C/ESPES. DE 3MM</t>
  </si>
  <si>
    <t>conforme levantamento temos 12 cômodos com área inferior a 10 m² num total de 92,03m² e 8 cômodos com áreas superior a 10m² num total de 153,54m² - Totalizando 245,57m²</t>
  </si>
  <si>
    <t>Considerando as orientações do catálogo emop teremos a) 92,03m² x 2,70m/m² de junta = 248,48m de junta  b) 153,54m² x 2,50m/m² = 383,85m --------- Totalizando 632,33m de junta</t>
  </si>
  <si>
    <t>PISO DE MARMORITE,COMPREENDENDO: CAMADA DE MARMORITE,COM 1CM DE ESPESSURA,FEITA COM GRANA N§1 DE MARMORE BRANCO NACIONAL E CIMENTO,SUPERFICIE ESTUCADA APOS A FUNDICAO,COM 3 POLIMENTOS MECANICOS, INCLUSIVE FORNECIMENTO E  COLOCAÇÃO DE JUNTA PLASTICA 17X3MM,PARA PISOS CONTINUOS.</t>
  </si>
  <si>
    <t>13.380.0010-6 + 13.381.0050-A</t>
  </si>
  <si>
    <t>A</t>
  </si>
  <si>
    <t>B</t>
  </si>
  <si>
    <t>TRANSPORTE COM CAMINHÃO BASCULANTE 6 M3 EM RODOVIA PAVIMENTADA ( PARA DISTÂNCIAS SUPERIORES A 4 KM) - DMT= 2,9KM (PARQUE DA CIDADE)</t>
  </si>
  <si>
    <r>
      <t xml:space="preserve">PISO DE MARMORITE,COMPREENDENDO: CAMADA DE MARMORITE,COM 1CM DE ESPESSURA,FEITA COM GRANA N§1 DE MARMORE BRANCO NACIONAL E </t>
    </r>
    <r>
      <rPr>
        <sz val="11"/>
        <color indexed="8"/>
        <rFont val="Times New Roman"/>
        <family val="1"/>
      </rPr>
      <t xml:space="preserve">CIMENTO  ,SUPERFICIE ESTUCADA APOS A FUNDICAO,COM 3 POLIMENTOS MECANICOS, INCLUSIVE </t>
    </r>
    <r>
      <rPr>
        <sz val="11"/>
        <color indexed="8"/>
        <rFont val="Times New Roman"/>
        <family val="1"/>
      </rPr>
      <t>FORNECIMENTO E  COLOCAÇÃO DE JUNTA PLASTICA 17X3MM,PARA PISOS CONTINUOS.</t>
    </r>
  </si>
  <si>
    <r>
      <t>A) Adotado valor médio de juntas = 623,33m / 245,57m² = 2,57m/m² -----------------</t>
    </r>
    <r>
      <rPr>
        <b/>
        <i/>
        <u val="single"/>
        <sz val="14"/>
        <color indexed="8"/>
        <rFont val="Arial"/>
        <family val="2"/>
      </rPr>
      <t>adotado 2,60m no item junta</t>
    </r>
  </si>
  <si>
    <t>B) Considerado apenas o piso de marmorite com 1cm sem o contrapiso do item original da EMOP.</t>
  </si>
  <si>
    <r>
      <t xml:space="preserve">PISO DE MARMORITE,COMPREENDENDO: CAMADA DE MARMORITE,COM 1CM DE ESPESSURA,FEITA COM GRANA N§1 DE MARMORE BRANCO NACIONAL E </t>
    </r>
    <r>
      <rPr>
        <sz val="11"/>
        <color indexed="8"/>
        <rFont val="Times New Roman"/>
        <family val="1"/>
      </rPr>
      <t>CIMENTO  ,SUPERFICIE ESTUCADA APOS A FUNDICAO,COM 3 POLIMENTOS MECANICOS, INCLUSIVE FORNECIMENTO E  COLOCAÇÃO DE JUNTA PLASTICA 17X3MM,PARA PIS</t>
    </r>
    <r>
      <rPr>
        <sz val="11"/>
        <color indexed="8"/>
        <rFont val="Times New Roman"/>
        <family val="1"/>
      </rPr>
      <t>OS CONTINUOS.</t>
    </r>
  </si>
</sst>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0000"/>
    <numFmt numFmtId="166" formatCode="0.000"/>
    <numFmt numFmtId="167" formatCode="0.0000"/>
    <numFmt numFmtId="168" formatCode="dd/mm/yy;@"/>
    <numFmt numFmtId="169" formatCode="#,##0.0000"/>
    <numFmt numFmtId="170" formatCode="#,##0.00_ ;[Red]\-#,##0.00\ "/>
  </numFmts>
  <fonts count="90">
    <font>
      <sz val="10"/>
      <name val="Arial"/>
      <family val="0"/>
    </font>
    <font>
      <sz val="11"/>
      <color indexed="8"/>
      <name val="Calibri"/>
      <family val="2"/>
    </font>
    <font>
      <b/>
      <sz val="12"/>
      <name val="Times New Roman"/>
      <family val="1"/>
    </font>
    <font>
      <sz val="11"/>
      <color indexed="8"/>
      <name val="Times New Roman"/>
      <family val="1"/>
    </font>
    <font>
      <sz val="11"/>
      <name val="Times New Roman"/>
      <family val="1"/>
    </font>
    <font>
      <sz val="9"/>
      <name val="Times New Roman"/>
      <family val="1"/>
    </font>
    <font>
      <b/>
      <sz val="11"/>
      <name val="Times New Roman"/>
      <family val="1"/>
    </font>
    <font>
      <strike/>
      <sz val="11"/>
      <name val="Times New Roman"/>
      <family val="1"/>
    </font>
    <font>
      <strike/>
      <sz val="11"/>
      <color indexed="8"/>
      <name val="Times New Roman"/>
      <family val="1"/>
    </font>
    <font>
      <sz val="12"/>
      <name val="Times New Roman"/>
      <family val="1"/>
    </font>
    <font>
      <b/>
      <sz val="14"/>
      <name val="Times New Roman"/>
      <family val="1"/>
    </font>
    <font>
      <sz val="14"/>
      <name val="Times New Roman"/>
      <family val="1"/>
    </font>
    <font>
      <b/>
      <sz val="10"/>
      <name val="Arial"/>
      <family val="2"/>
    </font>
    <font>
      <b/>
      <sz val="12"/>
      <name val="Arial"/>
      <family val="2"/>
    </font>
    <font>
      <sz val="12"/>
      <color indexed="8"/>
      <name val="Times New Roman"/>
      <family val="1"/>
    </font>
    <font>
      <sz val="12"/>
      <name val="Arial"/>
      <family val="2"/>
    </font>
    <font>
      <sz val="16"/>
      <name val="Times New Roman"/>
      <family val="1"/>
    </font>
    <font>
      <strike/>
      <sz val="12"/>
      <name val="Times New Roman"/>
      <family val="1"/>
    </font>
    <font>
      <sz val="14"/>
      <name val="Arial"/>
      <family val="2"/>
    </font>
    <font>
      <b/>
      <sz val="14"/>
      <name val="Arial"/>
      <family val="2"/>
    </font>
    <font>
      <b/>
      <strike/>
      <sz val="14"/>
      <name val="Times New Roman"/>
      <family val="1"/>
    </font>
    <font>
      <b/>
      <i/>
      <u val="single"/>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8"/>
      <name val="Times New Roman"/>
      <family val="1"/>
    </font>
    <font>
      <b/>
      <sz val="14"/>
      <color indexed="8"/>
      <name val="Times New Roman"/>
      <family val="1"/>
    </font>
    <font>
      <sz val="11"/>
      <color indexed="10"/>
      <name val="Times New Roman"/>
      <family val="1"/>
    </font>
    <font>
      <b/>
      <sz val="14"/>
      <color indexed="10"/>
      <name val="Times New Roman"/>
      <family val="1"/>
    </font>
    <font>
      <b/>
      <sz val="12"/>
      <color indexed="8"/>
      <name val="Times New Roman"/>
      <family val="1"/>
    </font>
    <font>
      <b/>
      <sz val="12"/>
      <color indexed="10"/>
      <name val="Arial"/>
      <family val="2"/>
    </font>
    <font>
      <b/>
      <sz val="12"/>
      <color indexed="10"/>
      <name val="Times New Roman"/>
      <family val="1"/>
    </font>
    <font>
      <b/>
      <sz val="12"/>
      <color indexed="8"/>
      <name val="Arial"/>
      <family val="2"/>
    </font>
    <font>
      <b/>
      <sz val="11"/>
      <color indexed="10"/>
      <name val="Times New Roman"/>
      <family val="1"/>
    </font>
    <font>
      <b/>
      <sz val="10"/>
      <color indexed="8"/>
      <name val="Times New Roman"/>
      <family val="1"/>
    </font>
    <font>
      <strike/>
      <sz val="12"/>
      <color indexed="8"/>
      <name val="Times New Roman"/>
      <family val="1"/>
    </font>
    <font>
      <sz val="12"/>
      <color indexed="10"/>
      <name val="Times New Roman"/>
      <family val="1"/>
    </font>
    <font>
      <b/>
      <sz val="16"/>
      <color indexed="8"/>
      <name val="Times New Roman"/>
      <family val="1"/>
    </font>
    <font>
      <sz val="16"/>
      <color indexed="8"/>
      <name val="Times New Roman"/>
      <family val="1"/>
    </font>
    <font>
      <sz val="14"/>
      <color indexed="8"/>
      <name val="Times New Roman"/>
      <family val="1"/>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1"/>
      <name val="Times New Roman"/>
      <family val="1"/>
    </font>
    <font>
      <b/>
      <sz val="14"/>
      <color theme="1"/>
      <name val="Times New Roman"/>
      <family val="1"/>
    </font>
    <font>
      <sz val="11"/>
      <color theme="1"/>
      <name val="Times New Roman"/>
      <family val="1"/>
    </font>
    <font>
      <strike/>
      <sz val="11"/>
      <color theme="1"/>
      <name val="Times New Roman"/>
      <family val="1"/>
    </font>
    <font>
      <sz val="12"/>
      <color theme="1"/>
      <name val="Times New Roman"/>
      <family val="1"/>
    </font>
    <font>
      <sz val="11"/>
      <color rgb="FFFF0000"/>
      <name val="Times New Roman"/>
      <family val="1"/>
    </font>
    <font>
      <b/>
      <sz val="14"/>
      <color rgb="FFFF0000"/>
      <name val="Times New Roman"/>
      <family val="1"/>
    </font>
    <font>
      <b/>
      <sz val="12"/>
      <color theme="1"/>
      <name val="Times New Roman"/>
      <family val="1"/>
    </font>
    <font>
      <b/>
      <sz val="12"/>
      <color rgb="FFFF0000"/>
      <name val="Arial"/>
      <family val="2"/>
    </font>
    <font>
      <b/>
      <sz val="12"/>
      <color rgb="FFFF0000"/>
      <name val="Times New Roman"/>
      <family val="1"/>
    </font>
    <font>
      <b/>
      <sz val="12"/>
      <color theme="1"/>
      <name val="Arial"/>
      <family val="2"/>
    </font>
    <font>
      <b/>
      <sz val="11"/>
      <color rgb="FFFF0000"/>
      <name val="Times New Roman"/>
      <family val="1"/>
    </font>
    <font>
      <b/>
      <sz val="10"/>
      <color theme="1"/>
      <name val="Times New Roman"/>
      <family val="1"/>
    </font>
    <font>
      <strike/>
      <sz val="12"/>
      <color theme="1"/>
      <name val="Times New Roman"/>
      <family val="1"/>
    </font>
    <font>
      <sz val="12"/>
      <color rgb="FFFF0000"/>
      <name val="Times New Roman"/>
      <family val="1"/>
    </font>
    <font>
      <b/>
      <sz val="16"/>
      <color theme="1"/>
      <name val="Times New Roman"/>
      <family val="1"/>
    </font>
    <font>
      <sz val="16"/>
      <color theme="1"/>
      <name val="Times New Roman"/>
      <family val="1"/>
    </font>
    <font>
      <sz val="14"/>
      <color theme="1"/>
      <name val="Times New Roman"/>
      <family val="1"/>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top style="thin"/>
      <bottom/>
    </border>
    <border>
      <left style="thin"/>
      <right/>
      <top/>
      <bottom/>
    </border>
    <border>
      <left/>
      <right style="thin"/>
      <top style="thin"/>
      <bottom/>
    </border>
    <border>
      <left/>
      <right style="thin"/>
      <top/>
      <bottom/>
    </border>
    <border>
      <left/>
      <right/>
      <top/>
      <bottom style="thin"/>
    </border>
    <border>
      <left/>
      <right style="mediumDashed"/>
      <top/>
      <bottom/>
    </border>
    <border>
      <left/>
      <right style="thin"/>
      <top/>
      <bottom style="thin"/>
    </border>
    <border>
      <left style="thin"/>
      <right/>
      <top/>
      <bottom style="thin"/>
    </border>
    <border>
      <left style="thin"/>
      <right style="thin"/>
      <top style="thin"/>
      <bottom/>
    </border>
    <border>
      <left style="thin"/>
      <right style="thin"/>
      <top/>
      <bottom/>
    </border>
    <border>
      <left style="thin"/>
      <right style="thin"/>
      <top/>
      <bottom style="thin"/>
    </border>
    <border>
      <left style="mediumDashed"/>
      <right/>
      <top/>
      <bottom/>
    </border>
    <border>
      <left style="mediumDashed"/>
      <right/>
      <top/>
      <bottom style="mediumDashed"/>
    </border>
    <border>
      <left/>
      <right/>
      <top/>
      <bottom style="mediumDashed"/>
    </border>
    <border>
      <left/>
      <right style="mediumDashed"/>
      <top/>
      <bottom style="mediumDashed"/>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0" fillId="29" borderId="1" applyNumberFormat="0" applyAlignment="0" applyProtection="0"/>
    <xf numFmtId="0" fontId="61"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41"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43" fontId="0" fillId="0" borderId="0" applyFont="0" applyFill="0" applyBorder="0" applyAlignment="0" applyProtection="0"/>
  </cellStyleXfs>
  <cellXfs count="576">
    <xf numFmtId="0" fontId="0" fillId="0" borderId="0" xfId="0" applyAlignment="1">
      <alignment/>
    </xf>
    <xf numFmtId="164" fontId="4" fillId="0" borderId="0" xfId="0" applyNumberFormat="1" applyFont="1" applyFill="1" applyAlignment="1">
      <alignment/>
    </xf>
    <xf numFmtId="0" fontId="4" fillId="0" borderId="0" xfId="0" applyFont="1" applyFill="1" applyAlignment="1">
      <alignment/>
    </xf>
    <xf numFmtId="164" fontId="4" fillId="0" borderId="0" xfId="0" applyNumberFormat="1" applyFont="1" applyFill="1" applyBorder="1" applyAlignment="1">
      <alignment/>
    </xf>
    <xf numFmtId="0" fontId="6" fillId="0" borderId="0" xfId="0" applyFont="1" applyFill="1" applyAlignment="1">
      <alignment/>
    </xf>
    <xf numFmtId="4" fontId="71" fillId="0" borderId="10" xfId="0" applyNumberFormat="1" applyFont="1" applyFill="1" applyBorder="1" applyAlignment="1">
      <alignment/>
    </xf>
    <xf numFmtId="4" fontId="71" fillId="0" borderId="0" xfId="0" applyNumberFormat="1" applyFont="1" applyFill="1" applyBorder="1" applyAlignment="1">
      <alignment/>
    </xf>
    <xf numFmtId="164" fontId="6" fillId="0" borderId="0" xfId="0" applyNumberFormat="1" applyFont="1" applyFill="1" applyBorder="1" applyAlignment="1">
      <alignment/>
    </xf>
    <xf numFmtId="4" fontId="4" fillId="0" borderId="11" xfId="0" applyNumberFormat="1" applyFont="1" applyFill="1" applyBorder="1" applyAlignment="1">
      <alignment/>
    </xf>
    <xf numFmtId="4" fontId="4" fillId="0" borderId="0" xfId="0" applyNumberFormat="1" applyFont="1" applyFill="1" applyAlignment="1">
      <alignment/>
    </xf>
    <xf numFmtId="0" fontId="4" fillId="0" borderId="0" xfId="0" applyFont="1" applyFill="1" applyBorder="1" applyAlignment="1">
      <alignment/>
    </xf>
    <xf numFmtId="4" fontId="2" fillId="0" borderId="12" xfId="0" applyNumberFormat="1" applyFont="1" applyFill="1" applyBorder="1" applyAlignment="1">
      <alignment horizontal="center" vertical="center"/>
    </xf>
    <xf numFmtId="4" fontId="2" fillId="0" borderId="13" xfId="0" applyNumberFormat="1"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xf>
    <xf numFmtId="0" fontId="4" fillId="0" borderId="11" xfId="0" applyFont="1" applyFill="1" applyBorder="1" applyAlignment="1">
      <alignment/>
    </xf>
    <xf numFmtId="49" fontId="72" fillId="0" borderId="0" xfId="53" applyNumberFormat="1" applyFont="1" applyFill="1" applyBorder="1" applyAlignment="1">
      <alignment horizontal="center" vertical="center"/>
      <protection/>
    </xf>
    <xf numFmtId="0" fontId="10" fillId="0" borderId="0" xfId="0" applyFont="1" applyFill="1" applyAlignment="1">
      <alignment horizontal="center" vertical="center"/>
    </xf>
    <xf numFmtId="0" fontId="4" fillId="0" borderId="0" xfId="0" applyFont="1" applyFill="1" applyBorder="1" applyAlignment="1">
      <alignment/>
    </xf>
    <xf numFmtId="49" fontId="72" fillId="0" borderId="0" xfId="49" applyNumberFormat="1" applyFont="1" applyFill="1" applyBorder="1" applyAlignment="1">
      <alignment horizontal="center"/>
      <protection/>
    </xf>
    <xf numFmtId="164" fontId="73" fillId="0" borderId="0" xfId="49" applyNumberFormat="1" applyFont="1" applyFill="1" applyBorder="1">
      <alignment/>
      <protection/>
    </xf>
    <xf numFmtId="3" fontId="4" fillId="0" borderId="0" xfId="49" applyNumberFormat="1" applyFont="1" applyFill="1" applyBorder="1" applyAlignment="1">
      <alignment horizontal="center" vertical="center" wrapText="1"/>
      <protection/>
    </xf>
    <xf numFmtId="164" fontId="4" fillId="0" borderId="0" xfId="49" applyNumberFormat="1" applyFont="1" applyFill="1" applyBorder="1" applyAlignment="1">
      <alignment horizontal="right" wrapText="1"/>
      <protection/>
    </xf>
    <xf numFmtId="0" fontId="4" fillId="0" borderId="0" xfId="0" applyFont="1" applyFill="1" applyBorder="1" applyAlignment="1">
      <alignment horizontal="center" vertical="center"/>
    </xf>
    <xf numFmtId="0" fontId="73" fillId="0" borderId="0" xfId="0" applyFont="1" applyFill="1" applyBorder="1" applyAlignment="1">
      <alignment horizontal="right" vertical="center" wrapText="1"/>
    </xf>
    <xf numFmtId="0" fontId="74" fillId="0" borderId="0" xfId="0" applyFont="1" applyFill="1" applyBorder="1" applyAlignment="1">
      <alignment horizontal="right" vertical="center" wrapText="1"/>
    </xf>
    <xf numFmtId="0" fontId="7" fillId="0" borderId="0" xfId="0" applyFont="1" applyFill="1" applyBorder="1" applyAlignment="1">
      <alignment/>
    </xf>
    <xf numFmtId="164" fontId="0" fillId="0" borderId="0" xfId="0" applyNumberFormat="1" applyFill="1" applyAlignment="1">
      <alignment/>
    </xf>
    <xf numFmtId="49" fontId="71" fillId="0" borderId="0" xfId="53" applyNumberFormat="1" applyFont="1" applyFill="1" applyBorder="1" applyAlignment="1">
      <alignment horizontal="center" vertical="center"/>
      <protection/>
    </xf>
    <xf numFmtId="164" fontId="73" fillId="0" borderId="0" xfId="0" applyNumberFormat="1" applyFont="1" applyFill="1" applyBorder="1" applyAlignment="1">
      <alignment horizontal="right" vertical="center" wrapText="1"/>
    </xf>
    <xf numFmtId="0" fontId="10" fillId="0" borderId="0" xfId="0" applyFont="1" applyFill="1" applyBorder="1" applyAlignment="1">
      <alignment horizontal="center" vertical="center"/>
    </xf>
    <xf numFmtId="0" fontId="5" fillId="0" borderId="0" xfId="0" applyFont="1" applyFill="1" applyAlignment="1">
      <alignment horizontal="center"/>
    </xf>
    <xf numFmtId="164" fontId="4" fillId="0" borderId="11" xfId="0" applyNumberFormat="1" applyFont="1" applyFill="1" applyBorder="1" applyAlignment="1">
      <alignment/>
    </xf>
    <xf numFmtId="0" fontId="10" fillId="0" borderId="11" xfId="0" applyFont="1" applyFill="1" applyBorder="1" applyAlignment="1">
      <alignment horizontal="center" vertical="center"/>
    </xf>
    <xf numFmtId="0" fontId="5" fillId="0" borderId="0" xfId="0" applyFont="1" applyFill="1" applyAlignment="1">
      <alignment horizontal="center" vertical="center"/>
    </xf>
    <xf numFmtId="0" fontId="9" fillId="0" borderId="0" xfId="49" applyFont="1">
      <alignment/>
      <protection/>
    </xf>
    <xf numFmtId="44" fontId="0" fillId="0" borderId="0" xfId="0" applyNumberFormat="1" applyAlignment="1">
      <alignment/>
    </xf>
    <xf numFmtId="49" fontId="75" fillId="0" borderId="10" xfId="52" applyNumberFormat="1" applyFont="1" applyFill="1" applyBorder="1" applyAlignment="1">
      <alignment horizontal="left" vertical="center"/>
      <protection/>
    </xf>
    <xf numFmtId="49" fontId="75" fillId="0" borderId="10" xfId="49" applyNumberFormat="1" applyFont="1" applyFill="1" applyBorder="1" applyAlignment="1">
      <alignment horizontal="center" vertical="center"/>
      <protection/>
    </xf>
    <xf numFmtId="49" fontId="9" fillId="0" borderId="10" xfId="0" applyNumberFormat="1" applyFont="1" applyBorder="1" applyAlignment="1">
      <alignment horizontal="center" vertical="center"/>
    </xf>
    <xf numFmtId="49" fontId="75" fillId="0" borderId="0" xfId="52" applyNumberFormat="1" applyFont="1" applyFill="1" applyBorder="1" applyAlignment="1">
      <alignment horizontal="left" vertical="center"/>
      <protection/>
    </xf>
    <xf numFmtId="49" fontId="9" fillId="0" borderId="0" xfId="0" applyNumberFormat="1" applyFont="1" applyBorder="1" applyAlignment="1">
      <alignment horizontal="left" vertical="center"/>
    </xf>
    <xf numFmtId="49" fontId="75" fillId="0" borderId="0" xfId="49" applyNumberFormat="1" applyFont="1" applyFill="1" applyBorder="1" applyAlignment="1">
      <alignment horizontal="center" vertical="center"/>
      <protection/>
    </xf>
    <xf numFmtId="49" fontId="75" fillId="0" borderId="0" xfId="52" applyNumberFormat="1" applyFont="1" applyFill="1" applyBorder="1" applyAlignment="1">
      <alignment horizontal="center" vertical="center"/>
      <protection/>
    </xf>
    <xf numFmtId="49" fontId="9" fillId="0" borderId="14" xfId="0" applyNumberFormat="1" applyFont="1" applyBorder="1" applyAlignment="1">
      <alignment horizontal="center" vertical="center"/>
    </xf>
    <xf numFmtId="49" fontId="4" fillId="0" borderId="10" xfId="0" applyNumberFormat="1" applyFont="1" applyFill="1" applyBorder="1" applyAlignment="1">
      <alignment horizontal="left" vertical="center" wrapText="1"/>
    </xf>
    <xf numFmtId="49" fontId="5" fillId="0" borderId="14" xfId="0" applyNumberFormat="1" applyFont="1" applyFill="1" applyBorder="1" applyAlignment="1">
      <alignment horizontal="center" vertical="center" wrapText="1"/>
    </xf>
    <xf numFmtId="49" fontId="9" fillId="0" borderId="14" xfId="0" applyNumberFormat="1" applyFont="1" applyBorder="1" applyAlignment="1">
      <alignment horizontal="left" vertical="center"/>
    </xf>
    <xf numFmtId="49" fontId="9" fillId="0" borderId="15" xfId="0" applyNumberFormat="1" applyFont="1" applyBorder="1" applyAlignment="1">
      <alignment horizontal="left" vertical="center"/>
    </xf>
    <xf numFmtId="49" fontId="75" fillId="0" borderId="16" xfId="52" applyNumberFormat="1" applyFont="1" applyFill="1" applyBorder="1" applyAlignment="1">
      <alignment horizontal="center" vertical="center"/>
      <protection/>
    </xf>
    <xf numFmtId="0" fontId="7" fillId="0" borderId="0" xfId="0" applyFont="1" applyFill="1" applyAlignment="1">
      <alignment/>
    </xf>
    <xf numFmtId="49" fontId="9" fillId="0" borderId="0"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xf>
    <xf numFmtId="0" fontId="0" fillId="0" borderId="0" xfId="0" applyBorder="1" applyAlignment="1">
      <alignment/>
    </xf>
    <xf numFmtId="0" fontId="0" fillId="0" borderId="17" xfId="0" applyBorder="1" applyAlignment="1">
      <alignment/>
    </xf>
    <xf numFmtId="0" fontId="9" fillId="0" borderId="0" xfId="0" applyFont="1" applyFill="1" applyAlignment="1">
      <alignment/>
    </xf>
    <xf numFmtId="164" fontId="4" fillId="0" borderId="0" xfId="49" applyNumberFormat="1" applyFont="1" applyFill="1" applyBorder="1" applyAlignment="1">
      <alignment horizontal="center" vertical="center" wrapText="1"/>
      <protection/>
    </xf>
    <xf numFmtId="0" fontId="4" fillId="33" borderId="0" xfId="0" applyFont="1" applyFill="1" applyAlignment="1">
      <alignment/>
    </xf>
    <xf numFmtId="0" fontId="10" fillId="33" borderId="0" xfId="0" applyFont="1" applyFill="1" applyAlignment="1">
      <alignment horizontal="center" vertical="center"/>
    </xf>
    <xf numFmtId="0" fontId="76" fillId="0" borderId="0" xfId="0" applyFont="1" applyFill="1" applyAlignment="1">
      <alignment/>
    </xf>
    <xf numFmtId="167" fontId="4" fillId="0" borderId="0" xfId="0" applyNumberFormat="1" applyFont="1" applyFill="1" applyAlignment="1">
      <alignment/>
    </xf>
    <xf numFmtId="0" fontId="76" fillId="33" borderId="0" xfId="0" applyFont="1" applyFill="1" applyAlignment="1">
      <alignment/>
    </xf>
    <xf numFmtId="0" fontId="77" fillId="33" borderId="0" xfId="0" applyFont="1" applyFill="1" applyAlignment="1">
      <alignment horizontal="center" vertical="center"/>
    </xf>
    <xf numFmtId="0" fontId="0" fillId="0" borderId="0" xfId="0" applyFont="1" applyAlignment="1">
      <alignment/>
    </xf>
    <xf numFmtId="4" fontId="73" fillId="0" borderId="0" xfId="0" applyNumberFormat="1" applyFont="1" applyFill="1" applyBorder="1" applyAlignment="1">
      <alignment horizontal="justify" vertical="center" wrapText="1"/>
    </xf>
    <xf numFmtId="0" fontId="4" fillId="33" borderId="0" xfId="0" applyFont="1" applyFill="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0" fontId="10" fillId="33" borderId="0" xfId="0" applyFont="1" applyFill="1" applyBorder="1" applyAlignment="1">
      <alignment horizontal="center" vertical="center"/>
    </xf>
    <xf numFmtId="0" fontId="2" fillId="33" borderId="0" xfId="0" applyFont="1" applyFill="1" applyAlignment="1">
      <alignment horizontal="center" vertical="center"/>
    </xf>
    <xf numFmtId="170" fontId="4" fillId="0" borderId="0" xfId="0" applyNumberFormat="1" applyFont="1" applyFill="1" applyAlignment="1">
      <alignment/>
    </xf>
    <xf numFmtId="4" fontId="4" fillId="33" borderId="11" xfId="0" applyNumberFormat="1" applyFont="1" applyFill="1" applyBorder="1" applyAlignment="1">
      <alignment/>
    </xf>
    <xf numFmtId="164" fontId="4" fillId="33" borderId="11" xfId="0" applyNumberFormat="1" applyFont="1" applyFill="1" applyBorder="1" applyAlignment="1">
      <alignment/>
    </xf>
    <xf numFmtId="4" fontId="2" fillId="0" borderId="12" xfId="0" applyNumberFormat="1" applyFont="1" applyFill="1" applyBorder="1" applyAlignment="1">
      <alignment/>
    </xf>
    <xf numFmtId="4" fontId="9" fillId="0" borderId="10" xfId="0" applyNumberFormat="1" applyFont="1" applyFill="1" applyBorder="1" applyAlignment="1">
      <alignment horizontal="center" vertical="center"/>
    </xf>
    <xf numFmtId="49" fontId="78" fillId="0" borderId="11" xfId="49" applyNumberFormat="1" applyFont="1" applyFill="1" applyBorder="1" applyAlignment="1">
      <alignment horizontal="center" vertical="center"/>
      <protection/>
    </xf>
    <xf numFmtId="49" fontId="2" fillId="0" borderId="11" xfId="0" applyNumberFormat="1" applyFont="1" applyFill="1" applyBorder="1" applyAlignment="1">
      <alignment horizontal="center" vertical="center"/>
    </xf>
    <xf numFmtId="164" fontId="2" fillId="0" borderId="11" xfId="0" applyNumberFormat="1" applyFont="1" applyFill="1" applyBorder="1" applyAlignment="1">
      <alignment horizontal="center" vertical="center"/>
    </xf>
    <xf numFmtId="170" fontId="9" fillId="0" borderId="0" xfId="0" applyNumberFormat="1" applyFont="1" applyFill="1" applyAlignment="1">
      <alignment/>
    </xf>
    <xf numFmtId="4" fontId="2" fillId="0" borderId="13" xfId="0" applyNumberFormat="1" applyFont="1" applyFill="1" applyBorder="1" applyAlignment="1">
      <alignment/>
    </xf>
    <xf numFmtId="4" fontId="9" fillId="0" borderId="0" xfId="0" applyNumberFormat="1" applyFont="1" applyFill="1" applyBorder="1" applyAlignment="1">
      <alignment horizontal="center" vertical="center"/>
    </xf>
    <xf numFmtId="168" fontId="2" fillId="0" borderId="11" xfId="0" applyNumberFormat="1" applyFont="1" applyFill="1" applyBorder="1" applyAlignment="1">
      <alignment horizontal="center" vertical="center"/>
    </xf>
    <xf numFmtId="164" fontId="9" fillId="0" borderId="18" xfId="0" applyNumberFormat="1" applyFont="1" applyFill="1" applyBorder="1" applyAlignment="1">
      <alignment horizontal="center" vertical="center"/>
    </xf>
    <xf numFmtId="164" fontId="75" fillId="0" borderId="11" xfId="52" applyNumberFormat="1" applyFont="1" applyFill="1" applyBorder="1" applyAlignment="1">
      <alignment horizontal="right" vertical="center" wrapText="1"/>
      <protection/>
    </xf>
    <xf numFmtId="164" fontId="9" fillId="0" borderId="11" xfId="0" applyNumberFormat="1" applyFont="1" applyFill="1" applyBorder="1" applyAlignment="1">
      <alignment horizontal="right" vertical="center" wrapText="1"/>
    </xf>
    <xf numFmtId="164" fontId="9" fillId="0" borderId="11" xfId="52" applyNumberFormat="1" applyFont="1" applyFill="1" applyBorder="1" applyAlignment="1">
      <alignment horizontal="right" vertical="center" wrapText="1"/>
      <protection/>
    </xf>
    <xf numFmtId="49" fontId="75" fillId="0" borderId="13" xfId="49" applyNumberFormat="1" applyFont="1" applyFill="1" applyBorder="1" applyAlignment="1">
      <alignment vertical="center" wrapText="1"/>
      <protection/>
    </xf>
    <xf numFmtId="0" fontId="9" fillId="0" borderId="0" xfId="0" applyFont="1" applyFill="1" applyAlignment="1">
      <alignment vertical="center" wrapText="1"/>
    </xf>
    <xf numFmtId="4" fontId="75" fillId="0" borderId="13" xfId="49" applyNumberFormat="1" applyFont="1" applyFill="1" applyBorder="1" applyAlignment="1">
      <alignment vertical="center" wrapText="1" readingOrder="1"/>
      <protection/>
    </xf>
    <xf numFmtId="0" fontId="9" fillId="0" borderId="0" xfId="0" applyFont="1" applyFill="1" applyAlignment="1">
      <alignment vertical="center" wrapText="1" readingOrder="1"/>
    </xf>
    <xf numFmtId="0" fontId="79" fillId="0" borderId="0" xfId="0" applyFont="1" applyFill="1" applyAlignment="1">
      <alignment vertical="center" wrapText="1"/>
    </xf>
    <xf numFmtId="0" fontId="80" fillId="0" borderId="16" xfId="0" applyFont="1" applyFill="1" applyBorder="1" applyAlignment="1">
      <alignment vertical="center" wrapText="1" readingOrder="1"/>
    </xf>
    <xf numFmtId="4" fontId="2" fillId="0" borderId="13" xfId="49" applyNumberFormat="1" applyFont="1" applyFill="1" applyBorder="1" applyAlignment="1">
      <alignment vertical="center" wrapText="1" readingOrder="1"/>
      <protection/>
    </xf>
    <xf numFmtId="4" fontId="2" fillId="0" borderId="19" xfId="52" applyNumberFormat="1" applyFont="1" applyFill="1" applyBorder="1" applyAlignment="1">
      <alignment vertical="center" wrapText="1" readingOrder="1"/>
      <protection/>
    </xf>
    <xf numFmtId="164" fontId="9" fillId="0" borderId="11" xfId="0" applyNumberFormat="1" applyFont="1" applyFill="1" applyBorder="1" applyAlignment="1">
      <alignment horizontal="center" vertical="center" wrapText="1"/>
    </xf>
    <xf numFmtId="164" fontId="75" fillId="0" borderId="11" xfId="52" applyNumberFormat="1" applyFont="1" applyFill="1" applyBorder="1" applyAlignment="1">
      <alignment horizontal="center" vertical="center" wrapText="1"/>
      <protection/>
    </xf>
    <xf numFmtId="164" fontId="9" fillId="0" borderId="11" xfId="52" applyNumberFormat="1" applyFont="1" applyFill="1" applyBorder="1" applyAlignment="1">
      <alignment horizontal="center" vertical="center" wrapText="1"/>
      <protection/>
    </xf>
    <xf numFmtId="49" fontId="78" fillId="0" borderId="11" xfId="53" applyNumberFormat="1" applyFont="1" applyFill="1" applyBorder="1" applyAlignment="1">
      <alignment horizontal="center" vertical="center" wrapText="1"/>
      <protection/>
    </xf>
    <xf numFmtId="4" fontId="78" fillId="0" borderId="11" xfId="53" applyNumberFormat="1" applyFont="1" applyFill="1" applyBorder="1" applyAlignment="1">
      <alignment horizontal="left" vertical="center" wrapText="1"/>
      <protection/>
    </xf>
    <xf numFmtId="4" fontId="78" fillId="0" borderId="11" xfId="53" applyNumberFormat="1" applyFont="1" applyFill="1" applyBorder="1" applyAlignment="1">
      <alignment horizontal="center" wrapText="1"/>
      <protection/>
    </xf>
    <xf numFmtId="4" fontId="78" fillId="0" borderId="11" xfId="53" applyNumberFormat="1" applyFont="1" applyFill="1" applyBorder="1" applyAlignment="1">
      <alignment horizontal="center" vertical="center" wrapText="1"/>
      <protection/>
    </xf>
    <xf numFmtId="4" fontId="9" fillId="0" borderId="11" xfId="0" applyNumberFormat="1" applyFont="1" applyFill="1" applyBorder="1" applyAlignment="1">
      <alignment horizontal="center" vertical="center" wrapText="1"/>
    </xf>
    <xf numFmtId="164" fontId="78" fillId="0" borderId="11" xfId="53" applyNumberFormat="1" applyFont="1" applyFill="1" applyBorder="1" applyAlignment="1">
      <alignment horizontal="center" vertical="center" wrapText="1"/>
      <protection/>
    </xf>
    <xf numFmtId="0" fontId="2"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center"/>
    </xf>
    <xf numFmtId="4" fontId="9" fillId="0" borderId="11" xfId="0" applyNumberFormat="1" applyFont="1" applyFill="1" applyBorder="1" applyAlignment="1">
      <alignment/>
    </xf>
    <xf numFmtId="169" fontId="9" fillId="33" borderId="11" xfId="0" applyNumberFormat="1" applyFont="1" applyFill="1" applyBorder="1" applyAlignment="1">
      <alignment/>
    </xf>
    <xf numFmtId="164" fontId="9" fillId="0" borderId="11" xfId="0" applyNumberFormat="1" applyFont="1" applyFill="1" applyBorder="1" applyAlignment="1">
      <alignment/>
    </xf>
    <xf numFmtId="0" fontId="9" fillId="0" borderId="0" xfId="0" applyFont="1" applyFill="1" applyBorder="1" applyAlignment="1">
      <alignment/>
    </xf>
    <xf numFmtId="170" fontId="9" fillId="0" borderId="0" xfId="0" applyNumberFormat="1" applyFont="1" applyFill="1" applyBorder="1" applyAlignment="1">
      <alignment/>
    </xf>
    <xf numFmtId="49" fontId="78" fillId="34" borderId="11" xfId="53" applyNumberFormat="1" applyFont="1" applyFill="1" applyBorder="1" applyAlignment="1">
      <alignment horizontal="center" vertical="center"/>
      <protection/>
    </xf>
    <xf numFmtId="169" fontId="2" fillId="34" borderId="11" xfId="0" applyNumberFormat="1" applyFont="1" applyFill="1" applyBorder="1" applyAlignment="1">
      <alignment/>
    </xf>
    <xf numFmtId="4" fontId="2" fillId="34" borderId="11" xfId="0" applyNumberFormat="1" applyFont="1" applyFill="1" applyBorder="1" applyAlignment="1">
      <alignment/>
    </xf>
    <xf numFmtId="164" fontId="2" fillId="34" borderId="11" xfId="0" applyNumberFormat="1" applyFont="1" applyFill="1" applyBorder="1" applyAlignment="1">
      <alignment/>
    </xf>
    <xf numFmtId="169" fontId="78" fillId="0" borderId="11" xfId="53" applyNumberFormat="1" applyFont="1" applyFill="1" applyBorder="1" applyAlignment="1">
      <alignment horizontal="center" vertical="center" wrapText="1"/>
      <protection/>
    </xf>
    <xf numFmtId="169" fontId="9" fillId="0" borderId="11" xfId="0" applyNumberFormat="1" applyFont="1" applyFill="1" applyBorder="1" applyAlignment="1">
      <alignment/>
    </xf>
    <xf numFmtId="0" fontId="9" fillId="0" borderId="11" xfId="0" applyFont="1" applyFill="1" applyBorder="1" applyAlignment="1">
      <alignment horizontal="center" vertical="center" wrapText="1"/>
    </xf>
    <xf numFmtId="4" fontId="9" fillId="0" borderId="11" xfId="0" applyNumberFormat="1" applyFont="1" applyFill="1" applyBorder="1" applyAlignment="1">
      <alignment/>
    </xf>
    <xf numFmtId="169" fontId="75" fillId="0" borderId="11" xfId="53" applyNumberFormat="1" applyFont="1" applyFill="1" applyBorder="1" applyAlignment="1">
      <alignment wrapText="1"/>
      <protection/>
    </xf>
    <xf numFmtId="0" fontId="9" fillId="0" borderId="11" xfId="0" applyFont="1" applyFill="1" applyBorder="1" applyAlignment="1">
      <alignment/>
    </xf>
    <xf numFmtId="0" fontId="9" fillId="0" borderId="0" xfId="0" applyFont="1" applyFill="1" applyBorder="1" applyAlignment="1">
      <alignment horizontal="center"/>
    </xf>
    <xf numFmtId="4" fontId="9" fillId="0" borderId="11" xfId="0" applyNumberFormat="1" applyFont="1" applyFill="1" applyBorder="1" applyAlignment="1">
      <alignment horizontal="right"/>
    </xf>
    <xf numFmtId="169" fontId="75" fillId="0" borderId="11" xfId="53" applyNumberFormat="1" applyFont="1" applyFill="1" applyBorder="1" applyAlignment="1">
      <alignment horizontal="right" wrapText="1"/>
      <protection/>
    </xf>
    <xf numFmtId="49" fontId="75" fillId="0" borderId="11" xfId="53" applyNumberFormat="1" applyFont="1" applyFill="1" applyBorder="1" applyAlignment="1">
      <alignment horizontal="center" vertical="center" wrapText="1"/>
      <protection/>
    </xf>
    <xf numFmtId="49" fontId="78" fillId="0" borderId="11" xfId="53" applyNumberFormat="1" applyFont="1" applyFill="1" applyBorder="1" applyAlignment="1">
      <alignment horizontal="center" vertical="center"/>
      <protection/>
    </xf>
    <xf numFmtId="49" fontId="75" fillId="0" borderId="11" xfId="53" applyNumberFormat="1" applyFont="1" applyFill="1" applyBorder="1" applyAlignment="1">
      <alignment horizontal="center" vertical="center"/>
      <protection/>
    </xf>
    <xf numFmtId="4" fontId="78" fillId="0" borderId="11" xfId="53" applyNumberFormat="1" applyFont="1" applyFill="1" applyBorder="1" applyAlignment="1">
      <alignment horizontal="right" vertical="center" wrapText="1"/>
      <protection/>
    </xf>
    <xf numFmtId="164" fontId="75" fillId="0" borderId="11" xfId="49" applyNumberFormat="1" applyFont="1" applyFill="1" applyBorder="1" applyAlignment="1">
      <alignment horizontal="center" vertical="center"/>
      <protection/>
    </xf>
    <xf numFmtId="164" fontId="75" fillId="0" borderId="11" xfId="49" applyNumberFormat="1" applyFont="1" applyFill="1" applyBorder="1" applyAlignment="1">
      <alignment horizontal="left" vertical="center" wrapText="1"/>
      <protection/>
    </xf>
    <xf numFmtId="164" fontId="75" fillId="0" borderId="11" xfId="49" applyNumberFormat="1" applyFont="1" applyFill="1" applyBorder="1" applyAlignment="1">
      <alignment horizontal="center"/>
      <protection/>
    </xf>
    <xf numFmtId="4" fontId="75" fillId="0" borderId="11" xfId="53" applyNumberFormat="1" applyFont="1" applyFill="1" applyBorder="1" applyAlignment="1">
      <alignment wrapText="1"/>
      <protection/>
    </xf>
    <xf numFmtId="169" fontId="9" fillId="0" borderId="11" xfId="0" applyNumberFormat="1" applyFont="1" applyFill="1" applyBorder="1" applyAlignment="1">
      <alignment/>
    </xf>
    <xf numFmtId="4" fontId="75" fillId="0" borderId="11" xfId="0" applyNumberFormat="1" applyFont="1" applyFill="1" applyBorder="1" applyAlignment="1">
      <alignment horizontal="left" vertical="center" wrapText="1"/>
    </xf>
    <xf numFmtId="4" fontId="9" fillId="0" borderId="11" xfId="0" applyNumberFormat="1" applyFont="1" applyFill="1" applyBorder="1" applyAlignment="1">
      <alignment horizontal="right" wrapText="1"/>
    </xf>
    <xf numFmtId="49" fontId="78" fillId="0" borderId="20" xfId="53" applyNumberFormat="1" applyFont="1" applyFill="1" applyBorder="1" applyAlignment="1">
      <alignment horizontal="center" vertical="center" wrapText="1"/>
      <protection/>
    </xf>
    <xf numFmtId="4" fontId="78" fillId="0" borderId="20" xfId="53" applyNumberFormat="1" applyFont="1" applyFill="1" applyBorder="1" applyAlignment="1">
      <alignment horizontal="left" vertical="center" wrapText="1"/>
      <protection/>
    </xf>
    <xf numFmtId="4" fontId="78" fillId="0" borderId="20" xfId="53" applyNumberFormat="1" applyFont="1" applyFill="1" applyBorder="1" applyAlignment="1">
      <alignment horizontal="center" wrapText="1"/>
      <protection/>
    </xf>
    <xf numFmtId="4" fontId="78" fillId="0" borderId="20" xfId="53" applyNumberFormat="1" applyFont="1" applyFill="1" applyBorder="1" applyAlignment="1">
      <alignment horizontal="center" vertical="center" wrapText="1"/>
      <protection/>
    </xf>
    <xf numFmtId="169" fontId="78" fillId="0" borderId="20" xfId="53" applyNumberFormat="1" applyFont="1" applyFill="1" applyBorder="1" applyAlignment="1">
      <alignment horizontal="center" vertical="center" wrapText="1"/>
      <protection/>
    </xf>
    <xf numFmtId="4" fontId="9" fillId="0" borderId="20" xfId="0" applyNumberFormat="1" applyFont="1" applyFill="1" applyBorder="1" applyAlignment="1">
      <alignment horizontal="center" vertical="center" wrapText="1"/>
    </xf>
    <xf numFmtId="4" fontId="75" fillId="0" borderId="11" xfId="53" applyNumberFormat="1" applyFont="1" applyFill="1" applyBorder="1" applyAlignment="1">
      <alignment horizontal="right" wrapText="1"/>
      <protection/>
    </xf>
    <xf numFmtId="4" fontId="75" fillId="0" borderId="11" xfId="53" applyNumberFormat="1" applyFont="1" applyFill="1" applyBorder="1" applyAlignment="1">
      <alignment horizontal="center" vertical="center" wrapText="1"/>
      <protection/>
    </xf>
    <xf numFmtId="0" fontId="75" fillId="0" borderId="11" xfId="0" applyFont="1" applyFill="1" applyBorder="1" applyAlignment="1">
      <alignment horizontal="center" wrapText="1"/>
    </xf>
    <xf numFmtId="4" fontId="9" fillId="0" borderId="11" xfId="0" applyNumberFormat="1" applyFont="1" applyFill="1" applyBorder="1" applyAlignment="1">
      <alignment wrapText="1"/>
    </xf>
    <xf numFmtId="169" fontId="2" fillId="0" borderId="20" xfId="0" applyNumberFormat="1" applyFont="1" applyFill="1" applyBorder="1" applyAlignment="1">
      <alignment/>
    </xf>
    <xf numFmtId="4" fontId="2" fillId="0" borderId="20" xfId="0" applyNumberFormat="1" applyFont="1" applyFill="1" applyBorder="1" applyAlignment="1">
      <alignment/>
    </xf>
    <xf numFmtId="0" fontId="9" fillId="0" borderId="11" xfId="0" applyFont="1" applyBorder="1" applyAlignment="1">
      <alignment horizontal="center" vertical="center"/>
    </xf>
    <xf numFmtId="0" fontId="9" fillId="0" borderId="11" xfId="0" applyFont="1" applyBorder="1" applyAlignment="1">
      <alignment horizontal="left" vertical="center" wrapText="1"/>
    </xf>
    <xf numFmtId="0" fontId="9" fillId="0" borderId="11" xfId="0" applyFont="1" applyBorder="1" applyAlignment="1">
      <alignment horizontal="center"/>
    </xf>
    <xf numFmtId="169" fontId="9" fillId="0" borderId="20" xfId="0" applyNumberFormat="1" applyFont="1" applyFill="1" applyBorder="1" applyAlignment="1">
      <alignment/>
    </xf>
    <xf numFmtId="164" fontId="9" fillId="0" borderId="11" xfId="0" applyNumberFormat="1" applyFont="1" applyFill="1" applyBorder="1" applyAlignment="1">
      <alignment/>
    </xf>
    <xf numFmtId="0" fontId="2" fillId="0" borderId="11" xfId="0" applyFont="1" applyBorder="1" applyAlignment="1">
      <alignment horizontal="center"/>
    </xf>
    <xf numFmtId="0" fontId="9" fillId="0" borderId="11" xfId="0" applyFont="1" applyBorder="1" applyAlignment="1">
      <alignment/>
    </xf>
    <xf numFmtId="0" fontId="75" fillId="0" borderId="11" xfId="0" applyFont="1" applyBorder="1" applyAlignment="1">
      <alignment horizontal="left" vertical="center" wrapText="1"/>
    </xf>
    <xf numFmtId="4" fontId="9" fillId="0" borderId="11" xfId="0" applyNumberFormat="1" applyFont="1" applyBorder="1" applyAlignment="1">
      <alignment/>
    </xf>
    <xf numFmtId="0" fontId="9" fillId="0" borderId="11" xfId="0" applyFont="1" applyBorder="1" applyAlignment="1">
      <alignment horizontal="center" vertical="center" wrapText="1"/>
    </xf>
    <xf numFmtId="0" fontId="9"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center"/>
    </xf>
    <xf numFmtId="4" fontId="9" fillId="33" borderId="11" xfId="0" applyNumberFormat="1" applyFont="1" applyFill="1" applyBorder="1" applyAlignment="1">
      <alignment horizontal="right"/>
    </xf>
    <xf numFmtId="169" fontId="9" fillId="33" borderId="11" xfId="53" applyNumberFormat="1" applyFont="1" applyFill="1" applyBorder="1" applyAlignment="1">
      <alignment horizontal="right" wrapText="1"/>
      <protection/>
    </xf>
    <xf numFmtId="4" fontId="9" fillId="33" borderId="11" xfId="0" applyNumberFormat="1" applyFont="1" applyFill="1" applyBorder="1" applyAlignment="1">
      <alignment horizontal="right" wrapText="1"/>
    </xf>
    <xf numFmtId="164" fontId="9" fillId="33" borderId="11" xfId="0" applyNumberFormat="1" applyFont="1" applyFill="1" applyBorder="1" applyAlignment="1">
      <alignment/>
    </xf>
    <xf numFmtId="0" fontId="9" fillId="33" borderId="0" xfId="0" applyFont="1" applyFill="1" applyAlignment="1">
      <alignment/>
    </xf>
    <xf numFmtId="170" fontId="9" fillId="33" borderId="0" xfId="0" applyNumberFormat="1" applyFont="1" applyFill="1" applyBorder="1" applyAlignment="1">
      <alignment/>
    </xf>
    <xf numFmtId="4" fontId="75" fillId="0" borderId="11" xfId="0" applyNumberFormat="1" applyFont="1" applyFill="1" applyBorder="1" applyAlignment="1">
      <alignment horizontal="right" wrapText="1"/>
    </xf>
    <xf numFmtId="4" fontId="75" fillId="0" borderId="11" xfId="53" applyNumberFormat="1" applyFont="1" applyFill="1" applyBorder="1" applyAlignment="1">
      <alignment horizontal="left" vertical="center" wrapText="1"/>
      <protection/>
    </xf>
    <xf numFmtId="0" fontId="9" fillId="0" borderId="11" xfId="0" applyFont="1" applyFill="1" applyBorder="1" applyAlignment="1">
      <alignment/>
    </xf>
    <xf numFmtId="169" fontId="75" fillId="0" borderId="11" xfId="53" applyNumberFormat="1" applyFont="1" applyFill="1" applyBorder="1" applyAlignment="1">
      <alignment horizontal="right"/>
      <protection/>
    </xf>
    <xf numFmtId="49" fontId="78" fillId="0" borderId="21" xfId="53" applyNumberFormat="1" applyFont="1" applyFill="1" applyBorder="1" applyAlignment="1">
      <alignment horizontal="center" vertical="center" wrapText="1"/>
      <protection/>
    </xf>
    <xf numFmtId="164" fontId="9" fillId="0" borderId="11" xfId="0" applyNumberFormat="1" applyFont="1" applyFill="1" applyBorder="1" applyAlignment="1">
      <alignment horizontal="center" vertical="center"/>
    </xf>
    <xf numFmtId="164" fontId="9" fillId="0" borderId="11" xfId="0" applyNumberFormat="1" applyFont="1" applyFill="1" applyBorder="1" applyAlignment="1">
      <alignment horizontal="left" vertical="center" wrapText="1"/>
    </xf>
    <xf numFmtId="164" fontId="9" fillId="0" borderId="11" xfId="0" applyNumberFormat="1" applyFont="1" applyFill="1" applyBorder="1" applyAlignment="1">
      <alignment horizontal="center"/>
    </xf>
    <xf numFmtId="164" fontId="9" fillId="0" borderId="11" xfId="0" applyNumberFormat="1" applyFont="1" applyFill="1" applyBorder="1" applyAlignment="1">
      <alignment horizontal="left" vertical="center"/>
    </xf>
    <xf numFmtId="164" fontId="2" fillId="0" borderId="11" xfId="0" applyNumberFormat="1" applyFont="1" applyFill="1" applyBorder="1" applyAlignment="1">
      <alignment horizontal="left"/>
    </xf>
    <xf numFmtId="164" fontId="9" fillId="0" borderId="11" xfId="0" applyNumberFormat="1" applyFont="1" applyFill="1" applyBorder="1" applyAlignment="1">
      <alignment horizontal="left"/>
    </xf>
    <xf numFmtId="164" fontId="75" fillId="0" borderId="20" xfId="0" applyNumberFormat="1" applyFont="1" applyFill="1" applyBorder="1" applyAlignment="1">
      <alignment horizontal="center" vertical="center"/>
    </xf>
    <xf numFmtId="164" fontId="75" fillId="0" borderId="20" xfId="0" applyNumberFormat="1" applyFont="1" applyFill="1" applyBorder="1" applyAlignment="1">
      <alignment horizontal="left" vertical="center" wrapText="1"/>
    </xf>
    <xf numFmtId="164" fontId="75" fillId="0" borderId="20" xfId="0" applyNumberFormat="1" applyFont="1" applyFill="1" applyBorder="1" applyAlignment="1">
      <alignment horizontal="center"/>
    </xf>
    <xf numFmtId="4" fontId="9" fillId="0" borderId="20" xfId="0" applyNumberFormat="1" applyFont="1" applyFill="1" applyBorder="1" applyAlignment="1">
      <alignment horizontal="right"/>
    </xf>
    <xf numFmtId="169" fontId="75" fillId="0" borderId="20" xfId="53" applyNumberFormat="1" applyFont="1" applyFill="1" applyBorder="1" applyAlignment="1">
      <alignment horizontal="right" wrapText="1"/>
      <protection/>
    </xf>
    <xf numFmtId="164" fontId="9" fillId="0" borderId="20" xfId="0" applyNumberFormat="1" applyFont="1" applyFill="1" applyBorder="1" applyAlignment="1">
      <alignment/>
    </xf>
    <xf numFmtId="0" fontId="9" fillId="0" borderId="11" xfId="0" applyFont="1" applyFill="1" applyBorder="1" applyAlignment="1">
      <alignmen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xf>
    <xf numFmtId="0" fontId="9" fillId="0" borderId="20" xfId="0" applyFont="1" applyFill="1" applyBorder="1" applyAlignment="1">
      <alignment horizontal="center" vertical="center"/>
    </xf>
    <xf numFmtId="4" fontId="75" fillId="0" borderId="20" xfId="0" applyNumberFormat="1" applyFont="1" applyFill="1" applyBorder="1" applyAlignment="1">
      <alignment horizontal="left" vertical="center" wrapText="1"/>
    </xf>
    <xf numFmtId="0" fontId="9" fillId="0" borderId="20" xfId="0" applyFont="1" applyFill="1" applyBorder="1" applyAlignment="1">
      <alignment horizontal="center"/>
    </xf>
    <xf numFmtId="4" fontId="78" fillId="0" borderId="11" xfId="0" applyNumberFormat="1" applyFont="1" applyFill="1" applyBorder="1" applyAlignment="1">
      <alignment horizontal="center" vertical="center" wrapText="1"/>
    </xf>
    <xf numFmtId="0" fontId="9" fillId="33" borderId="11" xfId="0" applyFont="1" applyFill="1" applyBorder="1" applyAlignment="1">
      <alignment horizontal="center" vertical="center"/>
    </xf>
    <xf numFmtId="4" fontId="9" fillId="33" borderId="11" xfId="0" applyNumberFormat="1" applyFont="1" applyFill="1" applyBorder="1" applyAlignment="1">
      <alignment horizontal="left" vertical="center" wrapText="1"/>
    </xf>
    <xf numFmtId="169" fontId="9" fillId="0" borderId="11" xfId="0" applyNumberFormat="1" applyFont="1" applyFill="1" applyBorder="1" applyAlignment="1">
      <alignment horizontal="right"/>
    </xf>
    <xf numFmtId="4" fontId="78" fillId="0" borderId="11" xfId="0" applyNumberFormat="1" applyFont="1" applyFill="1" applyBorder="1" applyAlignment="1">
      <alignment vertical="center"/>
    </xf>
    <xf numFmtId="0" fontId="15" fillId="0" borderId="11" xfId="0" applyFont="1" applyFill="1" applyBorder="1" applyAlignment="1">
      <alignment horizontal="center" vertical="center" wrapText="1"/>
    </xf>
    <xf numFmtId="4" fontId="9" fillId="0" borderId="11" xfId="0" applyNumberFormat="1" applyFont="1" applyFill="1" applyBorder="1" applyAlignment="1">
      <alignment horizontal="left" vertical="center" wrapText="1"/>
    </xf>
    <xf numFmtId="169" fontId="9" fillId="0" borderId="11" xfId="53" applyNumberFormat="1" applyFont="1" applyFill="1" applyBorder="1" applyAlignment="1">
      <alignment horizontal="right" wrapText="1"/>
      <protection/>
    </xf>
    <xf numFmtId="169" fontId="78" fillId="34" borderId="11" xfId="53" applyNumberFormat="1" applyFont="1" applyFill="1" applyBorder="1" applyAlignment="1">
      <alignment horizontal="center" vertical="center" wrapText="1"/>
      <protection/>
    </xf>
    <xf numFmtId="4" fontId="2" fillId="34" borderId="11" xfId="0" applyNumberFormat="1" applyFont="1" applyFill="1" applyBorder="1" applyAlignment="1">
      <alignment horizontal="center" vertical="center" wrapText="1"/>
    </xf>
    <xf numFmtId="4" fontId="78" fillId="0" borderId="11" xfId="0" applyNumberFormat="1" applyFont="1" applyFill="1" applyBorder="1" applyAlignment="1">
      <alignment horizontal="center" vertical="center"/>
    </xf>
    <xf numFmtId="0" fontId="2" fillId="0" borderId="11" xfId="0" applyFont="1" applyFill="1" applyBorder="1" applyAlignment="1">
      <alignment/>
    </xf>
    <xf numFmtId="0" fontId="2" fillId="0" borderId="11" xfId="0" applyFont="1" applyFill="1" applyBorder="1" applyAlignment="1">
      <alignment horizontal="center"/>
    </xf>
    <xf numFmtId="49" fontId="78" fillId="0" borderId="11" xfId="53" applyNumberFormat="1" applyFont="1" applyFill="1" applyBorder="1" applyAlignment="1">
      <alignment vertical="top"/>
      <protection/>
    </xf>
    <xf numFmtId="4" fontId="2" fillId="0" borderId="11" xfId="53" applyNumberFormat="1" applyFont="1" applyFill="1" applyBorder="1" applyAlignment="1">
      <alignment horizontal="right"/>
      <protection/>
    </xf>
    <xf numFmtId="0" fontId="2" fillId="0" borderId="11" xfId="52" applyFont="1" applyFill="1" applyBorder="1" applyAlignment="1">
      <alignment horizontal="center"/>
      <protection/>
    </xf>
    <xf numFmtId="4" fontId="2" fillId="0" borderId="11" xfId="53" applyNumberFormat="1" applyFont="1" applyFill="1" applyBorder="1" applyAlignment="1">
      <alignment/>
      <protection/>
    </xf>
    <xf numFmtId="169" fontId="2" fillId="0" borderId="11" xfId="53" applyNumberFormat="1" applyFont="1" applyFill="1" applyBorder="1" applyAlignment="1">
      <alignment/>
      <protection/>
    </xf>
    <xf numFmtId="4" fontId="78" fillId="0" borderId="0" xfId="52" applyNumberFormat="1" applyFont="1" applyFill="1">
      <alignment/>
      <protection/>
    </xf>
    <xf numFmtId="170" fontId="78" fillId="0" borderId="0" xfId="52" applyNumberFormat="1" applyFont="1" applyFill="1">
      <alignment/>
      <protection/>
    </xf>
    <xf numFmtId="4" fontId="9" fillId="33" borderId="11" xfId="0" applyNumberFormat="1" applyFont="1" applyFill="1" applyBorder="1" applyAlignment="1">
      <alignment/>
    </xf>
    <xf numFmtId="4" fontId="9" fillId="33" borderId="11" xfId="0" applyNumberFormat="1" applyFont="1" applyFill="1" applyBorder="1" applyAlignment="1">
      <alignment/>
    </xf>
    <xf numFmtId="4" fontId="9" fillId="0" borderId="0" xfId="49" applyNumberFormat="1" applyFont="1">
      <alignment/>
      <protection/>
    </xf>
    <xf numFmtId="4" fontId="0" fillId="0" borderId="0" xfId="0" applyNumberFormat="1" applyAlignment="1">
      <alignment/>
    </xf>
    <xf numFmtId="0" fontId="81" fillId="0" borderId="20" xfId="0" applyFont="1" applyBorder="1" applyAlignment="1">
      <alignment horizontal="center" vertical="center"/>
    </xf>
    <xf numFmtId="0" fontId="81" fillId="0" borderId="11" xfId="0" applyFont="1" applyBorder="1" applyAlignment="1">
      <alignment horizontal="center" vertical="center"/>
    </xf>
    <xf numFmtId="0" fontId="81" fillId="0" borderId="22" xfId="0" applyFont="1" applyBorder="1" applyAlignment="1">
      <alignment horizontal="center" vertical="center"/>
    </xf>
    <xf numFmtId="0" fontId="81" fillId="0" borderId="11" xfId="0" applyFont="1" applyBorder="1" applyAlignment="1">
      <alignment horizontal="center"/>
    </xf>
    <xf numFmtId="0" fontId="15" fillId="0" borderId="11" xfId="0" applyFont="1" applyBorder="1" applyAlignment="1">
      <alignment horizontal="center"/>
    </xf>
    <xf numFmtId="0" fontId="15" fillId="35" borderId="20" xfId="0" applyFont="1" applyFill="1" applyBorder="1" applyAlignment="1">
      <alignment/>
    </xf>
    <xf numFmtId="10" fontId="15" fillId="0" borderId="20" xfId="0" applyNumberFormat="1" applyFont="1" applyBorder="1" applyAlignment="1">
      <alignment/>
    </xf>
    <xf numFmtId="0" fontId="15" fillId="0" borderId="20" xfId="0" applyFont="1" applyBorder="1" applyAlignment="1">
      <alignment/>
    </xf>
    <xf numFmtId="44" fontId="15" fillId="0" borderId="22" xfId="0" applyNumberFormat="1" applyFont="1" applyBorder="1" applyAlignment="1">
      <alignment/>
    </xf>
    <xf numFmtId="10" fontId="15" fillId="35" borderId="22" xfId="0" applyNumberFormat="1" applyFont="1" applyFill="1" applyBorder="1" applyAlignment="1">
      <alignment/>
    </xf>
    <xf numFmtId="44" fontId="15" fillId="35" borderId="22" xfId="0" applyNumberFormat="1" applyFont="1" applyFill="1" applyBorder="1" applyAlignment="1">
      <alignment/>
    </xf>
    <xf numFmtId="10" fontId="15" fillId="35" borderId="20" xfId="0" applyNumberFormat="1" applyFont="1" applyFill="1" applyBorder="1" applyAlignment="1">
      <alignment/>
    </xf>
    <xf numFmtId="10" fontId="81" fillId="0" borderId="11" xfId="0" applyNumberFormat="1" applyFont="1" applyBorder="1" applyAlignment="1">
      <alignment horizontal="center" vertical="center"/>
    </xf>
    <xf numFmtId="44" fontId="81" fillId="0" borderId="22" xfId="0" applyNumberFormat="1" applyFont="1" applyBorder="1" applyAlignment="1">
      <alignment horizontal="center" vertical="center"/>
    </xf>
    <xf numFmtId="0" fontId="15" fillId="0" borderId="0" xfId="0" applyFont="1" applyAlignment="1">
      <alignment/>
    </xf>
    <xf numFmtId="44" fontId="15" fillId="0" borderId="20" xfId="0" applyNumberFormat="1" applyFont="1" applyBorder="1" applyAlignment="1">
      <alignment/>
    </xf>
    <xf numFmtId="0" fontId="15" fillId="0" borderId="22" xfId="0" applyFont="1" applyBorder="1" applyAlignment="1">
      <alignment/>
    </xf>
    <xf numFmtId="0" fontId="15" fillId="0" borderId="10" xfId="0" applyFont="1" applyBorder="1" applyAlignment="1">
      <alignment horizontal="left" vertical="center" wrapText="1"/>
    </xf>
    <xf numFmtId="49" fontId="75" fillId="0" borderId="11" xfId="49" applyNumberFormat="1" applyFont="1" applyFill="1" applyBorder="1" applyAlignment="1">
      <alignment horizontal="center" vertical="center"/>
      <protection/>
    </xf>
    <xf numFmtId="49" fontId="9" fillId="0" borderId="11" xfId="0" applyNumberFormat="1" applyFont="1" applyBorder="1" applyAlignment="1">
      <alignment horizontal="center" vertical="center"/>
    </xf>
    <xf numFmtId="0" fontId="15" fillId="0" borderId="0" xfId="0" applyFont="1" applyBorder="1" applyAlignment="1">
      <alignment horizontal="left" vertical="center" wrapText="1"/>
    </xf>
    <xf numFmtId="0" fontId="9" fillId="0" borderId="16" xfId="0" applyFont="1" applyBorder="1" applyAlignment="1">
      <alignment horizontal="left" vertical="center"/>
    </xf>
    <xf numFmtId="49" fontId="9" fillId="0" borderId="16" xfId="0" applyNumberFormat="1" applyFont="1" applyBorder="1" applyAlignment="1">
      <alignment horizontal="center" vertical="center"/>
    </xf>
    <xf numFmtId="49" fontId="9" fillId="0" borderId="18" xfId="0" applyNumberFormat="1" applyFont="1" applyBorder="1" applyAlignment="1">
      <alignment horizontal="center" vertical="center"/>
    </xf>
    <xf numFmtId="4" fontId="2" fillId="0" borderId="19" xfId="0" applyNumberFormat="1" applyFont="1" applyFill="1" applyBorder="1" applyAlignment="1">
      <alignment/>
    </xf>
    <xf numFmtId="4" fontId="9" fillId="0" borderId="18" xfId="0" applyNumberFormat="1" applyFont="1" applyFill="1" applyBorder="1" applyAlignment="1">
      <alignment horizontal="center" vertical="center"/>
    </xf>
    <xf numFmtId="49" fontId="71" fillId="0" borderId="12" xfId="51" applyNumberFormat="1" applyFont="1" applyFill="1" applyBorder="1" applyAlignment="1">
      <alignment horizontal="justify" vertical="center" wrapText="1"/>
      <protection/>
    </xf>
    <xf numFmtId="49" fontId="71" fillId="0" borderId="13" xfId="49" applyNumberFormat="1" applyFont="1" applyFill="1" applyBorder="1" applyAlignment="1">
      <alignment horizontal="justify" vertical="center" wrapText="1" readingOrder="1"/>
      <protection/>
    </xf>
    <xf numFmtId="0" fontId="4" fillId="0" borderId="0" xfId="0" applyFont="1" applyFill="1" applyAlignment="1">
      <alignment horizontal="justify" vertical="center" wrapText="1"/>
    </xf>
    <xf numFmtId="4" fontId="71" fillId="0" borderId="0"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164" fontId="73" fillId="0" borderId="0" xfId="49" applyNumberFormat="1" applyFont="1" applyFill="1" applyBorder="1" applyAlignment="1">
      <alignment horizontal="justify" vertical="center" wrapText="1"/>
      <protection/>
    </xf>
    <xf numFmtId="164" fontId="71" fillId="33" borderId="0" xfId="49" applyNumberFormat="1" applyFont="1" applyFill="1" applyAlignment="1">
      <alignment horizontal="justify" vertical="center" wrapText="1"/>
      <protection/>
    </xf>
    <xf numFmtId="4" fontId="71" fillId="33" borderId="0" xfId="0" applyNumberFormat="1" applyFont="1" applyFill="1" applyBorder="1" applyAlignment="1">
      <alignment horizontal="justify" vertical="center" wrapText="1"/>
    </xf>
    <xf numFmtId="164" fontId="71" fillId="0" borderId="0" xfId="49" applyNumberFormat="1" applyFont="1" applyFill="1" applyAlignment="1">
      <alignment horizontal="justify" vertical="center" wrapText="1"/>
      <protection/>
    </xf>
    <xf numFmtId="164" fontId="73" fillId="0" borderId="0" xfId="49" applyNumberFormat="1" applyFont="1" applyFill="1" applyAlignment="1">
      <alignment horizontal="justify" vertical="center" wrapText="1"/>
      <protection/>
    </xf>
    <xf numFmtId="4" fontId="74" fillId="0" borderId="0" xfId="0" applyNumberFormat="1" applyFont="1" applyFill="1" applyBorder="1" applyAlignment="1">
      <alignment horizontal="justify" vertical="center" wrapText="1"/>
    </xf>
    <xf numFmtId="0" fontId="0" fillId="0" borderId="0" xfId="0" applyAlignment="1">
      <alignment horizontal="justify" vertical="center" wrapText="1"/>
    </xf>
    <xf numFmtId="0" fontId="70" fillId="0" borderId="0" xfId="0" applyFont="1" applyAlignment="1">
      <alignment horizontal="justify" vertical="center" wrapText="1"/>
    </xf>
    <xf numFmtId="0" fontId="0" fillId="0" borderId="0" xfId="0" applyBorder="1" applyAlignment="1">
      <alignment horizontal="justify" vertical="center" wrapText="1"/>
    </xf>
    <xf numFmtId="0" fontId="7" fillId="0" borderId="0" xfId="0" applyFont="1" applyFill="1" applyAlignment="1">
      <alignment horizontal="justify" vertical="center" wrapText="1"/>
    </xf>
    <xf numFmtId="164" fontId="0" fillId="0" borderId="0" xfId="0" applyNumberFormat="1" applyFill="1" applyAlignment="1">
      <alignment horizontal="justify" vertical="center" wrapText="1"/>
    </xf>
    <xf numFmtId="0" fontId="6" fillId="0" borderId="0" xfId="0" applyFont="1" applyFill="1" applyAlignment="1">
      <alignment horizontal="justify" vertical="center" wrapText="1"/>
    </xf>
    <xf numFmtId="0" fontId="82" fillId="33" borderId="0" xfId="0" applyFont="1" applyFill="1" applyAlignment="1">
      <alignment horizontal="justify" vertical="center" wrapText="1"/>
    </xf>
    <xf numFmtId="0" fontId="4" fillId="33" borderId="0" xfId="0" applyFont="1" applyFill="1" applyBorder="1" applyAlignment="1">
      <alignment horizontal="justify" vertical="center" wrapText="1"/>
    </xf>
    <xf numFmtId="49" fontId="83" fillId="33" borderId="0" xfId="53" applyNumberFormat="1" applyFont="1" applyFill="1" applyBorder="1" applyAlignment="1">
      <alignment horizontal="center" vertical="center"/>
      <protection/>
    </xf>
    <xf numFmtId="0" fontId="80" fillId="33" borderId="0" xfId="0" applyFont="1" applyFill="1" applyAlignment="1">
      <alignment horizontal="justify" vertical="center" wrapText="1"/>
    </xf>
    <xf numFmtId="4" fontId="71" fillId="33" borderId="0" xfId="53" applyNumberFormat="1" applyFont="1" applyFill="1" applyBorder="1" applyAlignment="1">
      <alignment horizontal="center" vertical="center"/>
      <protection/>
    </xf>
    <xf numFmtId="4" fontId="9" fillId="0" borderId="10" xfId="0" applyNumberFormat="1" applyFont="1" applyFill="1" applyBorder="1" applyAlignment="1">
      <alignment/>
    </xf>
    <xf numFmtId="4" fontId="9" fillId="0" borderId="0" xfId="0" applyNumberFormat="1" applyFont="1" applyFill="1" applyBorder="1" applyAlignment="1">
      <alignment/>
    </xf>
    <xf numFmtId="49" fontId="78" fillId="33" borderId="0" xfId="53" applyNumberFormat="1" applyFont="1" applyFill="1" applyBorder="1" applyAlignment="1">
      <alignment horizontal="center" vertical="center" wrapText="1"/>
      <protection/>
    </xf>
    <xf numFmtId="49" fontId="75" fillId="0" borderId="0" xfId="53" applyNumberFormat="1" applyFont="1" applyFill="1" applyBorder="1" applyAlignment="1">
      <alignment horizontal="center" vertical="center"/>
      <protection/>
    </xf>
    <xf numFmtId="0" fontId="9" fillId="33" borderId="0" xfId="0" applyFont="1" applyFill="1" applyBorder="1" applyAlignment="1">
      <alignment/>
    </xf>
    <xf numFmtId="0" fontId="9" fillId="0" borderId="0" xfId="0" applyFont="1" applyFill="1" applyBorder="1" applyAlignment="1">
      <alignment/>
    </xf>
    <xf numFmtId="164" fontId="75" fillId="0" borderId="0" xfId="49" applyNumberFormat="1" applyFont="1" applyFill="1" applyBorder="1">
      <alignment/>
      <protection/>
    </xf>
    <xf numFmtId="49" fontId="84" fillId="0" borderId="0" xfId="53" applyNumberFormat="1" applyFont="1" applyFill="1" applyBorder="1" applyAlignment="1">
      <alignment horizontal="center" vertical="center"/>
      <protection/>
    </xf>
    <xf numFmtId="0" fontId="15" fillId="0" borderId="23" xfId="0" applyFont="1" applyBorder="1" applyAlignment="1">
      <alignment/>
    </xf>
    <xf numFmtId="0" fontId="17" fillId="0" borderId="0" xfId="0" applyFont="1" applyFill="1" applyAlignment="1">
      <alignment/>
    </xf>
    <xf numFmtId="164" fontId="15" fillId="0" borderId="0" xfId="0" applyNumberFormat="1" applyFont="1" applyFill="1" applyAlignment="1">
      <alignment/>
    </xf>
    <xf numFmtId="0" fontId="85" fillId="33" borderId="0" xfId="0" applyFont="1" applyFill="1" applyAlignment="1">
      <alignment/>
    </xf>
    <xf numFmtId="49" fontId="72" fillId="0" borderId="11" xfId="53" applyNumberFormat="1" applyFont="1" applyFill="1" applyBorder="1" applyAlignment="1">
      <alignment horizontal="center" vertical="center"/>
      <protection/>
    </xf>
    <xf numFmtId="4" fontId="71" fillId="0" borderId="11" xfId="0" applyNumberFormat="1" applyFont="1" applyFill="1" applyBorder="1" applyAlignment="1">
      <alignment horizontal="justify" vertical="center" wrapText="1"/>
    </xf>
    <xf numFmtId="49" fontId="72" fillId="35" borderId="11" xfId="53" applyNumberFormat="1" applyFont="1" applyFill="1" applyBorder="1" applyAlignment="1">
      <alignment horizontal="center" vertical="center"/>
      <protection/>
    </xf>
    <xf numFmtId="49" fontId="75" fillId="35" borderId="11" xfId="53" applyNumberFormat="1" applyFont="1" applyFill="1" applyBorder="1" applyAlignment="1">
      <alignment horizontal="center" vertical="center"/>
      <protection/>
    </xf>
    <xf numFmtId="4" fontId="71" fillId="35" borderId="11" xfId="0" applyNumberFormat="1" applyFont="1" applyFill="1" applyBorder="1" applyAlignment="1">
      <alignment horizontal="justify" vertical="center" wrapText="1"/>
    </xf>
    <xf numFmtId="0" fontId="4" fillId="35" borderId="11" xfId="0" applyFont="1" applyFill="1" applyBorder="1" applyAlignment="1">
      <alignment/>
    </xf>
    <xf numFmtId="0" fontId="4" fillId="35" borderId="0" xfId="0" applyFont="1" applyFill="1" applyBorder="1" applyAlignment="1">
      <alignment/>
    </xf>
    <xf numFmtId="0" fontId="10" fillId="35" borderId="11" xfId="0" applyFont="1" applyFill="1" applyBorder="1" applyAlignment="1">
      <alignment horizontal="center" vertical="center"/>
    </xf>
    <xf numFmtId="0" fontId="9" fillId="35" borderId="11" xfId="0" applyFont="1" applyFill="1" applyBorder="1" applyAlignment="1">
      <alignment/>
    </xf>
    <xf numFmtId="0" fontId="6" fillId="35" borderId="11" xfId="0" applyFont="1" applyFill="1" applyBorder="1" applyAlignment="1">
      <alignment horizontal="justify" vertical="center" wrapText="1"/>
    </xf>
    <xf numFmtId="49" fontId="72" fillId="35" borderId="0" xfId="53" applyNumberFormat="1" applyFont="1" applyFill="1" applyBorder="1" applyAlignment="1">
      <alignment horizontal="center" vertical="center"/>
      <protection/>
    </xf>
    <xf numFmtId="49" fontId="75" fillId="35" borderId="0" xfId="53" applyNumberFormat="1" applyFont="1" applyFill="1" applyBorder="1" applyAlignment="1">
      <alignment horizontal="center" vertical="center"/>
      <protection/>
    </xf>
    <xf numFmtId="0" fontId="9" fillId="33" borderId="0" xfId="0" applyFont="1" applyFill="1" applyBorder="1" applyAlignment="1">
      <alignment/>
    </xf>
    <xf numFmtId="0" fontId="4" fillId="0" borderId="11" xfId="0" applyFont="1" applyFill="1" applyBorder="1" applyAlignment="1">
      <alignment/>
    </xf>
    <xf numFmtId="49" fontId="72" fillId="33" borderId="11" xfId="53" applyNumberFormat="1" applyFont="1" applyFill="1" applyBorder="1" applyAlignment="1">
      <alignment horizontal="center" vertical="center"/>
      <protection/>
    </xf>
    <xf numFmtId="49" fontId="75" fillId="33" borderId="11" xfId="53" applyNumberFormat="1" applyFont="1" applyFill="1" applyBorder="1" applyAlignment="1">
      <alignment horizontal="center" vertical="center"/>
      <protection/>
    </xf>
    <xf numFmtId="4" fontId="71" fillId="33" borderId="11" xfId="0" applyNumberFormat="1" applyFont="1" applyFill="1" applyBorder="1" applyAlignment="1">
      <alignment horizontal="justify" vertical="center" wrapText="1"/>
    </xf>
    <xf numFmtId="0" fontId="4" fillId="33" borderId="11" xfId="0" applyFont="1" applyFill="1" applyBorder="1" applyAlignment="1">
      <alignment/>
    </xf>
    <xf numFmtId="0" fontId="4" fillId="35" borderId="11" xfId="0" applyFont="1" applyFill="1" applyBorder="1" applyAlignment="1">
      <alignment/>
    </xf>
    <xf numFmtId="0" fontId="9" fillId="33" borderId="0" xfId="0" applyFont="1" applyFill="1" applyBorder="1" applyAlignment="1">
      <alignment horizontal="center" vertical="center" wrapText="1"/>
    </xf>
    <xf numFmtId="0" fontId="4" fillId="33" borderId="0" xfId="0" applyFont="1" applyFill="1" applyAlignment="1">
      <alignment horizontal="justify" vertical="center" wrapText="1"/>
    </xf>
    <xf numFmtId="0" fontId="10" fillId="33" borderId="11" xfId="0" applyFont="1" applyFill="1" applyBorder="1" applyAlignment="1">
      <alignment horizontal="center" vertical="center"/>
    </xf>
    <xf numFmtId="0" fontId="9" fillId="33" borderId="11" xfId="0" applyFont="1" applyFill="1" applyBorder="1" applyAlignment="1">
      <alignment/>
    </xf>
    <xf numFmtId="0" fontId="4" fillId="33" borderId="11" xfId="0" applyFont="1" applyFill="1" applyBorder="1" applyAlignment="1">
      <alignment horizontal="justify" vertical="center" wrapText="1"/>
    </xf>
    <xf numFmtId="0" fontId="4" fillId="33" borderId="11" xfId="0" applyFont="1" applyFill="1" applyBorder="1" applyAlignment="1">
      <alignment/>
    </xf>
    <xf numFmtId="0" fontId="9" fillId="33" borderId="11" xfId="0" applyFont="1" applyFill="1" applyBorder="1" applyAlignment="1">
      <alignment/>
    </xf>
    <xf numFmtId="164" fontId="75" fillId="0" borderId="11" xfId="49" applyNumberFormat="1" applyFont="1" applyFill="1" applyBorder="1">
      <alignment/>
      <protection/>
    </xf>
    <xf numFmtId="164" fontId="73" fillId="0" borderId="11" xfId="49" applyNumberFormat="1" applyFont="1" applyFill="1" applyBorder="1">
      <alignment/>
      <protection/>
    </xf>
    <xf numFmtId="3" fontId="4" fillId="0" borderId="11" xfId="49" applyNumberFormat="1" applyFont="1" applyFill="1" applyBorder="1" applyAlignment="1">
      <alignment horizontal="center" vertical="center" wrapText="1"/>
      <protection/>
    </xf>
    <xf numFmtId="164" fontId="4" fillId="0" borderId="11" xfId="49" applyNumberFormat="1" applyFont="1" applyFill="1" applyBorder="1" applyAlignment="1">
      <alignment horizontal="right" wrapText="1"/>
      <protection/>
    </xf>
    <xf numFmtId="164" fontId="73" fillId="0" borderId="11" xfId="49" applyNumberFormat="1" applyFont="1" applyFill="1" applyBorder="1" applyAlignment="1">
      <alignment horizontal="justify" vertical="center" wrapText="1"/>
      <protection/>
    </xf>
    <xf numFmtId="49" fontId="72" fillId="35" borderId="11" xfId="49" applyNumberFormat="1" applyFont="1" applyFill="1" applyBorder="1" applyAlignment="1">
      <alignment horizontal="center"/>
      <protection/>
    </xf>
    <xf numFmtId="164" fontId="75" fillId="35" borderId="11" xfId="49" applyNumberFormat="1" applyFont="1" applyFill="1" applyBorder="1">
      <alignment/>
      <protection/>
    </xf>
    <xf numFmtId="164" fontId="71" fillId="35" borderId="11" xfId="49" applyNumberFormat="1" applyFont="1" applyFill="1" applyBorder="1" applyAlignment="1">
      <alignment horizontal="justify" vertical="center" wrapText="1"/>
      <protection/>
    </xf>
    <xf numFmtId="164" fontId="73" fillId="35" borderId="11" xfId="49" applyNumberFormat="1" applyFont="1" applyFill="1" applyBorder="1">
      <alignment/>
      <protection/>
    </xf>
    <xf numFmtId="3" fontId="4" fillId="35" borderId="11" xfId="49" applyNumberFormat="1" applyFont="1" applyFill="1" applyBorder="1" applyAlignment="1">
      <alignment horizontal="center" vertical="center" wrapText="1"/>
      <protection/>
    </xf>
    <xf numFmtId="164" fontId="4" fillId="35" borderId="11" xfId="49" applyNumberFormat="1" applyFont="1" applyFill="1" applyBorder="1" applyAlignment="1">
      <alignment horizontal="right" wrapText="1"/>
      <protection/>
    </xf>
    <xf numFmtId="164" fontId="4" fillId="0" borderId="11" xfId="49" applyNumberFormat="1" applyFont="1" applyFill="1" applyBorder="1" applyAlignment="1">
      <alignment horizontal="center" vertical="center" wrapText="1"/>
      <protection/>
    </xf>
    <xf numFmtId="164" fontId="75" fillId="33" borderId="0" xfId="49" applyNumberFormat="1" applyFont="1" applyFill="1" applyBorder="1">
      <alignment/>
      <protection/>
    </xf>
    <xf numFmtId="164" fontId="73" fillId="33" borderId="0" xfId="49" applyNumberFormat="1" applyFont="1" applyFill="1" applyBorder="1" applyAlignment="1">
      <alignment horizontal="justify" vertical="center" wrapText="1"/>
      <protection/>
    </xf>
    <xf numFmtId="164" fontId="73" fillId="33" borderId="0" xfId="49" applyNumberFormat="1" applyFont="1" applyFill="1" applyBorder="1">
      <alignment/>
      <protection/>
    </xf>
    <xf numFmtId="3" fontId="4" fillId="33" borderId="0" xfId="49" applyNumberFormat="1" applyFont="1" applyFill="1" applyBorder="1" applyAlignment="1">
      <alignment horizontal="center" vertical="center" wrapText="1"/>
      <protection/>
    </xf>
    <xf numFmtId="164" fontId="4" fillId="33" borderId="0" xfId="49" applyNumberFormat="1" applyFont="1" applyFill="1" applyBorder="1" applyAlignment="1">
      <alignment horizontal="right" wrapText="1"/>
      <protection/>
    </xf>
    <xf numFmtId="164" fontId="4" fillId="33" borderId="11" xfId="49" applyNumberFormat="1" applyFont="1" applyFill="1" applyBorder="1" applyAlignment="1">
      <alignment horizontal="justify" vertical="center" wrapText="1"/>
      <protection/>
    </xf>
    <xf numFmtId="164" fontId="73" fillId="33" borderId="11" xfId="49" applyNumberFormat="1" applyFont="1" applyFill="1" applyBorder="1" applyAlignment="1">
      <alignment horizontal="justify" vertical="center" wrapText="1"/>
      <protection/>
    </xf>
    <xf numFmtId="164" fontId="73" fillId="33" borderId="0" xfId="49" applyNumberFormat="1" applyFont="1" applyFill="1" applyAlignment="1">
      <alignment horizontal="justify" vertical="center" wrapText="1"/>
      <protection/>
    </xf>
    <xf numFmtId="164" fontId="4" fillId="0" borderId="0" xfId="49" applyNumberFormat="1" applyFont="1" applyFill="1" applyBorder="1">
      <alignment/>
      <protection/>
    </xf>
    <xf numFmtId="4" fontId="4" fillId="0" borderId="0" xfId="49" applyNumberFormat="1" applyFont="1" applyFill="1" applyBorder="1" applyAlignment="1">
      <alignment horizontal="center" vertical="center" wrapText="1"/>
      <protection/>
    </xf>
    <xf numFmtId="164" fontId="9" fillId="33" borderId="11" xfId="49" applyNumberFormat="1" applyFont="1" applyFill="1" applyBorder="1">
      <alignment/>
      <protection/>
    </xf>
    <xf numFmtId="164" fontId="4" fillId="33" borderId="11" xfId="49" applyNumberFormat="1" applyFont="1" applyFill="1" applyBorder="1">
      <alignment/>
      <protection/>
    </xf>
    <xf numFmtId="4" fontId="4" fillId="33" borderId="11" xfId="49" applyNumberFormat="1" applyFont="1" applyFill="1" applyBorder="1" applyAlignment="1">
      <alignment horizontal="center" vertical="center" wrapText="1"/>
      <protection/>
    </xf>
    <xf numFmtId="164" fontId="4" fillId="33" borderId="11" xfId="49" applyNumberFormat="1" applyFont="1" applyFill="1" applyBorder="1" applyAlignment="1">
      <alignment horizontal="right" wrapText="1"/>
      <protection/>
    </xf>
    <xf numFmtId="164" fontId="9" fillId="0" borderId="0" xfId="49" applyNumberFormat="1" applyFont="1" applyFill="1" applyBorder="1">
      <alignment/>
      <protection/>
    </xf>
    <xf numFmtId="164" fontId="4" fillId="0" borderId="0" xfId="49" applyNumberFormat="1" applyFont="1" applyFill="1" applyBorder="1" applyAlignment="1">
      <alignment horizontal="justify" vertical="center" wrapText="1"/>
      <protection/>
    </xf>
    <xf numFmtId="4" fontId="73" fillId="0" borderId="11" xfId="0"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49" fontId="86" fillId="35" borderId="11" xfId="49" applyNumberFormat="1" applyFont="1" applyFill="1" applyBorder="1" applyAlignment="1">
      <alignment horizontal="center"/>
      <protection/>
    </xf>
    <xf numFmtId="164" fontId="16" fillId="35" borderId="11" xfId="0" applyNumberFormat="1" applyFont="1" applyFill="1" applyBorder="1" applyAlignment="1">
      <alignment/>
    </xf>
    <xf numFmtId="164" fontId="86" fillId="35" borderId="11" xfId="49" applyNumberFormat="1" applyFont="1" applyFill="1" applyBorder="1" applyAlignment="1">
      <alignment horizontal="justify" vertical="center" wrapText="1"/>
      <protection/>
    </xf>
    <xf numFmtId="164" fontId="87" fillId="35" borderId="11" xfId="49" applyNumberFormat="1" applyFont="1" applyFill="1" applyBorder="1">
      <alignment/>
      <protection/>
    </xf>
    <xf numFmtId="3" fontId="16" fillId="35" borderId="11" xfId="49" applyNumberFormat="1" applyFont="1" applyFill="1" applyBorder="1" applyAlignment="1">
      <alignment horizontal="center" vertical="center" wrapText="1"/>
      <protection/>
    </xf>
    <xf numFmtId="164" fontId="16" fillId="35" borderId="11" xfId="49" applyNumberFormat="1" applyFont="1" applyFill="1" applyBorder="1" applyAlignment="1">
      <alignment horizontal="right" wrapText="1"/>
      <protection/>
    </xf>
    <xf numFmtId="164" fontId="75" fillId="33" borderId="11" xfId="49" applyNumberFormat="1" applyFont="1" applyFill="1" applyBorder="1">
      <alignment/>
      <protection/>
    </xf>
    <xf numFmtId="0" fontId="9" fillId="33" borderId="23" xfId="0" applyFont="1" applyFill="1" applyBorder="1" applyAlignment="1">
      <alignment horizontal="center" vertical="center" wrapText="1"/>
    </xf>
    <xf numFmtId="0" fontId="4" fillId="33" borderId="17" xfId="0" applyFont="1" applyFill="1" applyBorder="1" applyAlignment="1">
      <alignment/>
    </xf>
    <xf numFmtId="0" fontId="9" fillId="33" borderId="23" xfId="0" applyFont="1" applyFill="1" applyBorder="1" applyAlignment="1">
      <alignment/>
    </xf>
    <xf numFmtId="0" fontId="9" fillId="33" borderId="24" xfId="0" applyFont="1" applyFill="1" applyBorder="1" applyAlignment="1">
      <alignment/>
    </xf>
    <xf numFmtId="164" fontId="73" fillId="33" borderId="25" xfId="49" applyNumberFormat="1" applyFont="1" applyFill="1" applyBorder="1" applyAlignment="1">
      <alignment horizontal="justify" vertical="center" wrapText="1"/>
      <protection/>
    </xf>
    <xf numFmtId="0" fontId="4" fillId="33" borderId="25" xfId="0" applyFont="1" applyFill="1" applyBorder="1" applyAlignment="1">
      <alignment/>
    </xf>
    <xf numFmtId="0" fontId="4" fillId="33" borderId="26" xfId="0" applyFont="1" applyFill="1" applyBorder="1" applyAlignment="1">
      <alignment/>
    </xf>
    <xf numFmtId="0" fontId="17" fillId="33" borderId="0" xfId="0" applyFont="1" applyFill="1" applyAlignment="1">
      <alignment/>
    </xf>
    <xf numFmtId="164" fontId="74" fillId="33" borderId="0" xfId="49" applyNumberFormat="1" applyFont="1" applyFill="1" applyAlignment="1">
      <alignment horizontal="justify" vertical="center" wrapText="1"/>
      <protection/>
    </xf>
    <xf numFmtId="0" fontId="7" fillId="33" borderId="0" xfId="0" applyFont="1" applyFill="1" applyAlignment="1">
      <alignment/>
    </xf>
    <xf numFmtId="0" fontId="10" fillId="0" borderId="20" xfId="0" applyFont="1" applyFill="1" applyBorder="1" applyAlignment="1">
      <alignment horizontal="center" vertical="center"/>
    </xf>
    <xf numFmtId="0" fontId="9" fillId="0" borderId="20" xfId="0" applyFont="1" applyFill="1" applyBorder="1" applyAlignment="1">
      <alignment horizontal="center" vertical="center" wrapText="1"/>
    </xf>
    <xf numFmtId="164" fontId="73" fillId="0" borderId="20" xfId="49" applyNumberFormat="1" applyFont="1" applyFill="1" applyBorder="1" applyAlignment="1">
      <alignment horizontal="justify" vertical="center" wrapText="1"/>
      <protection/>
    </xf>
    <xf numFmtId="0" fontId="4" fillId="0" borderId="20" xfId="0" applyFont="1" applyFill="1" applyBorder="1" applyAlignment="1">
      <alignment/>
    </xf>
    <xf numFmtId="0" fontId="17" fillId="33" borderId="0" xfId="0" applyFont="1" applyFill="1" applyBorder="1" applyAlignment="1">
      <alignment/>
    </xf>
    <xf numFmtId="164" fontId="74" fillId="33" borderId="0" xfId="49" applyNumberFormat="1" applyFont="1" applyFill="1" applyBorder="1" applyAlignment="1">
      <alignment horizontal="justify" vertical="center" wrapText="1"/>
      <protection/>
    </xf>
    <xf numFmtId="0" fontId="7" fillId="33" borderId="0" xfId="0" applyFont="1" applyFill="1" applyBorder="1" applyAlignment="1">
      <alignment/>
    </xf>
    <xf numFmtId="0" fontId="10" fillId="33" borderId="12" xfId="0" applyFont="1" applyFill="1" applyBorder="1" applyAlignment="1">
      <alignment horizontal="center" vertical="center"/>
    </xf>
    <xf numFmtId="0" fontId="9" fillId="33" borderId="10" xfId="0" applyFont="1" applyFill="1" applyBorder="1" applyAlignment="1">
      <alignment/>
    </xf>
    <xf numFmtId="164" fontId="73" fillId="33" borderId="10" xfId="49" applyNumberFormat="1" applyFont="1" applyFill="1" applyBorder="1" applyAlignment="1">
      <alignment horizontal="justify" vertical="center" wrapText="1"/>
      <protection/>
    </xf>
    <xf numFmtId="0" fontId="4" fillId="33" borderId="10" xfId="0" applyFont="1" applyFill="1" applyBorder="1" applyAlignment="1">
      <alignment/>
    </xf>
    <xf numFmtId="0" fontId="4" fillId="33" borderId="14" xfId="0" applyFont="1" applyFill="1" applyBorder="1" applyAlignment="1">
      <alignment/>
    </xf>
    <xf numFmtId="0" fontId="10" fillId="33" borderId="13" xfId="0" applyFont="1" applyFill="1" applyBorder="1" applyAlignment="1">
      <alignment horizontal="center" vertical="center"/>
    </xf>
    <xf numFmtId="0" fontId="7" fillId="33" borderId="15" xfId="0" applyFont="1" applyFill="1" applyBorder="1" applyAlignment="1">
      <alignment/>
    </xf>
    <xf numFmtId="0" fontId="4" fillId="33" borderId="15" xfId="0" applyFont="1" applyFill="1" applyBorder="1" applyAlignment="1">
      <alignment/>
    </xf>
    <xf numFmtId="164" fontId="15" fillId="33" borderId="23" xfId="0" applyNumberFormat="1" applyFont="1" applyFill="1" applyBorder="1" applyAlignment="1">
      <alignment/>
    </xf>
    <xf numFmtId="164" fontId="0" fillId="33" borderId="0" xfId="0" applyNumberFormat="1" applyFont="1" applyFill="1" applyBorder="1" applyAlignment="1">
      <alignment horizontal="justify" vertical="center" wrapText="1"/>
    </xf>
    <xf numFmtId="164" fontId="0" fillId="33" borderId="0" xfId="0" applyNumberFormat="1" applyFill="1" applyBorder="1" applyAlignment="1">
      <alignment/>
    </xf>
    <xf numFmtId="164" fontId="0" fillId="33" borderId="17" xfId="0" applyNumberFormat="1" applyFill="1" applyBorder="1" applyAlignment="1">
      <alignment/>
    </xf>
    <xf numFmtId="164" fontId="13" fillId="33" borderId="17" xfId="0" applyNumberFormat="1" applyFont="1" applyFill="1" applyBorder="1" applyAlignment="1">
      <alignment/>
    </xf>
    <xf numFmtId="0" fontId="73" fillId="35" borderId="0" xfId="0" applyFont="1" applyFill="1" applyBorder="1" applyAlignment="1">
      <alignment horizontal="right" vertical="center" wrapText="1"/>
    </xf>
    <xf numFmtId="0" fontId="73" fillId="35" borderId="11" xfId="0" applyFont="1" applyFill="1" applyBorder="1" applyAlignment="1">
      <alignment horizontal="right" vertical="center" wrapText="1"/>
    </xf>
    <xf numFmtId="0" fontId="73" fillId="33" borderId="11" xfId="0" applyFont="1" applyFill="1" applyBorder="1" applyAlignment="1">
      <alignment horizontal="right" vertical="center" wrapText="1"/>
    </xf>
    <xf numFmtId="0" fontId="15" fillId="0" borderId="11" xfId="0" applyFont="1" applyBorder="1" applyAlignment="1">
      <alignment/>
    </xf>
    <xf numFmtId="0" fontId="0" fillId="0" borderId="11" xfId="0" applyBorder="1" applyAlignment="1">
      <alignment horizontal="justify" vertical="center" wrapText="1"/>
    </xf>
    <xf numFmtId="0" fontId="0" fillId="0" borderId="11" xfId="0" applyBorder="1" applyAlignment="1">
      <alignment/>
    </xf>
    <xf numFmtId="0" fontId="54" fillId="0" borderId="0" xfId="0" applyFont="1" applyAlignment="1">
      <alignment horizontal="justify" vertical="center" wrapText="1"/>
    </xf>
    <xf numFmtId="0" fontId="54" fillId="0" borderId="11" xfId="0" applyFont="1" applyBorder="1" applyAlignment="1">
      <alignment horizontal="justify" vertical="center" wrapText="1"/>
    </xf>
    <xf numFmtId="0" fontId="0" fillId="0" borderId="11" xfId="0" applyFont="1" applyBorder="1" applyAlignment="1">
      <alignment/>
    </xf>
    <xf numFmtId="0" fontId="15" fillId="33" borderId="11" xfId="0" applyFont="1" applyFill="1" applyBorder="1" applyAlignment="1">
      <alignment/>
    </xf>
    <xf numFmtId="0" fontId="54" fillId="33" borderId="11" xfId="0" applyFont="1" applyFill="1" applyBorder="1" applyAlignment="1">
      <alignment horizontal="justify" vertical="center" wrapText="1"/>
    </xf>
    <xf numFmtId="0" fontId="0" fillId="33" borderId="11" xfId="0" applyFont="1" applyFill="1" applyBorder="1" applyAlignment="1">
      <alignment/>
    </xf>
    <xf numFmtId="0" fontId="0" fillId="33" borderId="11" xfId="0" applyFill="1" applyBorder="1" applyAlignment="1">
      <alignment/>
    </xf>
    <xf numFmtId="164" fontId="9" fillId="35" borderId="11" xfId="0" applyNumberFormat="1" applyFont="1" applyFill="1" applyBorder="1" applyAlignment="1">
      <alignment/>
    </xf>
    <xf numFmtId="164" fontId="4" fillId="35" borderId="11" xfId="0" applyNumberFormat="1" applyFont="1" applyFill="1" applyBorder="1" applyAlignment="1">
      <alignment/>
    </xf>
    <xf numFmtId="164" fontId="4" fillId="33" borderId="0" xfId="0" applyNumberFormat="1" applyFont="1" applyFill="1" applyAlignment="1">
      <alignment/>
    </xf>
    <xf numFmtId="0" fontId="7" fillId="33" borderId="0" xfId="0" applyFont="1" applyFill="1" applyAlignment="1">
      <alignment horizontal="justify" vertical="center" wrapText="1"/>
    </xf>
    <xf numFmtId="164" fontId="7" fillId="33" borderId="0" xfId="0" applyNumberFormat="1" applyFont="1" applyFill="1" applyAlignment="1">
      <alignment/>
    </xf>
    <xf numFmtId="49" fontId="75" fillId="33" borderId="11" xfId="53" applyNumberFormat="1" applyFont="1" applyFill="1" applyBorder="1" applyAlignment="1">
      <alignment horizontal="center" vertical="center" wrapText="1"/>
      <protection/>
    </xf>
    <xf numFmtId="4" fontId="73" fillId="33" borderId="11" xfId="0" applyNumberFormat="1" applyFont="1" applyFill="1" applyBorder="1" applyAlignment="1">
      <alignment horizontal="justify" vertical="center" wrapText="1"/>
    </xf>
    <xf numFmtId="164" fontId="73" fillId="33" borderId="11" xfId="0" applyNumberFormat="1" applyFont="1" applyFill="1" applyBorder="1" applyAlignment="1">
      <alignment horizontal="right" vertical="center" wrapText="1"/>
    </xf>
    <xf numFmtId="0" fontId="17" fillId="33" borderId="0" xfId="0" applyFont="1" applyFill="1" applyAlignment="1">
      <alignment/>
    </xf>
    <xf numFmtId="0" fontId="7" fillId="33" borderId="0" xfId="0" applyFont="1" applyFill="1" applyAlignment="1">
      <alignment/>
    </xf>
    <xf numFmtId="49" fontId="2" fillId="33" borderId="0" xfId="53" applyNumberFormat="1" applyFont="1" applyFill="1" applyBorder="1" applyAlignment="1">
      <alignment horizontal="center" vertical="center"/>
      <protection/>
    </xf>
    <xf numFmtId="4" fontId="6" fillId="33" borderId="0" xfId="0" applyNumberFormat="1" applyFont="1" applyFill="1" applyBorder="1" applyAlignment="1">
      <alignment horizontal="justify" vertical="center" wrapText="1"/>
    </xf>
    <xf numFmtId="0" fontId="6" fillId="33" borderId="0" xfId="0" applyFont="1" applyFill="1" applyBorder="1" applyAlignment="1">
      <alignment horizontal="right" vertical="center" wrapText="1"/>
    </xf>
    <xf numFmtId="164" fontId="6" fillId="33" borderId="0" xfId="0" applyNumberFormat="1" applyFont="1" applyFill="1" applyBorder="1" applyAlignment="1">
      <alignment horizontal="right" vertical="center" wrapText="1"/>
    </xf>
    <xf numFmtId="164" fontId="6" fillId="33" borderId="0" xfId="0" applyNumberFormat="1" applyFont="1" applyFill="1" applyBorder="1" applyAlignment="1">
      <alignment/>
    </xf>
    <xf numFmtId="49" fontId="9" fillId="33" borderId="0" xfId="53" applyNumberFormat="1" applyFont="1" applyFill="1" applyBorder="1" applyAlignment="1">
      <alignment horizontal="center" vertical="center"/>
      <protection/>
    </xf>
    <xf numFmtId="4" fontId="4" fillId="33" borderId="0" xfId="0" applyNumberFormat="1" applyFont="1" applyFill="1" applyBorder="1" applyAlignment="1">
      <alignment horizontal="justify" vertical="center" wrapText="1"/>
    </xf>
    <xf numFmtId="0" fontId="4" fillId="33" borderId="0" xfId="0" applyFont="1" applyFill="1" applyBorder="1" applyAlignment="1">
      <alignment horizontal="right" vertical="center" wrapText="1"/>
    </xf>
    <xf numFmtId="164" fontId="4" fillId="33" borderId="0" xfId="0" applyNumberFormat="1" applyFont="1" applyFill="1" applyBorder="1" applyAlignment="1">
      <alignment horizontal="right" vertical="center" wrapText="1"/>
    </xf>
    <xf numFmtId="49" fontId="17" fillId="33" borderId="0" xfId="53" applyNumberFormat="1" applyFont="1" applyFill="1" applyBorder="1" applyAlignment="1">
      <alignment horizontal="center" vertical="center"/>
      <protection/>
    </xf>
    <xf numFmtId="4" fontId="7" fillId="33" borderId="0" xfId="0" applyNumberFormat="1" applyFont="1" applyFill="1" applyBorder="1" applyAlignment="1">
      <alignment horizontal="justify" vertical="center" wrapText="1"/>
    </xf>
    <xf numFmtId="0" fontId="7" fillId="33" borderId="0" xfId="0" applyFont="1" applyFill="1" applyBorder="1" applyAlignment="1">
      <alignment horizontal="right" vertical="center" wrapText="1"/>
    </xf>
    <xf numFmtId="164" fontId="7" fillId="33" borderId="0" xfId="0" applyNumberFormat="1" applyFont="1" applyFill="1" applyBorder="1" applyAlignment="1">
      <alignment horizontal="right" vertical="center" wrapText="1"/>
    </xf>
    <xf numFmtId="164" fontId="7" fillId="33" borderId="0" xfId="0" applyNumberFormat="1" applyFont="1" applyFill="1" applyBorder="1" applyAlignment="1">
      <alignment/>
    </xf>
    <xf numFmtId="4" fontId="73" fillId="33" borderId="0" xfId="0" applyNumberFormat="1" applyFont="1" applyFill="1" applyBorder="1" applyAlignment="1">
      <alignment horizontal="justify" vertical="center" wrapText="1"/>
    </xf>
    <xf numFmtId="4" fontId="74" fillId="33" borderId="0" xfId="0" applyNumberFormat="1" applyFont="1" applyFill="1" applyBorder="1" applyAlignment="1">
      <alignment horizontal="justify" vertical="center" wrapText="1"/>
    </xf>
    <xf numFmtId="0" fontId="9" fillId="33" borderId="0" xfId="0" applyFont="1" applyFill="1" applyAlignment="1">
      <alignment horizontal="center"/>
    </xf>
    <xf numFmtId="0" fontId="2" fillId="33" borderId="0" xfId="0" applyFont="1" applyFill="1" applyAlignment="1">
      <alignment/>
    </xf>
    <xf numFmtId="0" fontId="6" fillId="33" borderId="0" xfId="0" applyFont="1" applyFill="1" applyAlignment="1">
      <alignment horizontal="justify" vertical="center" wrapText="1"/>
    </xf>
    <xf numFmtId="0" fontId="6" fillId="33" borderId="0" xfId="0" applyFont="1" applyFill="1" applyAlignment="1">
      <alignment/>
    </xf>
    <xf numFmtId="0" fontId="2" fillId="33" borderId="11" xfId="0" applyFont="1" applyFill="1" applyBorder="1" applyAlignment="1">
      <alignment horizontal="center" vertical="center"/>
    </xf>
    <xf numFmtId="164" fontId="71" fillId="33" borderId="0" xfId="49" applyNumberFormat="1" applyFont="1" applyFill="1" applyBorder="1" applyAlignment="1">
      <alignment horizontal="justify" vertical="center" wrapText="1"/>
      <protection/>
    </xf>
    <xf numFmtId="164" fontId="15" fillId="0" borderId="11" xfId="0" applyNumberFormat="1" applyFont="1" applyFill="1" applyBorder="1" applyAlignment="1">
      <alignment/>
    </xf>
    <xf numFmtId="164" fontId="0" fillId="0" borderId="11" xfId="0" applyNumberFormat="1" applyFill="1" applyBorder="1" applyAlignment="1">
      <alignment horizontal="justify" vertical="center" wrapText="1"/>
    </xf>
    <xf numFmtId="164" fontId="0" fillId="0" borderId="11" xfId="0" applyNumberFormat="1" applyFill="1" applyBorder="1" applyAlignment="1">
      <alignment/>
    </xf>
    <xf numFmtId="164" fontId="88" fillId="33" borderId="0" xfId="0" applyNumberFormat="1" applyFont="1" applyFill="1" applyAlignment="1">
      <alignment horizontal="center" vertical="center"/>
    </xf>
    <xf numFmtId="164" fontId="88" fillId="33" borderId="0" xfId="0" applyNumberFormat="1" applyFont="1" applyFill="1" applyAlignment="1">
      <alignment horizontal="justify" vertical="center" wrapText="1"/>
    </xf>
    <xf numFmtId="164" fontId="88" fillId="33" borderId="0" xfId="0" applyNumberFormat="1" applyFont="1" applyFill="1" applyAlignment="1">
      <alignment/>
    </xf>
    <xf numFmtId="164" fontId="88" fillId="33" borderId="11" xfId="0" applyNumberFormat="1" applyFont="1" applyFill="1" applyBorder="1" applyAlignment="1">
      <alignment horizontal="center" vertical="center"/>
    </xf>
    <xf numFmtId="164" fontId="88" fillId="33" borderId="11" xfId="0" applyNumberFormat="1" applyFont="1" applyFill="1" applyBorder="1" applyAlignment="1">
      <alignment horizontal="justify" vertical="center" wrapText="1"/>
    </xf>
    <xf numFmtId="164" fontId="88" fillId="33" borderId="11" xfId="0" applyNumberFormat="1" applyFont="1" applyFill="1" applyBorder="1" applyAlignment="1">
      <alignment/>
    </xf>
    <xf numFmtId="0" fontId="17" fillId="33" borderId="0" xfId="0" applyFont="1" applyFill="1" applyAlignment="1">
      <alignment wrapText="1"/>
    </xf>
    <xf numFmtId="0" fontId="7" fillId="33" borderId="0" xfId="0" applyFont="1" applyFill="1" applyAlignment="1">
      <alignment wrapText="1"/>
    </xf>
    <xf numFmtId="0" fontId="9" fillId="33" borderId="0" xfId="0" applyFont="1" applyFill="1" applyAlignment="1">
      <alignment horizontal="center" vertical="center" wrapText="1"/>
    </xf>
    <xf numFmtId="0" fontId="4" fillId="33" borderId="0" xfId="0" applyFont="1" applyFill="1" applyAlignment="1">
      <alignment wrapText="1"/>
    </xf>
    <xf numFmtId="166" fontId="4" fillId="33" borderId="17" xfId="0" applyNumberFormat="1" applyFont="1" applyFill="1" applyBorder="1" applyAlignment="1">
      <alignment/>
    </xf>
    <xf numFmtId="0" fontId="2" fillId="35" borderId="11" xfId="0" applyFont="1" applyFill="1" applyBorder="1" applyAlignment="1">
      <alignment horizontal="center" vertical="center"/>
    </xf>
    <xf numFmtId="0" fontId="2" fillId="35" borderId="11" xfId="0" applyFont="1" applyFill="1" applyBorder="1" applyAlignment="1">
      <alignment horizontal="center"/>
    </xf>
    <xf numFmtId="0" fontId="9" fillId="33" borderId="23" xfId="0" applyFont="1" applyFill="1" applyBorder="1" applyAlignment="1">
      <alignment horizontal="center"/>
    </xf>
    <xf numFmtId="4" fontId="4" fillId="33" borderId="0" xfId="0" applyNumberFormat="1" applyFont="1" applyFill="1" applyAlignment="1">
      <alignment/>
    </xf>
    <xf numFmtId="0" fontId="85" fillId="33" borderId="0" xfId="0" applyFont="1" applyFill="1" applyAlignment="1">
      <alignment horizontal="left" vertical="center" wrapText="1"/>
    </xf>
    <xf numFmtId="4" fontId="76" fillId="33" borderId="0" xfId="0" applyNumberFormat="1" applyFont="1" applyFill="1" applyBorder="1" applyAlignment="1">
      <alignment horizontal="justify" vertical="center" wrapText="1"/>
    </xf>
    <xf numFmtId="4" fontId="76" fillId="33" borderId="0" xfId="0" applyNumberFormat="1" applyFont="1" applyFill="1" applyAlignment="1">
      <alignment/>
    </xf>
    <xf numFmtId="4" fontId="4" fillId="33" borderId="11" xfId="0" applyNumberFormat="1" applyFont="1" applyFill="1" applyBorder="1" applyAlignment="1">
      <alignment horizontal="justify" vertical="center" wrapText="1"/>
    </xf>
    <xf numFmtId="0" fontId="6" fillId="0" borderId="11" xfId="0" applyFont="1" applyFill="1" applyBorder="1" applyAlignment="1">
      <alignment horizontal="justify" vertical="center" wrapText="1"/>
    </xf>
    <xf numFmtId="4" fontId="78" fillId="0" borderId="11" xfId="53" applyNumberFormat="1" applyFont="1" applyFill="1" applyBorder="1" applyAlignment="1">
      <alignment horizontal="center" vertical="center"/>
      <protection/>
    </xf>
    <xf numFmtId="49" fontId="2" fillId="0" borderId="11" xfId="0" applyNumberFormat="1" applyFont="1" applyBorder="1" applyAlignment="1">
      <alignment horizontal="center" vertical="center"/>
    </xf>
    <xf numFmtId="0" fontId="4" fillId="33" borderId="11" xfId="0" applyFont="1" applyFill="1" applyBorder="1" applyAlignment="1">
      <alignment horizontal="left" vertical="center" wrapText="1"/>
    </xf>
    <xf numFmtId="0" fontId="9" fillId="35" borderId="23" xfId="0" applyFont="1" applyFill="1" applyBorder="1" applyAlignment="1">
      <alignment horizontal="center" vertical="center" wrapText="1"/>
    </xf>
    <xf numFmtId="164" fontId="72" fillId="35" borderId="0" xfId="49" applyNumberFormat="1" applyFont="1" applyFill="1" applyBorder="1" applyAlignment="1">
      <alignment horizontal="justify" vertical="center" wrapText="1"/>
      <protection/>
    </xf>
    <xf numFmtId="0" fontId="10" fillId="35" borderId="0" xfId="0" applyFont="1" applyFill="1" applyBorder="1" applyAlignment="1">
      <alignment/>
    </xf>
    <xf numFmtId="0" fontId="10" fillId="35" borderId="0" xfId="0" applyFont="1" applyFill="1" applyBorder="1" applyAlignment="1">
      <alignment horizontal="right"/>
    </xf>
    <xf numFmtId="0" fontId="10" fillId="35" borderId="17" xfId="0" applyFont="1" applyFill="1" applyBorder="1" applyAlignment="1">
      <alignment/>
    </xf>
    <xf numFmtId="0" fontId="10" fillId="0" borderId="22" xfId="0" applyFont="1" applyFill="1" applyBorder="1" applyAlignment="1">
      <alignment horizontal="center" vertical="center"/>
    </xf>
    <xf numFmtId="0" fontId="9" fillId="33" borderId="22" xfId="0" applyFont="1" applyFill="1" applyBorder="1" applyAlignment="1">
      <alignment horizontal="center" vertical="center" wrapText="1"/>
    </xf>
    <xf numFmtId="164" fontId="73" fillId="33" borderId="22" xfId="49" applyNumberFormat="1" applyFont="1" applyFill="1" applyBorder="1" applyAlignment="1">
      <alignment horizontal="justify" vertical="center" wrapText="1"/>
      <protection/>
    </xf>
    <xf numFmtId="0" fontId="4" fillId="33" borderId="22" xfId="0" applyFont="1" applyFill="1" applyBorder="1" applyAlignment="1">
      <alignment/>
    </xf>
    <xf numFmtId="0" fontId="10" fillId="0" borderId="19" xfId="0" applyFont="1" applyFill="1" applyBorder="1" applyAlignment="1">
      <alignment horizontal="center" vertical="center"/>
    </xf>
    <xf numFmtId="0" fontId="9" fillId="0" borderId="16" xfId="0" applyFont="1" applyFill="1" applyBorder="1" applyAlignment="1">
      <alignment/>
    </xf>
    <xf numFmtId="164" fontId="73" fillId="0" borderId="16" xfId="49" applyNumberFormat="1" applyFont="1" applyFill="1" applyBorder="1" applyAlignment="1">
      <alignment horizontal="justify" vertical="center" wrapText="1"/>
      <protection/>
    </xf>
    <xf numFmtId="0" fontId="4" fillId="0" borderId="16" xfId="0" applyFont="1" applyFill="1" applyBorder="1" applyAlignment="1">
      <alignment/>
    </xf>
    <xf numFmtId="0" fontId="4" fillId="0" borderId="18" xfId="0" applyFont="1" applyFill="1" applyBorder="1" applyAlignment="1">
      <alignment/>
    </xf>
    <xf numFmtId="0" fontId="18" fillId="35" borderId="24" xfId="0" applyFont="1" applyFill="1" applyBorder="1" applyAlignment="1">
      <alignment/>
    </xf>
    <xf numFmtId="0" fontId="18" fillId="35" borderId="25" xfId="0" applyFont="1" applyFill="1" applyBorder="1" applyAlignment="1">
      <alignment horizontal="justify" vertical="center" wrapText="1"/>
    </xf>
    <xf numFmtId="0" fontId="19" fillId="35" borderId="25" xfId="0" applyFont="1" applyFill="1" applyBorder="1" applyAlignment="1">
      <alignment/>
    </xf>
    <xf numFmtId="0" fontId="19" fillId="35" borderId="26" xfId="0" applyFont="1" applyFill="1" applyBorder="1" applyAlignment="1">
      <alignment/>
    </xf>
    <xf numFmtId="0" fontId="2" fillId="35" borderId="23" xfId="0" applyFont="1" applyFill="1" applyBorder="1" applyAlignment="1">
      <alignment/>
    </xf>
    <xf numFmtId="164" fontId="78" fillId="35" borderId="0" xfId="49" applyNumberFormat="1" applyFont="1" applyFill="1" applyBorder="1" applyAlignment="1">
      <alignment horizontal="justify" vertical="center" wrapText="1"/>
      <protection/>
    </xf>
    <xf numFmtId="0" fontId="2" fillId="35" borderId="0" xfId="0" applyFont="1" applyFill="1" applyBorder="1" applyAlignment="1">
      <alignment/>
    </xf>
    <xf numFmtId="4" fontId="2" fillId="35" borderId="17" xfId="0" applyNumberFormat="1" applyFont="1" applyFill="1" applyBorder="1" applyAlignment="1">
      <alignment/>
    </xf>
    <xf numFmtId="4" fontId="72" fillId="35" borderId="0" xfId="0" applyNumberFormat="1" applyFont="1" applyFill="1" applyBorder="1" applyAlignment="1">
      <alignment horizontal="justify" vertical="center" wrapText="1"/>
    </xf>
    <xf numFmtId="4" fontId="10" fillId="35" borderId="0" xfId="0" applyNumberFormat="1" applyFont="1" applyFill="1" applyBorder="1" applyAlignment="1">
      <alignment/>
    </xf>
    <xf numFmtId="0" fontId="11" fillId="35" borderId="23" xfId="0" applyFont="1" applyFill="1" applyBorder="1" applyAlignment="1">
      <alignment horizontal="center"/>
    </xf>
    <xf numFmtId="0" fontId="10" fillId="0" borderId="0" xfId="0" applyFont="1" applyFill="1" applyAlignment="1">
      <alignment horizontal="justify" vertical="center" wrapText="1"/>
    </xf>
    <xf numFmtId="164" fontId="6" fillId="33" borderId="0" xfId="0" applyNumberFormat="1" applyFont="1" applyFill="1" applyAlignment="1">
      <alignment/>
    </xf>
    <xf numFmtId="0" fontId="6" fillId="0" borderId="0" xfId="0" applyFont="1" applyFill="1" applyBorder="1" applyAlignment="1">
      <alignment horizontal="center" vertical="center"/>
    </xf>
    <xf numFmtId="0" fontId="16" fillId="33" borderId="0" xfId="0" applyFont="1" applyFill="1" applyBorder="1" applyAlignment="1">
      <alignment horizontal="justify" vertical="center" wrapText="1"/>
    </xf>
    <xf numFmtId="4" fontId="75" fillId="33" borderId="11" xfId="0" applyNumberFormat="1" applyFont="1" applyFill="1" applyBorder="1" applyAlignment="1">
      <alignment horizontal="justify" vertical="center" wrapText="1"/>
    </xf>
    <xf numFmtId="4" fontId="72" fillId="35" borderId="11" xfId="0" applyNumberFormat="1" applyFont="1" applyFill="1" applyBorder="1" applyAlignment="1">
      <alignment horizontal="justify" vertical="center" wrapText="1"/>
    </xf>
    <xf numFmtId="49" fontId="72" fillId="0" borderId="11" xfId="49" applyNumberFormat="1" applyFont="1" applyFill="1" applyBorder="1" applyAlignment="1">
      <alignment horizontal="center"/>
      <protection/>
    </xf>
    <xf numFmtId="49" fontId="72" fillId="33" borderId="0" xfId="49" applyNumberFormat="1" applyFont="1" applyFill="1" applyBorder="1" applyAlignment="1">
      <alignment horizontal="center"/>
      <protection/>
    </xf>
    <xf numFmtId="49" fontId="10" fillId="33" borderId="11" xfId="49" applyNumberFormat="1" applyFont="1" applyFill="1" applyBorder="1" applyAlignment="1">
      <alignment horizontal="center"/>
      <protection/>
    </xf>
    <xf numFmtId="49" fontId="10" fillId="0" borderId="0" xfId="49" applyNumberFormat="1" applyFont="1" applyFill="1" applyBorder="1" applyAlignment="1">
      <alignment horizontal="center"/>
      <protection/>
    </xf>
    <xf numFmtId="0" fontId="20" fillId="33" borderId="0" xfId="0" applyFont="1" applyFill="1" applyAlignment="1">
      <alignment horizontal="center" vertical="center"/>
    </xf>
    <xf numFmtId="0" fontId="2" fillId="0" borderId="0" xfId="0" applyFont="1" applyFill="1" applyAlignment="1">
      <alignment horizontal="center"/>
    </xf>
    <xf numFmtId="2" fontId="10" fillId="0" borderId="0" xfId="0" applyNumberFormat="1" applyFont="1" applyFill="1" applyAlignment="1">
      <alignment horizontal="center" vertical="center"/>
    </xf>
    <xf numFmtId="0" fontId="9" fillId="35" borderId="11" xfId="0" applyFont="1" applyFill="1" applyBorder="1" applyAlignment="1">
      <alignment horizontal="center"/>
    </xf>
    <xf numFmtId="4" fontId="73" fillId="35" borderId="11" xfId="0" applyNumberFormat="1" applyFont="1" applyFill="1" applyBorder="1" applyAlignment="1">
      <alignment horizontal="justify" vertical="center" wrapText="1"/>
    </xf>
    <xf numFmtId="0" fontId="9" fillId="35" borderId="11" xfId="0" applyFont="1" applyFill="1" applyBorder="1" applyAlignment="1">
      <alignment horizontal="justify" vertical="justify" wrapText="1"/>
    </xf>
    <xf numFmtId="2" fontId="6" fillId="35" borderId="11" xfId="0" applyNumberFormat="1" applyFont="1" applyFill="1" applyBorder="1" applyAlignment="1">
      <alignment/>
    </xf>
    <xf numFmtId="2" fontId="4" fillId="35" borderId="11" xfId="0" applyNumberFormat="1" applyFont="1" applyFill="1" applyBorder="1" applyAlignment="1">
      <alignment/>
    </xf>
    <xf numFmtId="166" fontId="4" fillId="35" borderId="11" xfId="0" applyNumberFormat="1" applyFont="1" applyFill="1" applyBorder="1" applyAlignment="1">
      <alignment/>
    </xf>
    <xf numFmtId="166" fontId="6" fillId="35" borderId="11" xfId="0" applyNumberFormat="1" applyFont="1" applyFill="1" applyBorder="1" applyAlignment="1">
      <alignment/>
    </xf>
    <xf numFmtId="0" fontId="18" fillId="0" borderId="0" xfId="0" applyFont="1" applyFill="1" applyAlignment="1">
      <alignment/>
    </xf>
    <xf numFmtId="0" fontId="19" fillId="0" borderId="0" xfId="0" applyFont="1" applyFill="1" applyAlignment="1">
      <alignment horizontal="center" vertical="center"/>
    </xf>
    <xf numFmtId="4" fontId="89" fillId="0" borderId="0" xfId="0" applyNumberFormat="1" applyFont="1" applyFill="1" applyBorder="1" applyAlignment="1">
      <alignment horizontal="justify" vertical="center" wrapText="1"/>
    </xf>
    <xf numFmtId="164" fontId="12" fillId="33" borderId="0" xfId="0" applyNumberFormat="1" applyFont="1" applyFill="1" applyBorder="1" applyAlignment="1">
      <alignment horizontal="center" vertical="center" wrapText="1"/>
    </xf>
    <xf numFmtId="0" fontId="0" fillId="33" borderId="0" xfId="0" applyFont="1" applyFill="1" applyAlignment="1">
      <alignment horizontal="center" vertical="center" wrapText="1"/>
    </xf>
    <xf numFmtId="49" fontId="73" fillId="0" borderId="13" xfId="49" applyNumberFormat="1" applyFont="1" applyFill="1" applyBorder="1" applyAlignment="1">
      <alignment horizontal="left" vertical="center" wrapText="1" readingOrder="1"/>
      <protection/>
    </xf>
    <xf numFmtId="0" fontId="0" fillId="0" borderId="0" xfId="0" applyFill="1" applyBorder="1" applyAlignment="1">
      <alignment horizontal="left" vertical="center" wrapText="1" readingOrder="1"/>
    </xf>
    <xf numFmtId="0" fontId="0" fillId="0" borderId="15" xfId="0" applyFill="1" applyBorder="1" applyAlignment="1">
      <alignment horizontal="left" vertical="center" wrapText="1" readingOrder="1"/>
    </xf>
    <xf numFmtId="4" fontId="73" fillId="0" borderId="13" xfId="49" applyNumberFormat="1" applyFont="1" applyFill="1" applyBorder="1" applyAlignment="1">
      <alignment horizontal="left" vertical="center" wrapText="1" readingOrder="1"/>
      <protection/>
    </xf>
    <xf numFmtId="0" fontId="0" fillId="0" borderId="0" xfId="0" applyBorder="1" applyAlignment="1">
      <alignment horizontal="left" vertical="center" wrapText="1"/>
    </xf>
    <xf numFmtId="0" fontId="0" fillId="0" borderId="15" xfId="0" applyBorder="1" applyAlignment="1">
      <alignment horizontal="left" vertical="center" wrapText="1"/>
    </xf>
    <xf numFmtId="4" fontId="4" fillId="33" borderId="13" xfId="49" applyNumberFormat="1" applyFont="1" applyFill="1" applyBorder="1" applyAlignment="1">
      <alignment horizontal="left" vertical="center" wrapText="1" readingOrder="1"/>
      <protection/>
    </xf>
    <xf numFmtId="0" fontId="0" fillId="33" borderId="0" xfId="0" applyFont="1" applyFill="1" applyBorder="1" applyAlignment="1">
      <alignment horizontal="left" vertical="center" wrapText="1" readingOrder="1"/>
    </xf>
    <xf numFmtId="0" fontId="0" fillId="33" borderId="15" xfId="0" applyFont="1" applyFill="1" applyBorder="1" applyAlignment="1">
      <alignment horizontal="left" vertical="center" wrapText="1" readingOrder="1"/>
    </xf>
    <xf numFmtId="4" fontId="73" fillId="0" borderId="13" xfId="52" applyNumberFormat="1" applyFont="1" applyFill="1" applyBorder="1" applyAlignment="1">
      <alignment horizontal="left" vertical="center" wrapText="1" readingOrder="1"/>
      <protection/>
    </xf>
    <xf numFmtId="0" fontId="6"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49" fontId="86" fillId="0" borderId="12" xfId="52" applyNumberFormat="1" applyFont="1" applyFill="1" applyBorder="1" applyAlignment="1">
      <alignment horizontal="left" vertical="center" wrapText="1"/>
      <protection/>
    </xf>
    <xf numFmtId="0" fontId="16" fillId="0" borderId="10" xfId="0" applyFont="1" applyFill="1" applyBorder="1" applyAlignment="1">
      <alignment horizontal="left" vertical="center" wrapText="1"/>
    </xf>
    <xf numFmtId="49" fontId="86" fillId="0" borderId="13" xfId="49" applyNumberFormat="1" applyFont="1" applyFill="1" applyBorder="1" applyAlignment="1">
      <alignment horizontal="left" vertical="center" wrapText="1"/>
      <protection/>
    </xf>
    <xf numFmtId="0" fontId="16" fillId="0" borderId="0" xfId="0" applyFont="1" applyFill="1" applyAlignment="1">
      <alignment horizontal="left" vertical="center" wrapText="1"/>
    </xf>
    <xf numFmtId="49" fontId="78" fillId="0" borderId="20" xfId="53" applyNumberFormat="1" applyFont="1" applyFill="1" applyBorder="1" applyAlignment="1">
      <alignment horizontal="center" vertical="center" wrapText="1"/>
      <protection/>
    </xf>
    <xf numFmtId="49" fontId="78" fillId="0" borderId="22" xfId="53" applyNumberFormat="1" applyFont="1" applyFill="1" applyBorder="1" applyAlignment="1">
      <alignment horizontal="center" vertical="center" wrapText="1"/>
      <protection/>
    </xf>
    <xf numFmtId="4" fontId="78" fillId="0" borderId="20" xfId="53" applyNumberFormat="1" applyFont="1" applyFill="1" applyBorder="1" applyAlignment="1">
      <alignment horizontal="center" vertical="center" wrapText="1"/>
      <protection/>
    </xf>
    <xf numFmtId="4" fontId="78" fillId="0" borderId="22" xfId="53" applyNumberFormat="1" applyFont="1" applyFill="1" applyBorder="1" applyAlignment="1">
      <alignment horizontal="center" vertical="center" wrapText="1"/>
      <protection/>
    </xf>
    <xf numFmtId="4" fontId="78" fillId="0" borderId="20" xfId="53" applyNumberFormat="1" applyFont="1" applyFill="1" applyBorder="1" applyAlignment="1">
      <alignment horizontal="center" wrapText="1"/>
      <protection/>
    </xf>
    <xf numFmtId="4" fontId="78" fillId="0" borderId="22" xfId="53" applyNumberFormat="1" applyFont="1" applyFill="1" applyBorder="1" applyAlignment="1">
      <alignment horizontal="center" wrapText="1"/>
      <protection/>
    </xf>
    <xf numFmtId="49" fontId="78" fillId="0" borderId="27" xfId="52" applyNumberFormat="1" applyFont="1" applyFill="1" applyBorder="1" applyAlignment="1">
      <alignment horizontal="center" vertical="center" wrapText="1"/>
      <protection/>
    </xf>
    <xf numFmtId="0" fontId="9" fillId="0" borderId="2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9" xfId="0" applyFont="1" applyFill="1" applyBorder="1" applyAlignment="1">
      <alignment horizontal="center" vertical="center" wrapText="1"/>
    </xf>
    <xf numFmtId="4" fontId="9" fillId="0" borderId="22" xfId="0" applyNumberFormat="1" applyFont="1" applyFill="1" applyBorder="1" applyAlignment="1">
      <alignment horizontal="center" vertical="center" wrapText="1"/>
    </xf>
    <xf numFmtId="164" fontId="78" fillId="0" borderId="20" xfId="53" applyNumberFormat="1" applyFont="1" applyFill="1" applyBorder="1" applyAlignment="1">
      <alignment horizontal="center" vertical="center" wrapText="1"/>
      <protection/>
    </xf>
    <xf numFmtId="164" fontId="78" fillId="0" borderId="22" xfId="53" applyNumberFormat="1" applyFont="1" applyFill="1" applyBorder="1" applyAlignment="1">
      <alignment horizontal="center" vertical="center" wrapText="1"/>
      <protection/>
    </xf>
    <xf numFmtId="4" fontId="78" fillId="34" borderId="11" xfId="53" applyNumberFormat="1" applyFont="1" applyFill="1" applyBorder="1" applyAlignment="1">
      <alignment horizontal="right" vertical="center" wrapText="1"/>
      <protection/>
    </xf>
    <xf numFmtId="49" fontId="75" fillId="0" borderId="27" xfId="49" applyNumberFormat="1" applyFont="1" applyFill="1" applyBorder="1" applyAlignment="1">
      <alignment horizontal="left" vertical="center" wrapText="1"/>
      <protection/>
    </xf>
    <xf numFmtId="49" fontId="75" fillId="0" borderId="28" xfId="49" applyNumberFormat="1" applyFont="1" applyFill="1" applyBorder="1" applyAlignment="1">
      <alignment horizontal="left" vertical="center" wrapText="1"/>
      <protection/>
    </xf>
    <xf numFmtId="49" fontId="75" fillId="0" borderId="29" xfId="49" applyNumberFormat="1" applyFont="1" applyFill="1" applyBorder="1" applyAlignment="1">
      <alignment horizontal="left" vertical="center" wrapText="1"/>
      <protection/>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2" fillId="0" borderId="27" xfId="52" applyFont="1" applyFill="1" applyBorder="1" applyAlignment="1">
      <alignment horizontal="center" vertical="center" wrapText="1"/>
      <protection/>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81" fillId="0" borderId="11" xfId="0" applyFont="1" applyBorder="1" applyAlignment="1">
      <alignment horizontal="center" vertical="center" wrapText="1"/>
    </xf>
    <xf numFmtId="49" fontId="9" fillId="0" borderId="28" xfId="0" applyNumberFormat="1" applyFont="1" applyFill="1" applyBorder="1" applyAlignment="1">
      <alignment horizontal="left" vertical="center" wrapText="1"/>
    </xf>
    <xf numFmtId="49" fontId="9" fillId="0" borderId="29" xfId="0" applyNumberFormat="1" applyFont="1" applyFill="1" applyBorder="1" applyAlignment="1">
      <alignment horizontal="left" vertical="center" wrapText="1"/>
    </xf>
    <xf numFmtId="4" fontId="75" fillId="0" borderId="13" xfId="49" applyNumberFormat="1" applyFont="1" applyFill="1" applyBorder="1" applyAlignment="1">
      <alignment horizontal="left" vertical="center" wrapText="1" readingOrder="1"/>
      <protection/>
    </xf>
    <xf numFmtId="0" fontId="9" fillId="0" borderId="0" xfId="0" applyFont="1" applyAlignment="1">
      <alignment horizontal="left" vertical="center" wrapText="1" readingOrder="1"/>
    </xf>
    <xf numFmtId="0" fontId="9" fillId="0" borderId="0" xfId="0" applyFont="1" applyBorder="1" applyAlignment="1">
      <alignment horizontal="left" vertical="center" wrapText="1" readingOrder="1"/>
    </xf>
    <xf numFmtId="0" fontId="15" fillId="0" borderId="0" xfId="0" applyFont="1" applyAlignment="1">
      <alignment horizontal="left" vertical="center" wrapText="1"/>
    </xf>
    <xf numFmtId="0" fontId="15" fillId="0" borderId="0" xfId="0" applyFont="1" applyBorder="1" applyAlignment="1">
      <alignment horizontal="left" vertical="center" wrapText="1"/>
    </xf>
    <xf numFmtId="0" fontId="15" fillId="0" borderId="15" xfId="0" applyFont="1" applyBorder="1" applyAlignment="1">
      <alignment horizontal="left" vertical="center" wrapText="1"/>
    </xf>
    <xf numFmtId="4" fontId="9" fillId="33" borderId="13" xfId="49" applyNumberFormat="1" applyFont="1" applyFill="1" applyBorder="1" applyAlignment="1">
      <alignment horizontal="left" vertical="center" wrapText="1" readingOrder="1"/>
      <protection/>
    </xf>
    <xf numFmtId="0" fontId="15" fillId="33" borderId="0" xfId="0" applyFont="1" applyFill="1" applyAlignment="1">
      <alignment horizontal="left" vertical="center" wrapText="1"/>
    </xf>
    <xf numFmtId="0" fontId="15" fillId="33" borderId="0" xfId="0" applyFont="1" applyFill="1" applyBorder="1" applyAlignment="1">
      <alignment horizontal="left" vertical="center" wrapText="1"/>
    </xf>
    <xf numFmtId="0" fontId="15" fillId="33" borderId="15" xfId="0" applyFont="1" applyFill="1" applyBorder="1" applyAlignment="1">
      <alignment horizontal="left" vertical="center" wrapText="1"/>
    </xf>
    <xf numFmtId="4" fontId="9" fillId="33" borderId="19" xfId="52" applyNumberFormat="1" applyFont="1" applyFill="1" applyBorder="1" applyAlignment="1">
      <alignment horizontal="left" vertical="center" wrapText="1" readingOrder="1"/>
      <protection/>
    </xf>
    <xf numFmtId="0" fontId="9" fillId="33" borderId="16" xfId="0" applyFont="1" applyFill="1" applyBorder="1" applyAlignment="1">
      <alignment horizontal="left" vertical="center" wrapText="1" readingOrder="1"/>
    </xf>
    <xf numFmtId="0" fontId="15" fillId="33" borderId="16" xfId="0" applyFont="1" applyFill="1" applyBorder="1" applyAlignment="1">
      <alignment horizontal="left" vertical="center" wrapText="1"/>
    </xf>
    <xf numFmtId="0" fontId="15" fillId="33" borderId="18" xfId="0" applyFont="1" applyFill="1" applyBorder="1" applyAlignment="1">
      <alignment horizontal="left"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10" fontId="15" fillId="0" borderId="20" xfId="0" applyNumberFormat="1" applyFont="1" applyBorder="1" applyAlignment="1">
      <alignment horizontal="center" vertical="center" wrapText="1"/>
    </xf>
    <xf numFmtId="10" fontId="15" fillId="0" borderId="22" xfId="0" applyNumberFormat="1" applyFont="1" applyBorder="1" applyAlignment="1">
      <alignment horizontal="center" vertical="center" wrapText="1"/>
    </xf>
    <xf numFmtId="44" fontId="15" fillId="0" borderId="12" xfId="0" applyNumberFormat="1" applyFont="1" applyBorder="1" applyAlignment="1">
      <alignment horizontal="right" vertical="center" wrapText="1"/>
    </xf>
    <xf numFmtId="44" fontId="15" fillId="0" borderId="14" xfId="0" applyNumberFormat="1" applyFont="1" applyBorder="1" applyAlignment="1">
      <alignment horizontal="right" vertical="center" wrapText="1"/>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44" fontId="15" fillId="0" borderId="20" xfId="0" applyNumberFormat="1" applyFont="1" applyBorder="1" applyAlignment="1">
      <alignment horizontal="right" vertical="center" wrapText="1"/>
    </xf>
    <xf numFmtId="10" fontId="15" fillId="0" borderId="19" xfId="0" applyNumberFormat="1" applyFont="1" applyBorder="1" applyAlignment="1">
      <alignment horizontal="center" vertical="center" wrapText="1"/>
    </xf>
    <xf numFmtId="10" fontId="15" fillId="0" borderId="18" xfId="0" applyNumberFormat="1" applyFont="1" applyBorder="1" applyAlignment="1">
      <alignment horizontal="center" vertical="center" wrapText="1"/>
    </xf>
    <xf numFmtId="49" fontId="75" fillId="0" borderId="13" xfId="49" applyNumberFormat="1" applyFont="1" applyFill="1" applyBorder="1" applyAlignment="1">
      <alignment horizontal="left" vertical="center" wrapText="1"/>
      <protection/>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Alignment="1">
      <alignment horizontal="left" vertical="center" wrapText="1" readingOrder="1"/>
    </xf>
    <xf numFmtId="0" fontId="15" fillId="0" borderId="0" xfId="0" applyFont="1" applyBorder="1" applyAlignment="1">
      <alignment horizontal="left" vertical="center" wrapText="1" readingOrder="1"/>
    </xf>
    <xf numFmtId="49" fontId="72" fillId="0" borderId="12" xfId="52" applyNumberFormat="1" applyFont="1" applyFill="1" applyBorder="1" applyAlignment="1">
      <alignment horizontal="left" vertical="center" wrapText="1"/>
      <protection/>
    </xf>
    <xf numFmtId="0" fontId="11" fillId="0" borderId="10" xfId="0" applyFont="1" applyBorder="1" applyAlignment="1">
      <alignment horizontal="left" vertical="center" wrapText="1"/>
    </xf>
    <xf numFmtId="0" fontId="18" fillId="0" borderId="10" xfId="0" applyFont="1" applyBorder="1" applyAlignment="1">
      <alignment horizontal="left" vertical="center" wrapText="1"/>
    </xf>
    <xf numFmtId="49" fontId="72" fillId="0" borderId="13" xfId="49" applyNumberFormat="1" applyFont="1" applyFill="1" applyBorder="1" applyAlignment="1">
      <alignment horizontal="left" vertical="center" wrapText="1"/>
      <protection/>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166" fontId="4" fillId="0" borderId="0" xfId="0" applyNumberFormat="1" applyFont="1" applyFill="1" applyAlignment="1">
      <alignment/>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2 3" xfId="49"/>
    <cellStyle name="Normal 3" xfId="50"/>
    <cellStyle name="Normal_P_Getulio Vargas" xfId="51"/>
    <cellStyle name="Normal_P_Getulio Vargas 2" xfId="52"/>
    <cellStyle name="Normal_P-HLEITE"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76200</xdr:rowOff>
    </xdr:from>
    <xdr:to>
      <xdr:col>1</xdr:col>
      <xdr:colOff>1257300</xdr:colOff>
      <xdr:row>7</xdr:row>
      <xdr:rowOff>76200</xdr:rowOff>
    </xdr:to>
    <xdr:pic>
      <xdr:nvPicPr>
        <xdr:cNvPr id="1" name="Picture 2"/>
        <xdr:cNvPicPr preferRelativeResize="1">
          <a:picLocks noChangeAspect="1"/>
        </xdr:cNvPicPr>
      </xdr:nvPicPr>
      <xdr:blipFill>
        <a:blip r:embed="rId1"/>
        <a:stretch>
          <a:fillRect/>
        </a:stretch>
      </xdr:blipFill>
      <xdr:spPr>
        <a:xfrm>
          <a:off x="390525" y="76200"/>
          <a:ext cx="1581150"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28575</xdr:rowOff>
    </xdr:from>
    <xdr:to>
      <xdr:col>1</xdr:col>
      <xdr:colOff>942975</xdr:colOff>
      <xdr:row>6</xdr:row>
      <xdr:rowOff>133350</xdr:rowOff>
    </xdr:to>
    <xdr:pic>
      <xdr:nvPicPr>
        <xdr:cNvPr id="1" name="Picture 2"/>
        <xdr:cNvPicPr preferRelativeResize="1">
          <a:picLocks noChangeAspect="1"/>
        </xdr:cNvPicPr>
      </xdr:nvPicPr>
      <xdr:blipFill>
        <a:blip r:embed="rId1"/>
        <a:stretch>
          <a:fillRect/>
        </a:stretch>
      </xdr:blipFill>
      <xdr:spPr>
        <a:xfrm>
          <a:off x="114300" y="1000125"/>
          <a:ext cx="1409700" cy="2047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342900</xdr:rowOff>
    </xdr:from>
    <xdr:to>
      <xdr:col>1</xdr:col>
      <xdr:colOff>1066800</xdr:colOff>
      <xdr:row>6</xdr:row>
      <xdr:rowOff>200025</xdr:rowOff>
    </xdr:to>
    <xdr:pic>
      <xdr:nvPicPr>
        <xdr:cNvPr id="1" name="Picture 2"/>
        <xdr:cNvPicPr preferRelativeResize="1">
          <a:picLocks noChangeAspect="1"/>
        </xdr:cNvPicPr>
      </xdr:nvPicPr>
      <xdr:blipFill>
        <a:blip r:embed="rId1"/>
        <a:stretch>
          <a:fillRect/>
        </a:stretch>
      </xdr:blipFill>
      <xdr:spPr>
        <a:xfrm>
          <a:off x="600075" y="762000"/>
          <a:ext cx="108585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020"/>
  <sheetViews>
    <sheetView view="pageBreakPreview" zoomScale="60" zoomScaleNormal="90" zoomScalePageLayoutView="0" workbookViewId="0" topLeftCell="A751">
      <selection activeCell="H764" sqref="H764:I764"/>
    </sheetView>
  </sheetViews>
  <sheetFormatPr defaultColWidth="9.140625" defaultRowHeight="12.75"/>
  <cols>
    <col min="1" max="1" width="10.7109375" style="13" customWidth="1"/>
    <col min="2" max="2" width="24.421875" style="55" customWidth="1"/>
    <col min="3" max="3" width="102.140625" style="244" customWidth="1"/>
    <col min="4" max="4" width="9.140625" style="2" customWidth="1"/>
    <col min="5" max="5" width="12.28125" style="2" bestFit="1" customWidth="1"/>
    <col min="6" max="6" width="14.7109375" style="2" bestFit="1" customWidth="1"/>
    <col min="7" max="7" width="13.421875" style="2" bestFit="1" customWidth="1"/>
    <col min="8" max="16384" width="9.140625" style="2" customWidth="1"/>
  </cols>
  <sheetData>
    <row r="1" spans="1:7" ht="16.5" customHeight="1">
      <c r="A1" s="11"/>
      <c r="B1" s="264"/>
      <c r="C1" s="242" t="s">
        <v>12</v>
      </c>
      <c r="D1" s="5"/>
      <c r="E1" s="234" t="s">
        <v>468</v>
      </c>
      <c r="F1" s="235" t="s">
        <v>470</v>
      </c>
      <c r="G1" s="235" t="s">
        <v>469</v>
      </c>
    </row>
    <row r="2" spans="1:7" ht="16.5" customHeight="1">
      <c r="A2" s="12"/>
      <c r="B2" s="265"/>
      <c r="C2" s="243" t="s">
        <v>8</v>
      </c>
      <c r="D2" s="6"/>
      <c r="E2" s="75" t="s">
        <v>1115</v>
      </c>
      <c r="F2" s="438" t="s">
        <v>920</v>
      </c>
      <c r="G2" s="438" t="s">
        <v>1116</v>
      </c>
    </row>
    <row r="3" spans="1:7" ht="16.5" customHeight="1">
      <c r="A3" s="12"/>
      <c r="B3" s="265"/>
      <c r="C3" s="243" t="s">
        <v>9</v>
      </c>
      <c r="D3" s="6"/>
      <c r="E3" s="7"/>
      <c r="F3" s="45"/>
      <c r="G3" s="46"/>
    </row>
    <row r="4" spans="1:7" ht="16.5" customHeight="1">
      <c r="A4" s="12"/>
      <c r="B4" s="265"/>
      <c r="C4" s="490" t="s">
        <v>454</v>
      </c>
      <c r="D4" s="491"/>
      <c r="E4" s="491"/>
      <c r="F4" s="491"/>
      <c r="G4" s="492"/>
    </row>
    <row r="5" spans="1:7" ht="16.5" customHeight="1">
      <c r="A5" s="12"/>
      <c r="B5" s="265"/>
      <c r="C5" s="493" t="s">
        <v>620</v>
      </c>
      <c r="D5" s="494"/>
      <c r="E5" s="494"/>
      <c r="F5" s="494"/>
      <c r="G5" s="495"/>
    </row>
    <row r="6" spans="1:7" ht="16.5" customHeight="1">
      <c r="A6" s="12"/>
      <c r="B6" s="265"/>
      <c r="C6" s="493" t="s">
        <v>193</v>
      </c>
      <c r="D6" s="494"/>
      <c r="E6" s="494"/>
      <c r="F6" s="494"/>
      <c r="G6" s="495"/>
    </row>
    <row r="7" spans="1:7" ht="27" customHeight="1">
      <c r="A7" s="12"/>
      <c r="B7" s="265"/>
      <c r="C7" s="496" t="s">
        <v>1118</v>
      </c>
      <c r="D7" s="497"/>
      <c r="E7" s="497"/>
      <c r="F7" s="497"/>
      <c r="G7" s="498"/>
    </row>
    <row r="8" spans="1:7" ht="16.5" customHeight="1">
      <c r="A8" s="12"/>
      <c r="B8" s="265"/>
      <c r="C8" s="499" t="s">
        <v>907</v>
      </c>
      <c r="D8" s="491"/>
      <c r="E8" s="491"/>
      <c r="F8" s="491"/>
      <c r="G8" s="492"/>
    </row>
    <row r="9" spans="1:7" ht="18" customHeight="1">
      <c r="A9" s="500" t="s">
        <v>1117</v>
      </c>
      <c r="B9" s="501"/>
      <c r="C9" s="501"/>
      <c r="D9" s="501"/>
      <c r="E9" s="501"/>
      <c r="F9" s="501"/>
      <c r="G9" s="502"/>
    </row>
    <row r="10" spans="1:7" ht="39.75" customHeight="1">
      <c r="A10" s="126" t="s">
        <v>0</v>
      </c>
      <c r="B10" s="97" t="s">
        <v>11</v>
      </c>
      <c r="C10" s="100" t="s">
        <v>1</v>
      </c>
      <c r="D10" s="437" t="s">
        <v>2</v>
      </c>
      <c r="E10" s="437" t="s">
        <v>3</v>
      </c>
      <c r="F10" s="437" t="s">
        <v>7</v>
      </c>
      <c r="G10" s="437" t="s">
        <v>4</v>
      </c>
    </row>
    <row r="11" spans="1:7" s="57" customFormat="1" ht="15.75">
      <c r="A11" s="261"/>
      <c r="B11" s="266"/>
      <c r="C11" s="262"/>
      <c r="D11" s="263"/>
      <c r="E11" s="263"/>
      <c r="F11" s="263"/>
      <c r="G11" s="263"/>
    </row>
    <row r="12" spans="1:7" s="10" customFormat="1" ht="18.75">
      <c r="A12" s="278" t="s">
        <v>956</v>
      </c>
      <c r="B12" s="279"/>
      <c r="C12" s="280" t="s">
        <v>15</v>
      </c>
      <c r="D12" s="281"/>
      <c r="E12" s="281"/>
      <c r="F12" s="281"/>
      <c r="G12" s="281"/>
    </row>
    <row r="13" spans="1:7" s="66" customFormat="1" ht="30">
      <c r="A13" s="297" t="s">
        <v>957</v>
      </c>
      <c r="B13" s="298" t="s">
        <v>241</v>
      </c>
      <c r="C13" s="299" t="s">
        <v>242</v>
      </c>
      <c r="D13" s="300" t="s">
        <v>16</v>
      </c>
      <c r="E13" s="300">
        <v>1</v>
      </c>
      <c r="F13" s="300">
        <f>TRUNC(296.8395,2)</f>
        <v>296.83</v>
      </c>
      <c r="G13" s="300">
        <f aca="true" t="shared" si="0" ref="G13:G21">TRUNC(E13*F13,2)</f>
        <v>296.83</v>
      </c>
    </row>
    <row r="14" spans="1:7" s="66" customFormat="1" ht="30">
      <c r="A14" s="68"/>
      <c r="B14" s="268" t="s">
        <v>50</v>
      </c>
      <c r="C14" s="260" t="s">
        <v>51</v>
      </c>
      <c r="D14" s="66" t="s">
        <v>30</v>
      </c>
      <c r="E14" s="66">
        <v>0.3</v>
      </c>
      <c r="F14" s="66">
        <f>TRUNC(8.39,2)</f>
        <v>8.39</v>
      </c>
      <c r="G14" s="66">
        <f t="shared" si="0"/>
        <v>2.51</v>
      </c>
    </row>
    <row r="15" spans="1:7" s="66" customFormat="1" ht="18.75">
      <c r="A15" s="68"/>
      <c r="B15" s="268" t="s">
        <v>52</v>
      </c>
      <c r="C15" s="260" t="s">
        <v>53</v>
      </c>
      <c r="D15" s="66" t="s">
        <v>19</v>
      </c>
      <c r="E15" s="66">
        <v>9.2</v>
      </c>
      <c r="F15" s="66">
        <f>TRUNC(2.46,2)</f>
        <v>2.46</v>
      </c>
      <c r="G15" s="66">
        <f t="shared" si="0"/>
        <v>22.63</v>
      </c>
    </row>
    <row r="16" spans="1:7" s="66" customFormat="1" ht="18.75">
      <c r="A16" s="68"/>
      <c r="B16" s="268" t="s">
        <v>54</v>
      </c>
      <c r="C16" s="260" t="s">
        <v>55</v>
      </c>
      <c r="D16" s="66" t="s">
        <v>56</v>
      </c>
      <c r="E16" s="66">
        <v>0.2</v>
      </c>
      <c r="F16" s="66">
        <f>TRUNC(56.75,2)</f>
        <v>56.75</v>
      </c>
      <c r="G16" s="66">
        <f t="shared" si="0"/>
        <v>11.35</v>
      </c>
    </row>
    <row r="17" spans="1:7" s="66" customFormat="1" ht="30">
      <c r="A17" s="68"/>
      <c r="B17" s="268" t="s">
        <v>57</v>
      </c>
      <c r="C17" s="260" t="s">
        <v>58</v>
      </c>
      <c r="D17" s="66" t="s">
        <v>30</v>
      </c>
      <c r="E17" s="66">
        <v>5</v>
      </c>
      <c r="F17" s="66">
        <f>TRUNC(6.1635,2)</f>
        <v>6.16</v>
      </c>
      <c r="G17" s="66">
        <f t="shared" si="0"/>
        <v>30.8</v>
      </c>
    </row>
    <row r="18" spans="1:7" s="66" customFormat="1" ht="30">
      <c r="A18" s="68"/>
      <c r="B18" s="268" t="s">
        <v>243</v>
      </c>
      <c r="C18" s="260" t="s">
        <v>244</v>
      </c>
      <c r="D18" s="66" t="s">
        <v>61</v>
      </c>
      <c r="E18" s="66">
        <v>2.06</v>
      </c>
      <c r="F18" s="66">
        <f>TRUNC(12.54,2)</f>
        <v>12.54</v>
      </c>
      <c r="G18" s="66">
        <f t="shared" si="0"/>
        <v>25.83</v>
      </c>
    </row>
    <row r="19" spans="1:7" s="66" customFormat="1" ht="18.75">
      <c r="A19" s="68"/>
      <c r="B19" s="268" t="s">
        <v>245</v>
      </c>
      <c r="C19" s="260" t="s">
        <v>246</v>
      </c>
      <c r="D19" s="66" t="s">
        <v>61</v>
      </c>
      <c r="E19" s="66">
        <v>4.12</v>
      </c>
      <c r="F19" s="66">
        <f>TRUNC(17.3,2)</f>
        <v>17.3</v>
      </c>
      <c r="G19" s="66">
        <f t="shared" si="0"/>
        <v>71.27</v>
      </c>
    </row>
    <row r="20" spans="1:7" s="66" customFormat="1" ht="30">
      <c r="A20" s="68"/>
      <c r="B20" s="268" t="s">
        <v>247</v>
      </c>
      <c r="C20" s="260" t="s">
        <v>248</v>
      </c>
      <c r="D20" s="66" t="s">
        <v>61</v>
      </c>
      <c r="E20" s="66">
        <v>2.06</v>
      </c>
      <c r="F20" s="66">
        <f>TRUNC(18.63,2)</f>
        <v>18.63</v>
      </c>
      <c r="G20" s="66">
        <f t="shared" si="0"/>
        <v>38.37</v>
      </c>
    </row>
    <row r="21" spans="1:7" s="66" customFormat="1" ht="18.75">
      <c r="A21" s="68"/>
      <c r="B21" s="268" t="s">
        <v>249</v>
      </c>
      <c r="C21" s="260" t="s">
        <v>250</v>
      </c>
      <c r="D21" s="66" t="s">
        <v>61</v>
      </c>
      <c r="E21" s="66">
        <v>1</v>
      </c>
      <c r="F21" s="66">
        <f>TRUNC(94.0368,2)</f>
        <v>94.03</v>
      </c>
      <c r="G21" s="66">
        <f t="shared" si="0"/>
        <v>94.03</v>
      </c>
    </row>
    <row r="22" spans="1:7" s="66" customFormat="1" ht="18.75">
      <c r="A22" s="68"/>
      <c r="B22" s="268"/>
      <c r="C22" s="260"/>
      <c r="E22" s="66" t="s">
        <v>62</v>
      </c>
      <c r="G22" s="66">
        <f>TRUNC(SUM(G14:G21),2)</f>
        <v>296.79</v>
      </c>
    </row>
    <row r="23" spans="1:7" s="10" customFormat="1" ht="18.75">
      <c r="A23" s="283" t="s">
        <v>958</v>
      </c>
      <c r="B23" s="284"/>
      <c r="C23" s="285" t="s">
        <v>29</v>
      </c>
      <c r="D23" s="281"/>
      <c r="E23" s="281"/>
      <c r="F23" s="281"/>
      <c r="G23" s="281"/>
    </row>
    <row r="24" spans="1:7" s="10" customFormat="1" ht="18.75">
      <c r="A24" s="33" t="s">
        <v>959</v>
      </c>
      <c r="B24" s="169" t="s">
        <v>429</v>
      </c>
      <c r="C24" s="331" t="s">
        <v>281</v>
      </c>
      <c r="D24" s="15" t="s">
        <v>16</v>
      </c>
      <c r="E24" s="15">
        <v>1</v>
      </c>
      <c r="F24" s="15">
        <f>G26</f>
        <v>1.5</v>
      </c>
      <c r="G24" s="15">
        <f>TRUNC(E24*F24,2)</f>
        <v>1.5</v>
      </c>
    </row>
    <row r="25" spans="1:7" s="10" customFormat="1" ht="18.75">
      <c r="A25" s="30"/>
      <c r="B25" s="110" t="s">
        <v>254</v>
      </c>
      <c r="C25" s="246" t="s">
        <v>65</v>
      </c>
      <c r="D25" s="10" t="s">
        <v>61</v>
      </c>
      <c r="E25" s="10">
        <v>0.08</v>
      </c>
      <c r="F25" s="10">
        <v>18.78</v>
      </c>
      <c r="G25" s="10">
        <f>TRUNC(E25*F25,2)</f>
        <v>1.5</v>
      </c>
    </row>
    <row r="26" spans="1:7" s="10" customFormat="1" ht="18.75">
      <c r="A26" s="30"/>
      <c r="B26" s="110"/>
      <c r="C26" s="246"/>
      <c r="E26" s="10" t="s">
        <v>62</v>
      </c>
      <c r="G26" s="10">
        <f>TRUNC(SUM(G25:G25),2)</f>
        <v>1.5</v>
      </c>
    </row>
    <row r="27" spans="1:3" s="10" customFormat="1" ht="18.75">
      <c r="A27" s="30"/>
      <c r="B27" s="110"/>
      <c r="C27" s="246"/>
    </row>
    <row r="28" spans="1:7" s="10" customFormat="1" ht="30">
      <c r="A28" s="33" t="s">
        <v>960</v>
      </c>
      <c r="B28" s="169" t="s">
        <v>430</v>
      </c>
      <c r="C28" s="331" t="s">
        <v>647</v>
      </c>
      <c r="D28" s="15" t="s">
        <v>20</v>
      </c>
      <c r="E28" s="15">
        <v>1</v>
      </c>
      <c r="F28" s="15">
        <f>TRUNC(176.3772,2)</f>
        <v>176.37</v>
      </c>
      <c r="G28" s="15">
        <f>TRUNC(E28*F28,2)</f>
        <v>176.37</v>
      </c>
    </row>
    <row r="29" spans="1:7" s="10" customFormat="1" ht="30">
      <c r="A29" s="30"/>
      <c r="B29" s="110" t="s">
        <v>243</v>
      </c>
      <c r="C29" s="246" t="s">
        <v>244</v>
      </c>
      <c r="D29" s="10" t="s">
        <v>61</v>
      </c>
      <c r="E29" s="10">
        <v>12.36</v>
      </c>
      <c r="F29" s="10">
        <f>TRUNC(12.54,2)</f>
        <v>12.54</v>
      </c>
      <c r="G29" s="10">
        <f>TRUNC(E29*F29,2)</f>
        <v>154.99</v>
      </c>
    </row>
    <row r="30" spans="1:7" s="10" customFormat="1" ht="18.75">
      <c r="A30" s="30"/>
      <c r="B30" s="110" t="s">
        <v>251</v>
      </c>
      <c r="C30" s="246" t="s">
        <v>252</v>
      </c>
      <c r="D30" s="10" t="s">
        <v>61</v>
      </c>
      <c r="E30" s="10">
        <v>1.236</v>
      </c>
      <c r="F30" s="10">
        <f>TRUNC(17.3,2)</f>
        <v>17.3</v>
      </c>
      <c r="G30" s="10">
        <f>TRUNC(E30*F30,2)</f>
        <v>21.38</v>
      </c>
    </row>
    <row r="31" spans="1:7" s="10" customFormat="1" ht="18.75">
      <c r="A31" s="30"/>
      <c r="B31" s="110"/>
      <c r="C31" s="246"/>
      <c r="E31" s="10" t="s">
        <v>62</v>
      </c>
      <c r="G31" s="10">
        <f>TRUNC(SUM(G29:G30),2)</f>
        <v>176.37</v>
      </c>
    </row>
    <row r="32" spans="1:3" s="10" customFormat="1" ht="18.75">
      <c r="A32" s="30"/>
      <c r="B32" s="110"/>
      <c r="C32" s="246"/>
    </row>
    <row r="33" spans="1:7" s="10" customFormat="1" ht="18.75">
      <c r="A33" s="33" t="s">
        <v>961</v>
      </c>
      <c r="B33" s="169" t="s">
        <v>522</v>
      </c>
      <c r="C33" s="331" t="s">
        <v>521</v>
      </c>
      <c r="D33" s="15" t="s">
        <v>20</v>
      </c>
      <c r="E33" s="15">
        <v>1</v>
      </c>
      <c r="F33" s="15">
        <f>G35</f>
        <v>45.04</v>
      </c>
      <c r="G33" s="15">
        <f>TRUNC(E33*F33,2)</f>
        <v>45.04</v>
      </c>
    </row>
    <row r="34" spans="1:7" s="10" customFormat="1" ht="18.75">
      <c r="A34" s="30"/>
      <c r="B34" s="110" t="s">
        <v>254</v>
      </c>
      <c r="C34" s="246" t="s">
        <v>65</v>
      </c>
      <c r="D34" s="10" t="s">
        <v>61</v>
      </c>
      <c r="E34" s="10">
        <v>2.3986</v>
      </c>
      <c r="F34" s="10">
        <f>F25</f>
        <v>18.78</v>
      </c>
      <c r="G34" s="10">
        <f>TRUNC(E34*F34,2)</f>
        <v>45.04</v>
      </c>
    </row>
    <row r="35" spans="1:7" s="10" customFormat="1" ht="18.75">
      <c r="A35" s="30"/>
      <c r="B35" s="110"/>
      <c r="C35" s="246"/>
      <c r="E35" s="10" t="s">
        <v>62</v>
      </c>
      <c r="G35" s="10">
        <f>TRUNC(SUM(G34:G34),2)</f>
        <v>45.04</v>
      </c>
    </row>
    <row r="36" spans="1:3" s="10" customFormat="1" ht="18.75">
      <c r="A36" s="30"/>
      <c r="B36" s="110"/>
      <c r="C36" s="246"/>
    </row>
    <row r="37" spans="1:7" s="10" customFormat="1" ht="45">
      <c r="A37" s="33" t="s">
        <v>962</v>
      </c>
      <c r="B37" s="169" t="s">
        <v>482</v>
      </c>
      <c r="C37" s="331" t="s">
        <v>478</v>
      </c>
      <c r="D37" s="15" t="s">
        <v>20</v>
      </c>
      <c r="E37" s="15">
        <v>1</v>
      </c>
      <c r="F37" s="15">
        <f>G41</f>
        <v>1.7</v>
      </c>
      <c r="G37" s="15">
        <f>TRUNC(E37*F37,2)</f>
        <v>1.7</v>
      </c>
    </row>
    <row r="38" spans="1:7" s="10" customFormat="1" ht="18.75">
      <c r="A38" s="30"/>
      <c r="B38" s="110" t="s">
        <v>254</v>
      </c>
      <c r="C38" s="246" t="s">
        <v>65</v>
      </c>
      <c r="D38" s="10" t="s">
        <v>61</v>
      </c>
      <c r="E38" s="10">
        <v>0.008</v>
      </c>
      <c r="F38" s="10">
        <f>F34</f>
        <v>18.78</v>
      </c>
      <c r="G38" s="10">
        <f>TRUNC(E38*F38,2)</f>
        <v>0.15</v>
      </c>
    </row>
    <row r="39" spans="1:7" s="10" customFormat="1" ht="30">
      <c r="A39" s="30"/>
      <c r="B39" s="110" t="s">
        <v>484</v>
      </c>
      <c r="C39" s="246" t="s">
        <v>485</v>
      </c>
      <c r="D39" s="10" t="s">
        <v>68</v>
      </c>
      <c r="E39" s="10">
        <v>0.008</v>
      </c>
      <c r="F39" s="10">
        <f>TRUNC(135.63,2)</f>
        <v>135.63</v>
      </c>
      <c r="G39" s="10">
        <f>TRUNC(E39*F39,2)</f>
        <v>1.08</v>
      </c>
    </row>
    <row r="40" spans="1:7" s="10" customFormat="1" ht="45">
      <c r="A40" s="30"/>
      <c r="B40" s="110" t="s">
        <v>257</v>
      </c>
      <c r="C40" s="246" t="s">
        <v>258</v>
      </c>
      <c r="D40" s="10" t="s">
        <v>68</v>
      </c>
      <c r="E40" s="10">
        <v>0.003</v>
      </c>
      <c r="F40" s="10">
        <f>TRUNC(157.23,2)</f>
        <v>157.23</v>
      </c>
      <c r="G40" s="10">
        <f>TRUNC(E40*F40,2)</f>
        <v>0.47</v>
      </c>
    </row>
    <row r="41" spans="1:7" s="10" customFormat="1" ht="18.75">
      <c r="A41" s="30"/>
      <c r="B41" s="110"/>
      <c r="C41" s="246"/>
      <c r="E41" s="10" t="s">
        <v>62</v>
      </c>
      <c r="G41" s="10">
        <f>TRUNC(SUM(G38:G40),2)</f>
        <v>1.7</v>
      </c>
    </row>
    <row r="42" spans="1:3" s="10" customFormat="1" ht="18.75">
      <c r="A42" s="30"/>
      <c r="B42" s="110"/>
      <c r="C42" s="246"/>
    </row>
    <row r="43" spans="1:7" s="10" customFormat="1" ht="30">
      <c r="A43" s="33" t="s">
        <v>963</v>
      </c>
      <c r="B43" s="169" t="s">
        <v>648</v>
      </c>
      <c r="C43" s="331" t="s">
        <v>623</v>
      </c>
      <c r="D43" s="15" t="s">
        <v>23</v>
      </c>
      <c r="E43" s="15">
        <v>1</v>
      </c>
      <c r="F43" s="15">
        <f>G46</f>
        <v>1.48</v>
      </c>
      <c r="G43" s="15">
        <f>TRUNC(E43*F43,2)</f>
        <v>1.48</v>
      </c>
    </row>
    <row r="44" spans="1:7" s="10" customFormat="1" ht="45">
      <c r="A44" s="30"/>
      <c r="B44" s="110" t="s">
        <v>649</v>
      </c>
      <c r="C44" s="246" t="s">
        <v>624</v>
      </c>
      <c r="D44" s="10" t="s">
        <v>67</v>
      </c>
      <c r="E44" s="10">
        <v>0.0026</v>
      </c>
      <c r="F44" s="10">
        <f>TRUNC(33.15,2)</f>
        <v>33.15</v>
      </c>
      <c r="G44" s="10">
        <f>TRUNC(E44*F44,2)</f>
        <v>0.08</v>
      </c>
    </row>
    <row r="45" spans="1:7" s="10" customFormat="1" ht="45">
      <c r="A45" s="30"/>
      <c r="B45" s="110" t="s">
        <v>650</v>
      </c>
      <c r="C45" s="246" t="s">
        <v>625</v>
      </c>
      <c r="D45" s="10" t="s">
        <v>68</v>
      </c>
      <c r="E45" s="10">
        <v>0.01042</v>
      </c>
      <c r="F45" s="10">
        <f>TRUNC(135.24,2)</f>
        <v>135.24</v>
      </c>
      <c r="G45" s="10">
        <f>TRUNC(E45*F45,2)</f>
        <v>1.4</v>
      </c>
    </row>
    <row r="46" spans="1:7" s="10" customFormat="1" ht="18.75">
      <c r="A46" s="30"/>
      <c r="B46" s="110"/>
      <c r="C46" s="246"/>
      <c r="E46" s="10" t="s">
        <v>62</v>
      </c>
      <c r="G46" s="10">
        <f>TRUNC(SUM(G44:G45),2)</f>
        <v>1.48</v>
      </c>
    </row>
    <row r="47" spans="1:3" s="10" customFormat="1" ht="18.75">
      <c r="A47" s="30"/>
      <c r="B47" s="110"/>
      <c r="C47" s="246"/>
    </row>
    <row r="48" spans="1:7" s="10" customFormat="1" ht="18.75">
      <c r="A48" s="33" t="s">
        <v>964</v>
      </c>
      <c r="B48" s="169" t="s">
        <v>483</v>
      </c>
      <c r="C48" s="331" t="s">
        <v>479</v>
      </c>
      <c r="D48" s="15" t="s">
        <v>20</v>
      </c>
      <c r="E48" s="15">
        <v>1</v>
      </c>
      <c r="F48" s="15">
        <f>G52</f>
        <v>1.62</v>
      </c>
      <c r="G48" s="15">
        <f>TRUNC(E48*F48,2)</f>
        <v>1.62</v>
      </c>
    </row>
    <row r="49" spans="1:7" s="10" customFormat="1" ht="18.75">
      <c r="A49" s="30"/>
      <c r="B49" s="110" t="s">
        <v>254</v>
      </c>
      <c r="C49" s="246" t="s">
        <v>65</v>
      </c>
      <c r="D49" s="10" t="s">
        <v>61</v>
      </c>
      <c r="E49" s="10">
        <v>0.0113</v>
      </c>
      <c r="F49" s="10">
        <f>TRUNC(18.78,2)</f>
        <v>18.78</v>
      </c>
      <c r="G49" s="10">
        <f>TRUNC(E49*F49,2)</f>
        <v>0.21</v>
      </c>
    </row>
    <row r="50" spans="1:7" s="10" customFormat="1" ht="30">
      <c r="A50" s="30"/>
      <c r="B50" s="110" t="s">
        <v>486</v>
      </c>
      <c r="C50" s="246" t="s">
        <v>480</v>
      </c>
      <c r="D50" s="10" t="s">
        <v>67</v>
      </c>
      <c r="E50" s="10">
        <v>0.0034</v>
      </c>
      <c r="F50" s="10">
        <f>TRUNC(52.52,2)</f>
        <v>52.52</v>
      </c>
      <c r="G50" s="10">
        <f>TRUNC(E50*F50,2)</f>
        <v>0.17</v>
      </c>
    </row>
    <row r="51" spans="1:7" s="10" customFormat="1" ht="30">
      <c r="A51" s="30"/>
      <c r="B51" s="110" t="s">
        <v>487</v>
      </c>
      <c r="C51" s="246" t="s">
        <v>481</v>
      </c>
      <c r="D51" s="10" t="s">
        <v>68</v>
      </c>
      <c r="E51" s="10">
        <v>0.0079</v>
      </c>
      <c r="F51" s="10">
        <f>TRUNC(157.02,2)</f>
        <v>157.02</v>
      </c>
      <c r="G51" s="10">
        <f>TRUNC(E51*F51,2)</f>
        <v>1.24</v>
      </c>
    </row>
    <row r="52" spans="1:7" s="10" customFormat="1" ht="18.75">
      <c r="A52" s="30"/>
      <c r="B52" s="110"/>
      <c r="C52" s="246"/>
      <c r="E52" s="10" t="s">
        <v>62</v>
      </c>
      <c r="G52" s="10">
        <f>TRUNC(SUM(G49:G51),2)</f>
        <v>1.62</v>
      </c>
    </row>
    <row r="53" spans="1:7" s="10" customFormat="1" ht="18.75">
      <c r="A53" s="278" t="s">
        <v>965</v>
      </c>
      <c r="B53" s="279"/>
      <c r="C53" s="280" t="s">
        <v>18</v>
      </c>
      <c r="D53" s="281"/>
      <c r="E53" s="281"/>
      <c r="F53" s="281"/>
      <c r="G53" s="281"/>
    </row>
    <row r="54" spans="1:7" s="10" customFormat="1" ht="45">
      <c r="A54" s="276" t="s">
        <v>966</v>
      </c>
      <c r="B54" s="125" t="s">
        <v>259</v>
      </c>
      <c r="C54" s="330" t="s">
        <v>428</v>
      </c>
      <c r="D54" s="15" t="s">
        <v>16</v>
      </c>
      <c r="E54" s="15">
        <v>1</v>
      </c>
      <c r="F54" s="15">
        <f>G57</f>
        <v>12.6</v>
      </c>
      <c r="G54" s="15">
        <f>TRUNC(E54*F54,2)</f>
        <v>12.6</v>
      </c>
    </row>
    <row r="55" spans="1:7" s="10" customFormat="1" ht="30">
      <c r="A55" s="16"/>
      <c r="B55" s="110" t="s">
        <v>243</v>
      </c>
      <c r="C55" s="64" t="s">
        <v>244</v>
      </c>
      <c r="D55" s="10" t="s">
        <v>61</v>
      </c>
      <c r="E55" s="10">
        <v>0.721</v>
      </c>
      <c r="F55" s="10">
        <v>12.54</v>
      </c>
      <c r="G55" s="10">
        <f>TRUNC(E55*F55,2)</f>
        <v>9.04</v>
      </c>
    </row>
    <row r="56" spans="1:7" s="10" customFormat="1" ht="18.75">
      <c r="A56" s="16"/>
      <c r="B56" s="110" t="s">
        <v>251</v>
      </c>
      <c r="C56" s="64" t="s">
        <v>252</v>
      </c>
      <c r="D56" s="10" t="s">
        <v>61</v>
      </c>
      <c r="E56" s="10">
        <v>0.20600000000000002</v>
      </c>
      <c r="F56" s="10">
        <v>17.3</v>
      </c>
      <c r="G56" s="10">
        <f>TRUNC(E56*F56,2)</f>
        <v>3.56</v>
      </c>
    </row>
    <row r="57" spans="1:7" s="10" customFormat="1" ht="18.75">
      <c r="A57" s="16"/>
      <c r="B57" s="267"/>
      <c r="C57" s="245"/>
      <c r="E57" s="10" t="s">
        <v>62</v>
      </c>
      <c r="G57" s="10">
        <f>TRUNC(SUM(G55:G56),2)</f>
        <v>12.6</v>
      </c>
    </row>
    <row r="58" spans="1:3" s="10" customFormat="1" ht="18.75">
      <c r="A58" s="16"/>
      <c r="B58" s="267"/>
      <c r="C58" s="245"/>
    </row>
    <row r="59" spans="1:7" s="10" customFormat="1" ht="30">
      <c r="A59" s="33" t="s">
        <v>967</v>
      </c>
      <c r="B59" s="169" t="s">
        <v>253</v>
      </c>
      <c r="C59" s="331" t="s">
        <v>195</v>
      </c>
      <c r="D59" s="15" t="s">
        <v>20</v>
      </c>
      <c r="E59" s="15">
        <v>1</v>
      </c>
      <c r="F59" s="15">
        <f>G62</f>
        <v>48.96</v>
      </c>
      <c r="G59" s="15">
        <f>TRUNC(E59*F59,2)</f>
        <v>48.96</v>
      </c>
    </row>
    <row r="60" spans="1:7" s="10" customFormat="1" ht="18.75">
      <c r="A60" s="30"/>
      <c r="B60" s="110" t="s">
        <v>254</v>
      </c>
      <c r="C60" s="246" t="s">
        <v>65</v>
      </c>
      <c r="D60" s="10" t="s">
        <v>61</v>
      </c>
      <c r="E60" s="10">
        <v>2.3248</v>
      </c>
      <c r="F60" s="10">
        <f>TRUNC(18.78,2)</f>
        <v>18.78</v>
      </c>
      <c r="G60" s="10">
        <f>TRUNC(E60*F60,2)</f>
        <v>43.65</v>
      </c>
    </row>
    <row r="61" spans="1:7" s="10" customFormat="1" ht="18.75">
      <c r="A61" s="30"/>
      <c r="B61" s="110" t="s">
        <v>255</v>
      </c>
      <c r="C61" s="246" t="s">
        <v>131</v>
      </c>
      <c r="D61" s="10" t="s">
        <v>61</v>
      </c>
      <c r="E61" s="10">
        <v>0.225</v>
      </c>
      <c r="F61" s="10">
        <f>TRUNC(23.61,2)</f>
        <v>23.61</v>
      </c>
      <c r="G61" s="10">
        <f>TRUNC(E61*F61,2)</f>
        <v>5.31</v>
      </c>
    </row>
    <row r="62" spans="1:7" s="10" customFormat="1" ht="18.75">
      <c r="A62" s="30"/>
      <c r="B62" s="110"/>
      <c r="C62" s="246"/>
      <c r="E62" s="10" t="s">
        <v>62</v>
      </c>
      <c r="G62" s="10">
        <f>TRUNC(SUM(G60:G61),2)</f>
        <v>48.96</v>
      </c>
    </row>
    <row r="63" spans="1:3" s="10" customFormat="1" ht="18.75">
      <c r="A63" s="30"/>
      <c r="B63" s="110"/>
      <c r="C63" s="246"/>
    </row>
    <row r="64" spans="1:7" s="10" customFormat="1" ht="30">
      <c r="A64" s="33" t="s">
        <v>968</v>
      </c>
      <c r="B64" s="169" t="s">
        <v>651</v>
      </c>
      <c r="C64" s="331" t="s">
        <v>256</v>
      </c>
      <c r="D64" s="15" t="s">
        <v>20</v>
      </c>
      <c r="E64" s="15">
        <v>1</v>
      </c>
      <c r="F64" s="15">
        <f>G68</f>
        <v>507.58</v>
      </c>
      <c r="G64" s="15">
        <f>TRUNC(E64*F64,2)</f>
        <v>507.58</v>
      </c>
    </row>
    <row r="65" spans="1:7" s="10" customFormat="1" ht="30">
      <c r="A65" s="30"/>
      <c r="B65" s="110" t="s">
        <v>652</v>
      </c>
      <c r="C65" s="246" t="s">
        <v>626</v>
      </c>
      <c r="D65" s="10" t="s">
        <v>30</v>
      </c>
      <c r="E65" s="10">
        <v>0.2835</v>
      </c>
      <c r="F65" s="10">
        <f>TRUNC(9.48,2)</f>
        <v>9.48</v>
      </c>
      <c r="G65" s="10">
        <f>TRUNC(E65*F65,2)</f>
        <v>2.68</v>
      </c>
    </row>
    <row r="66" spans="1:7" s="10" customFormat="1" ht="18.75">
      <c r="A66" s="30"/>
      <c r="B66" s="110" t="s">
        <v>254</v>
      </c>
      <c r="C66" s="246" t="s">
        <v>65</v>
      </c>
      <c r="D66" s="10" t="s">
        <v>61</v>
      </c>
      <c r="E66" s="10">
        <v>23.9693</v>
      </c>
      <c r="F66" s="10">
        <f>TRUNC(18.78,2)</f>
        <v>18.78</v>
      </c>
      <c r="G66" s="10">
        <f>TRUNC(E66*F66,2)</f>
        <v>450.14</v>
      </c>
    </row>
    <row r="67" spans="1:7" s="10" customFormat="1" ht="18.75">
      <c r="A67" s="30"/>
      <c r="B67" s="110" t="s">
        <v>255</v>
      </c>
      <c r="C67" s="246" t="s">
        <v>131</v>
      </c>
      <c r="D67" s="10" t="s">
        <v>61</v>
      </c>
      <c r="E67" s="10">
        <v>2.3196</v>
      </c>
      <c r="F67" s="10">
        <f>TRUNC(23.61,2)</f>
        <v>23.61</v>
      </c>
      <c r="G67" s="10">
        <f>TRUNC(E67*F67,2)</f>
        <v>54.76</v>
      </c>
    </row>
    <row r="68" spans="1:7" s="10" customFormat="1" ht="18.75">
      <c r="A68" s="30"/>
      <c r="B68" s="110"/>
      <c r="C68" s="246"/>
      <c r="E68" s="10" t="s">
        <v>62</v>
      </c>
      <c r="G68" s="10">
        <f>TRUNC(SUM(G65:G67),2)</f>
        <v>507.58</v>
      </c>
    </row>
    <row r="69" spans="1:3" s="10" customFormat="1" ht="18.75">
      <c r="A69" s="30"/>
      <c r="B69" s="110"/>
      <c r="C69" s="246"/>
    </row>
    <row r="70" spans="1:7" s="10" customFormat="1" ht="30">
      <c r="A70" s="33" t="s">
        <v>969</v>
      </c>
      <c r="B70" s="169" t="s">
        <v>430</v>
      </c>
      <c r="C70" s="331" t="s">
        <v>647</v>
      </c>
      <c r="D70" s="15" t="s">
        <v>20</v>
      </c>
      <c r="E70" s="15">
        <v>1</v>
      </c>
      <c r="F70" s="15">
        <f>TRUNC(176.3772,2)</f>
        <v>176.37</v>
      </c>
      <c r="G70" s="15">
        <f>TRUNC(E70*F70,2)</f>
        <v>176.37</v>
      </c>
    </row>
    <row r="71" spans="1:7" s="10" customFormat="1" ht="30">
      <c r="A71" s="30"/>
      <c r="B71" s="110" t="s">
        <v>243</v>
      </c>
      <c r="C71" s="246" t="s">
        <v>244</v>
      </c>
      <c r="D71" s="10" t="s">
        <v>61</v>
      </c>
      <c r="E71" s="10">
        <v>12.36</v>
      </c>
      <c r="F71" s="10">
        <f>TRUNC(12.54,2)</f>
        <v>12.54</v>
      </c>
      <c r="G71" s="10">
        <f>TRUNC(E71*F71,2)</f>
        <v>154.99</v>
      </c>
    </row>
    <row r="72" spans="1:7" s="10" customFormat="1" ht="18.75">
      <c r="A72" s="30"/>
      <c r="B72" s="110" t="s">
        <v>251</v>
      </c>
      <c r="C72" s="246" t="s">
        <v>252</v>
      </c>
      <c r="D72" s="10" t="s">
        <v>61</v>
      </c>
      <c r="E72" s="10">
        <v>1.236</v>
      </c>
      <c r="F72" s="10">
        <f>TRUNC(17.3,2)</f>
        <v>17.3</v>
      </c>
      <c r="G72" s="10">
        <f>TRUNC(E72*F72,2)</f>
        <v>21.38</v>
      </c>
    </row>
    <row r="73" spans="1:7" s="10" customFormat="1" ht="18.75">
      <c r="A73" s="30"/>
      <c r="B73" s="110"/>
      <c r="C73" s="246"/>
      <c r="E73" s="10" t="s">
        <v>62</v>
      </c>
      <c r="G73" s="10">
        <f>TRUNC(SUM(G71:G72),2)</f>
        <v>176.37</v>
      </c>
    </row>
    <row r="74" spans="1:3" s="10" customFormat="1" ht="18.75">
      <c r="A74" s="30"/>
      <c r="B74" s="110"/>
      <c r="C74" s="246"/>
    </row>
    <row r="75" spans="1:7" s="10" customFormat="1" ht="31.5">
      <c r="A75" s="33" t="s">
        <v>970</v>
      </c>
      <c r="B75" s="118" t="s">
        <v>653</v>
      </c>
      <c r="C75" s="331" t="s">
        <v>196</v>
      </c>
      <c r="D75" s="15" t="s">
        <v>16</v>
      </c>
      <c r="E75" s="15">
        <v>1</v>
      </c>
      <c r="F75" s="15">
        <f>G78</f>
        <v>19.85</v>
      </c>
      <c r="G75" s="15">
        <f>TRUNC(E75*F75,2)</f>
        <v>19.85</v>
      </c>
    </row>
    <row r="76" spans="1:7" s="10" customFormat="1" ht="18.75">
      <c r="A76" s="30"/>
      <c r="B76" s="110" t="s">
        <v>254</v>
      </c>
      <c r="C76" s="246" t="s">
        <v>65</v>
      </c>
      <c r="D76" s="10" t="s">
        <v>61</v>
      </c>
      <c r="E76" s="10">
        <v>0.7195</v>
      </c>
      <c r="F76" s="10">
        <f>TRUNC(18.78,2)</f>
        <v>18.78</v>
      </c>
      <c r="G76" s="10">
        <f>TRUNC(E76*F76,2)</f>
        <v>13.51</v>
      </c>
    </row>
    <row r="77" spans="1:7" s="10" customFormat="1" ht="18.75">
      <c r="A77" s="30"/>
      <c r="B77" s="110" t="s">
        <v>654</v>
      </c>
      <c r="C77" s="246" t="s">
        <v>194</v>
      </c>
      <c r="D77" s="10" t="s">
        <v>61</v>
      </c>
      <c r="E77" s="10">
        <v>0.2553</v>
      </c>
      <c r="F77" s="10">
        <f>TRUNC(24.84,2)</f>
        <v>24.84</v>
      </c>
      <c r="G77" s="10">
        <f>TRUNC(E77*F77,2)</f>
        <v>6.34</v>
      </c>
    </row>
    <row r="78" spans="1:7" s="10" customFormat="1" ht="18.75">
      <c r="A78" s="30"/>
      <c r="B78" s="110"/>
      <c r="C78" s="246"/>
      <c r="E78" s="10" t="s">
        <v>62</v>
      </c>
      <c r="G78" s="10">
        <f>TRUNC(SUM(G76:G77),2)</f>
        <v>19.85</v>
      </c>
    </row>
    <row r="79" spans="1:7" s="10" customFormat="1" ht="18.75">
      <c r="A79" s="30"/>
      <c r="B79" s="269"/>
      <c r="C79" s="246"/>
      <c r="D79" s="18"/>
      <c r="E79" s="18"/>
      <c r="F79" s="18"/>
      <c r="G79" s="18"/>
    </row>
    <row r="80" spans="1:7" s="10" customFormat="1" ht="18.75">
      <c r="A80" s="33" t="s">
        <v>971</v>
      </c>
      <c r="B80" s="121" t="s">
        <v>655</v>
      </c>
      <c r="C80" s="331" t="s">
        <v>283</v>
      </c>
      <c r="D80" s="289" t="s">
        <v>16</v>
      </c>
      <c r="E80" s="289">
        <v>1</v>
      </c>
      <c r="F80" s="289">
        <f>G83</f>
        <v>2.85</v>
      </c>
      <c r="G80" s="289">
        <f>TRUNC(E80*F80,2)</f>
        <v>2.85</v>
      </c>
    </row>
    <row r="81" spans="1:7" s="10" customFormat="1" ht="18.75">
      <c r="A81" s="30"/>
      <c r="B81" s="269" t="s">
        <v>254</v>
      </c>
      <c r="C81" s="246" t="s">
        <v>65</v>
      </c>
      <c r="D81" s="18" t="s">
        <v>61</v>
      </c>
      <c r="E81" s="18">
        <v>0.1053</v>
      </c>
      <c r="F81" s="10">
        <f>TRUNC(18.78,2)</f>
        <v>18.78</v>
      </c>
      <c r="G81" s="18">
        <f>TRUNC(E81*F81,2)</f>
        <v>1.97</v>
      </c>
    </row>
    <row r="82" spans="1:7" s="10" customFormat="1" ht="18.75">
      <c r="A82" s="30"/>
      <c r="B82" s="269" t="s">
        <v>255</v>
      </c>
      <c r="C82" s="246" t="s">
        <v>131</v>
      </c>
      <c r="D82" s="18" t="s">
        <v>61</v>
      </c>
      <c r="E82" s="18">
        <v>0.0374</v>
      </c>
      <c r="F82" s="10">
        <f>TRUNC(23.61,2)</f>
        <v>23.61</v>
      </c>
      <c r="G82" s="18">
        <f>TRUNC(E82*F82,2)</f>
        <v>0.88</v>
      </c>
    </row>
    <row r="83" spans="1:7" s="10" customFormat="1" ht="18.75">
      <c r="A83" s="30"/>
      <c r="B83" s="269"/>
      <c r="C83" s="246"/>
      <c r="D83" s="18"/>
      <c r="E83" s="18" t="s">
        <v>62</v>
      </c>
      <c r="F83" s="18"/>
      <c r="G83" s="18">
        <f>TRUNC(SUM(G81:G82),2)</f>
        <v>2.85</v>
      </c>
    </row>
    <row r="84" spans="1:7" s="10" customFormat="1" ht="18.75">
      <c r="A84" s="30"/>
      <c r="B84" s="269"/>
      <c r="C84" s="246"/>
      <c r="D84" s="18"/>
      <c r="E84" s="18"/>
      <c r="F84" s="18"/>
      <c r="G84" s="18"/>
    </row>
    <row r="85" spans="1:7" s="66" customFormat="1" ht="41.25" customHeight="1">
      <c r="A85" s="297" t="s">
        <v>972</v>
      </c>
      <c r="B85" s="301" t="s">
        <v>656</v>
      </c>
      <c r="C85" s="299" t="s">
        <v>471</v>
      </c>
      <c r="D85" s="293" t="s">
        <v>16</v>
      </c>
      <c r="E85" s="293">
        <v>1</v>
      </c>
      <c r="F85" s="293">
        <f>G88</f>
        <v>4.3</v>
      </c>
      <c r="G85" s="293">
        <f>TRUNC(E85*F85,2)</f>
        <v>4.3</v>
      </c>
    </row>
    <row r="86" spans="1:7" s="66" customFormat="1" ht="18.75">
      <c r="A86" s="68"/>
      <c r="B86" s="288" t="s">
        <v>254</v>
      </c>
      <c r="C86" s="260" t="s">
        <v>65</v>
      </c>
      <c r="D86" s="65" t="s">
        <v>61</v>
      </c>
      <c r="E86" s="65">
        <v>0.1401</v>
      </c>
      <c r="F86" s="65">
        <f>TRUNC(18.78,2)</f>
        <v>18.78</v>
      </c>
      <c r="G86" s="65">
        <f>TRUNC(E86*F86,2)</f>
        <v>2.63</v>
      </c>
    </row>
    <row r="87" spans="1:7" s="66" customFormat="1" ht="18.75">
      <c r="A87" s="68"/>
      <c r="B87" s="288" t="s">
        <v>657</v>
      </c>
      <c r="C87" s="260" t="s">
        <v>472</v>
      </c>
      <c r="D87" s="65" t="s">
        <v>61</v>
      </c>
      <c r="E87" s="65">
        <v>0.0713</v>
      </c>
      <c r="F87" s="65">
        <f>TRUNC(23.48,2)</f>
        <v>23.48</v>
      </c>
      <c r="G87" s="65">
        <f>TRUNC(E87*F87,2)</f>
        <v>1.67</v>
      </c>
    </row>
    <row r="88" spans="1:7" s="66" customFormat="1" ht="18.75">
      <c r="A88" s="68"/>
      <c r="B88" s="288"/>
      <c r="C88" s="260"/>
      <c r="D88" s="65"/>
      <c r="E88" s="65" t="s">
        <v>62</v>
      </c>
      <c r="F88" s="65"/>
      <c r="G88" s="65">
        <f>TRUNC(SUM(G86:G87),2)</f>
        <v>4.3</v>
      </c>
    </row>
    <row r="89" spans="1:7" s="66" customFormat="1" ht="18.75">
      <c r="A89" s="68"/>
      <c r="B89" s="288"/>
      <c r="C89" s="260"/>
      <c r="D89" s="65"/>
      <c r="E89" s="65"/>
      <c r="F89" s="65"/>
      <c r="G89" s="65"/>
    </row>
    <row r="90" spans="1:7" s="10" customFormat="1" ht="30">
      <c r="A90" s="33" t="s">
        <v>973</v>
      </c>
      <c r="B90" s="121" t="s">
        <v>658</v>
      </c>
      <c r="C90" s="331" t="s">
        <v>285</v>
      </c>
      <c r="D90" s="289" t="s">
        <v>16</v>
      </c>
      <c r="E90" s="289">
        <v>1</v>
      </c>
      <c r="F90" s="289">
        <f>G93</f>
        <v>2.87</v>
      </c>
      <c r="G90" s="289">
        <f>TRUNC(E90*F90,2)</f>
        <v>2.87</v>
      </c>
    </row>
    <row r="91" spans="1:7" s="10" customFormat="1" ht="18.75">
      <c r="A91" s="30"/>
      <c r="B91" s="269" t="s">
        <v>659</v>
      </c>
      <c r="C91" s="246" t="s">
        <v>93</v>
      </c>
      <c r="D91" s="18" t="s">
        <v>61</v>
      </c>
      <c r="E91" s="18">
        <v>0.0494</v>
      </c>
      <c r="F91" s="18">
        <f>TRUNC(21.42,2)</f>
        <v>21.42</v>
      </c>
      <c r="G91" s="18">
        <f>TRUNC(E91*F91,2)</f>
        <v>1.05</v>
      </c>
    </row>
    <row r="92" spans="1:7" s="10" customFormat="1" ht="18.75">
      <c r="A92" s="30"/>
      <c r="B92" s="269" t="s">
        <v>254</v>
      </c>
      <c r="C92" s="246" t="s">
        <v>65</v>
      </c>
      <c r="D92" s="18" t="s">
        <v>61</v>
      </c>
      <c r="E92" s="18">
        <v>0.0971</v>
      </c>
      <c r="F92" s="18">
        <f>TRUNC(18.78,2)</f>
        <v>18.78</v>
      </c>
      <c r="G92" s="18">
        <f>TRUNC(E92*F92,2)</f>
        <v>1.82</v>
      </c>
    </row>
    <row r="93" spans="1:7" s="10" customFormat="1" ht="18.75">
      <c r="A93" s="30"/>
      <c r="B93" s="269"/>
      <c r="C93" s="246"/>
      <c r="D93" s="18"/>
      <c r="E93" s="18" t="s">
        <v>62</v>
      </c>
      <c r="F93" s="18"/>
      <c r="G93" s="18">
        <f>TRUNC(SUM(G91:G92),2)</f>
        <v>2.87</v>
      </c>
    </row>
    <row r="94" spans="1:7" s="10" customFormat="1" ht="30">
      <c r="A94" s="33" t="s">
        <v>974</v>
      </c>
      <c r="B94" s="121" t="s">
        <v>660</v>
      </c>
      <c r="C94" s="331" t="s">
        <v>627</v>
      </c>
      <c r="D94" s="289" t="s">
        <v>16</v>
      </c>
      <c r="E94" s="289">
        <v>1</v>
      </c>
      <c r="F94" s="289">
        <f>G96</f>
        <v>12.91</v>
      </c>
      <c r="G94" s="289">
        <f>TRUNC(E94*F94,2)</f>
        <v>12.91</v>
      </c>
    </row>
    <row r="95" spans="1:7" s="10" customFormat="1" ht="30">
      <c r="A95" s="30"/>
      <c r="B95" s="269" t="s">
        <v>243</v>
      </c>
      <c r="C95" s="246" t="s">
        <v>244</v>
      </c>
      <c r="D95" s="18" t="s">
        <v>61</v>
      </c>
      <c r="E95" s="18">
        <v>1.03</v>
      </c>
      <c r="F95" s="18">
        <v>12.54</v>
      </c>
      <c r="G95" s="18">
        <f>TRUNC(E95*F95,2)</f>
        <v>12.91</v>
      </c>
    </row>
    <row r="96" spans="1:7" s="10" customFormat="1" ht="18.75">
      <c r="A96" s="30"/>
      <c r="B96" s="269"/>
      <c r="C96" s="246"/>
      <c r="D96" s="18"/>
      <c r="E96" s="18" t="s">
        <v>62</v>
      </c>
      <c r="F96" s="18"/>
      <c r="G96" s="18">
        <f>TRUNC(SUM(G95:G95),2)</f>
        <v>12.91</v>
      </c>
    </row>
    <row r="97" spans="1:7" s="10" customFormat="1" ht="18.75">
      <c r="A97" s="33" t="s">
        <v>975</v>
      </c>
      <c r="B97" s="121" t="s">
        <v>661</v>
      </c>
      <c r="C97" s="331" t="s">
        <v>22</v>
      </c>
      <c r="D97" s="15" t="s">
        <v>20</v>
      </c>
      <c r="E97" s="15">
        <v>1</v>
      </c>
      <c r="F97" s="15">
        <f>G100</f>
        <v>21.58</v>
      </c>
      <c r="G97" s="15">
        <f>TRUNC(E97*F97,2)</f>
        <v>21.58</v>
      </c>
    </row>
    <row r="98" spans="1:7" s="10" customFormat="1" ht="18.75">
      <c r="A98" s="30"/>
      <c r="B98" s="269" t="s">
        <v>254</v>
      </c>
      <c r="C98" s="246" t="s">
        <v>65</v>
      </c>
      <c r="D98" s="10" t="s">
        <v>61</v>
      </c>
      <c r="E98" s="10">
        <v>0.7</v>
      </c>
      <c r="F98" s="10">
        <f>TRUNC(18.78,2)</f>
        <v>18.78</v>
      </c>
      <c r="G98" s="10">
        <f>TRUNC(E98*F98,2)</f>
        <v>13.14</v>
      </c>
    </row>
    <row r="99" spans="1:7" s="10" customFormat="1" ht="45">
      <c r="A99" s="30"/>
      <c r="B99" s="269" t="s">
        <v>662</v>
      </c>
      <c r="C99" s="246" t="s">
        <v>66</v>
      </c>
      <c r="D99" s="10" t="s">
        <v>67</v>
      </c>
      <c r="E99" s="10">
        <v>0.25</v>
      </c>
      <c r="F99" s="10">
        <f>TRUNC(33.76,2)</f>
        <v>33.76</v>
      </c>
      <c r="G99" s="10">
        <f>TRUNC(E99*F99,2)</f>
        <v>8.44</v>
      </c>
    </row>
    <row r="100" spans="1:7" s="10" customFormat="1" ht="18.75">
      <c r="A100" s="30"/>
      <c r="B100" s="269"/>
      <c r="C100" s="246"/>
      <c r="E100" s="10" t="s">
        <v>62</v>
      </c>
      <c r="G100" s="10">
        <f>TRUNC(SUM(G98:G99),2)</f>
        <v>21.58</v>
      </c>
    </row>
    <row r="101" spans="1:7" s="10" customFormat="1" ht="30">
      <c r="A101" s="33" t="s">
        <v>976</v>
      </c>
      <c r="B101" s="121" t="s">
        <v>648</v>
      </c>
      <c r="C101" s="331" t="s">
        <v>623</v>
      </c>
      <c r="D101" s="289" t="s">
        <v>23</v>
      </c>
      <c r="E101" s="289">
        <v>1</v>
      </c>
      <c r="F101" s="289">
        <f>G104</f>
        <v>1.48</v>
      </c>
      <c r="G101" s="289">
        <f>TRUNC(E101*F101,2)</f>
        <v>1.48</v>
      </c>
    </row>
    <row r="102" spans="1:7" s="10" customFormat="1" ht="45">
      <c r="A102" s="30"/>
      <c r="B102" s="269" t="s">
        <v>649</v>
      </c>
      <c r="C102" s="246" t="s">
        <v>909</v>
      </c>
      <c r="D102" s="18" t="s">
        <v>67</v>
      </c>
      <c r="E102" s="18">
        <v>0.0026</v>
      </c>
      <c r="F102" s="18">
        <v>33.150001525878906</v>
      </c>
      <c r="G102" s="18">
        <f>TRUNC(E102*F102,2)</f>
        <v>0.08</v>
      </c>
    </row>
    <row r="103" spans="1:7" s="10" customFormat="1" ht="45">
      <c r="A103" s="30"/>
      <c r="B103" s="269" t="s">
        <v>650</v>
      </c>
      <c r="C103" s="246" t="s">
        <v>910</v>
      </c>
      <c r="D103" s="18" t="s">
        <v>68</v>
      </c>
      <c r="E103" s="18">
        <v>0.01042</v>
      </c>
      <c r="F103" s="18">
        <v>135.24000549316406</v>
      </c>
      <c r="G103" s="18">
        <f>TRUNC(E103*F103,2)</f>
        <v>1.4</v>
      </c>
    </row>
    <row r="104" spans="1:7" s="10" customFormat="1" ht="18.75">
      <c r="A104" s="30"/>
      <c r="B104" s="269"/>
      <c r="C104" s="246"/>
      <c r="D104" s="18"/>
      <c r="E104" s="18" t="s">
        <v>62</v>
      </c>
      <c r="F104" s="18"/>
      <c r="G104" s="18">
        <f>TRUNC(SUM(G102:G103),2)</f>
        <v>1.48</v>
      </c>
    </row>
    <row r="105" spans="1:7" s="10" customFormat="1" ht="18.75">
      <c r="A105" s="30"/>
      <c r="B105" s="269"/>
      <c r="C105" s="246"/>
      <c r="D105" s="18"/>
      <c r="E105" s="18"/>
      <c r="F105" s="18"/>
      <c r="G105" s="18"/>
    </row>
    <row r="106" spans="1:7" s="10" customFormat="1" ht="30">
      <c r="A106" s="33" t="s">
        <v>977</v>
      </c>
      <c r="B106" s="121" t="s">
        <v>663</v>
      </c>
      <c r="C106" s="331" t="s">
        <v>24</v>
      </c>
      <c r="D106" s="289" t="s">
        <v>20</v>
      </c>
      <c r="E106" s="289">
        <v>1</v>
      </c>
      <c r="F106" s="289">
        <f>G109</f>
        <v>0.96</v>
      </c>
      <c r="G106" s="289">
        <f>TRUNC(E106*F106,2)</f>
        <v>0.96</v>
      </c>
    </row>
    <row r="107" spans="1:7" s="10" customFormat="1" ht="18.75">
      <c r="A107" s="30"/>
      <c r="B107" s="269" t="s">
        <v>254</v>
      </c>
      <c r="C107" s="246" t="s">
        <v>65</v>
      </c>
      <c r="D107" s="18" t="s">
        <v>61</v>
      </c>
      <c r="E107" s="18">
        <v>0.0255</v>
      </c>
      <c r="F107" s="18">
        <f>TRUNC(18.78,2)</f>
        <v>18.78</v>
      </c>
      <c r="G107" s="18">
        <f>TRUNC(E107*F107,2)</f>
        <v>0.47</v>
      </c>
    </row>
    <row r="108" spans="1:7" s="10" customFormat="1" ht="30">
      <c r="A108" s="30"/>
      <c r="B108" s="269" t="s">
        <v>664</v>
      </c>
      <c r="C108" s="246" t="s">
        <v>911</v>
      </c>
      <c r="D108" s="18" t="s">
        <v>68</v>
      </c>
      <c r="E108" s="18">
        <v>0.0029867</v>
      </c>
      <c r="F108" s="18">
        <v>165.9199981689453</v>
      </c>
      <c r="G108" s="18">
        <f>TRUNC(E108*F108,2)</f>
        <v>0.49</v>
      </c>
    </row>
    <row r="109" spans="1:7" s="10" customFormat="1" ht="18.75">
      <c r="A109" s="30"/>
      <c r="B109" s="269"/>
      <c r="C109" s="246"/>
      <c r="D109" s="18"/>
      <c r="E109" s="18" t="s">
        <v>62</v>
      </c>
      <c r="F109" s="18"/>
      <c r="G109" s="18">
        <f>TRUNC(SUM(G107:G108),2)</f>
        <v>0.96</v>
      </c>
    </row>
    <row r="110" spans="1:7" s="10" customFormat="1" ht="18.75">
      <c r="A110" s="30"/>
      <c r="B110" s="269"/>
      <c r="C110" s="246"/>
      <c r="D110" s="18"/>
      <c r="E110" s="18"/>
      <c r="F110" s="18"/>
      <c r="G110" s="18"/>
    </row>
    <row r="111" spans="1:7" s="10" customFormat="1" ht="18.75">
      <c r="A111" s="278" t="s">
        <v>978</v>
      </c>
      <c r="B111" s="279"/>
      <c r="C111" s="280" t="s">
        <v>25</v>
      </c>
      <c r="D111" s="294"/>
      <c r="E111" s="294"/>
      <c r="F111" s="294"/>
      <c r="G111" s="294"/>
    </row>
    <row r="112" spans="1:7" s="66" customFormat="1" ht="18.75">
      <c r="A112" s="297" t="s">
        <v>979</v>
      </c>
      <c r="B112" s="298" t="s">
        <v>667</v>
      </c>
      <c r="C112" s="299" t="s">
        <v>200</v>
      </c>
      <c r="D112" s="300" t="s">
        <v>26</v>
      </c>
      <c r="E112" s="300">
        <v>1</v>
      </c>
      <c r="F112" s="300">
        <f>G115</f>
        <v>10.6</v>
      </c>
      <c r="G112" s="300">
        <f>TRUNC(E112*F112,2)</f>
        <v>10.6</v>
      </c>
    </row>
    <row r="113" spans="1:7" s="66" customFormat="1" ht="18.75">
      <c r="A113" s="68"/>
      <c r="B113" s="268" t="s">
        <v>254</v>
      </c>
      <c r="C113" s="260" t="s">
        <v>65</v>
      </c>
      <c r="D113" s="66" t="s">
        <v>61</v>
      </c>
      <c r="E113" s="66">
        <v>0.3448</v>
      </c>
      <c r="F113" s="66">
        <f>TRUNC(18.78,2)</f>
        <v>18.78</v>
      </c>
      <c r="G113" s="66">
        <f>TRUNC(E113*F113,2)</f>
        <v>6.47</v>
      </c>
    </row>
    <row r="114" spans="1:7" s="66" customFormat="1" ht="18.75">
      <c r="A114" s="68"/>
      <c r="B114" s="268" t="s">
        <v>668</v>
      </c>
      <c r="C114" s="260" t="s">
        <v>70</v>
      </c>
      <c r="D114" s="66" t="s">
        <v>61</v>
      </c>
      <c r="E114" s="66">
        <v>0.1755</v>
      </c>
      <c r="F114" s="66">
        <f>TRUNC(23.56,2)</f>
        <v>23.56</v>
      </c>
      <c r="G114" s="66">
        <f>TRUNC(E114*F114,2)</f>
        <v>4.13</v>
      </c>
    </row>
    <row r="115" spans="1:7" s="66" customFormat="1" ht="18.75">
      <c r="A115" s="68"/>
      <c r="B115" s="268"/>
      <c r="C115" s="260"/>
      <c r="E115" s="66" t="s">
        <v>62</v>
      </c>
      <c r="G115" s="66">
        <f>TRUNC(SUM(G113:G114),2)</f>
        <v>10.6</v>
      </c>
    </row>
    <row r="116" spans="1:3" s="66" customFormat="1" ht="18.75">
      <c r="A116" s="68"/>
      <c r="B116" s="268"/>
      <c r="C116" s="260"/>
    </row>
    <row r="117" spans="1:7" s="66" customFormat="1" ht="41.25" customHeight="1">
      <c r="A117" s="297" t="s">
        <v>980</v>
      </c>
      <c r="B117" s="298" t="s">
        <v>669</v>
      </c>
      <c r="C117" s="299" t="s">
        <v>201</v>
      </c>
      <c r="D117" s="300" t="s">
        <v>26</v>
      </c>
      <c r="E117" s="300">
        <v>1</v>
      </c>
      <c r="F117" s="300">
        <f>G120</f>
        <v>7.73</v>
      </c>
      <c r="G117" s="300">
        <f>TRUNC(E117*F117,2)</f>
        <v>7.73</v>
      </c>
    </row>
    <row r="118" spans="1:7" s="66" customFormat="1" ht="18.75">
      <c r="A118" s="68"/>
      <c r="B118" s="268" t="s">
        <v>254</v>
      </c>
      <c r="C118" s="260" t="s">
        <v>65</v>
      </c>
      <c r="D118" s="66" t="s">
        <v>61</v>
      </c>
      <c r="E118" s="66">
        <v>0.2514</v>
      </c>
      <c r="F118" s="66">
        <f>TRUNC(18.78,2)</f>
        <v>18.78</v>
      </c>
      <c r="G118" s="66">
        <f>TRUNC(E118*F118,2)</f>
        <v>4.72</v>
      </c>
    </row>
    <row r="119" spans="1:7" s="66" customFormat="1" ht="18.75">
      <c r="A119" s="68"/>
      <c r="B119" s="268" t="s">
        <v>668</v>
      </c>
      <c r="C119" s="260" t="s">
        <v>70</v>
      </c>
      <c r="D119" s="66" t="s">
        <v>61</v>
      </c>
      <c r="E119" s="66">
        <v>0.128</v>
      </c>
      <c r="F119" s="66">
        <f>TRUNC(23.56,2)</f>
        <v>23.56</v>
      </c>
      <c r="G119" s="66">
        <f>TRUNC(E119*F119,2)</f>
        <v>3.01</v>
      </c>
    </row>
    <row r="120" spans="1:7" s="66" customFormat="1" ht="18.75">
      <c r="A120" s="68"/>
      <c r="B120" s="268"/>
      <c r="C120" s="260"/>
      <c r="E120" s="66" t="s">
        <v>62</v>
      </c>
      <c r="G120" s="66">
        <f>TRUNC(SUM(G118:G119),2)</f>
        <v>7.73</v>
      </c>
    </row>
    <row r="121" spans="1:3" s="66" customFormat="1" ht="18.75">
      <c r="A121" s="68"/>
      <c r="B121" s="268"/>
      <c r="C121" s="260"/>
    </row>
    <row r="122" spans="1:7" s="66" customFormat="1" ht="30">
      <c r="A122" s="297" t="s">
        <v>981</v>
      </c>
      <c r="B122" s="298" t="s">
        <v>665</v>
      </c>
      <c r="C122" s="299" t="s">
        <v>666</v>
      </c>
      <c r="D122" s="300" t="s">
        <v>19</v>
      </c>
      <c r="E122" s="300">
        <v>1</v>
      </c>
      <c r="F122" s="300">
        <f>G125</f>
        <v>30.72</v>
      </c>
      <c r="G122" s="300">
        <f>TRUNC(E122*F122,2)</f>
        <v>30.72</v>
      </c>
    </row>
    <row r="123" spans="1:7" s="66" customFormat="1" ht="30">
      <c r="A123" s="68"/>
      <c r="B123" s="268" t="s">
        <v>243</v>
      </c>
      <c r="C123" s="260" t="s">
        <v>244</v>
      </c>
      <c r="D123" s="66" t="s">
        <v>61</v>
      </c>
      <c r="E123" s="66">
        <v>1.03</v>
      </c>
      <c r="F123" s="66">
        <f>TRUNC(12.54,2)</f>
        <v>12.54</v>
      </c>
      <c r="G123" s="66">
        <f>TRUNC(E123*F123,2)</f>
        <v>12.91</v>
      </c>
    </row>
    <row r="124" spans="1:7" s="66" customFormat="1" ht="18.75">
      <c r="A124" s="68"/>
      <c r="B124" s="268" t="s">
        <v>251</v>
      </c>
      <c r="C124" s="260" t="s">
        <v>252</v>
      </c>
      <c r="D124" s="66" t="s">
        <v>61</v>
      </c>
      <c r="E124" s="66">
        <v>1.03</v>
      </c>
      <c r="F124" s="66">
        <f>TRUNC(17.3,2)</f>
        <v>17.3</v>
      </c>
      <c r="G124" s="66">
        <f>TRUNC(E124*F124,2)</f>
        <v>17.81</v>
      </c>
    </row>
    <row r="125" spans="1:7" s="66" customFormat="1" ht="18.75">
      <c r="A125" s="68"/>
      <c r="B125" s="268"/>
      <c r="C125" s="260"/>
      <c r="E125" s="66" t="s">
        <v>62</v>
      </c>
      <c r="G125" s="66">
        <f>TRUNC(SUM(G123:G124),2)</f>
        <v>30.72</v>
      </c>
    </row>
    <row r="126" spans="1:3" s="66" customFormat="1" ht="18.75">
      <c r="A126" s="68"/>
      <c r="B126" s="268"/>
      <c r="C126" s="260"/>
    </row>
    <row r="127" spans="1:7" s="66" customFormat="1" ht="18.75">
      <c r="A127" s="297" t="s">
        <v>982</v>
      </c>
      <c r="B127" s="298" t="s">
        <v>197</v>
      </c>
      <c r="C127" s="299" t="s">
        <v>198</v>
      </c>
      <c r="D127" s="300" t="s">
        <v>16</v>
      </c>
      <c r="E127" s="300">
        <v>1</v>
      </c>
      <c r="F127" s="300">
        <f>G130</f>
        <v>7.94</v>
      </c>
      <c r="G127" s="300">
        <f>TRUNC(E127*F127,2)</f>
        <v>7.94</v>
      </c>
    </row>
    <row r="128" spans="1:7" s="66" customFormat="1" ht="18.75">
      <c r="A128" s="68"/>
      <c r="B128" s="268" t="s">
        <v>64</v>
      </c>
      <c r="C128" s="260" t="s">
        <v>65</v>
      </c>
      <c r="D128" s="66" t="s">
        <v>61</v>
      </c>
      <c r="E128" s="66">
        <v>0.2582</v>
      </c>
      <c r="F128" s="66">
        <f>TRUNC(18.78,2)</f>
        <v>18.78</v>
      </c>
      <c r="G128" s="66">
        <f>TRUNC(E128*F128,2)</f>
        <v>4.84</v>
      </c>
    </row>
    <row r="129" spans="1:7" s="66" customFormat="1" ht="18.75">
      <c r="A129" s="68"/>
      <c r="B129" s="268" t="s">
        <v>130</v>
      </c>
      <c r="C129" s="260" t="s">
        <v>131</v>
      </c>
      <c r="D129" s="66" t="s">
        <v>61</v>
      </c>
      <c r="E129" s="66">
        <v>0.1315</v>
      </c>
      <c r="F129" s="66">
        <f>TRUNC(23.61,2)</f>
        <v>23.61</v>
      </c>
      <c r="G129" s="66">
        <f>TRUNC(E129*F129,2)</f>
        <v>3.1</v>
      </c>
    </row>
    <row r="130" spans="1:7" s="66" customFormat="1" ht="18.75">
      <c r="A130" s="68"/>
      <c r="B130" s="268"/>
      <c r="C130" s="260"/>
      <c r="E130" s="66" t="s">
        <v>62</v>
      </c>
      <c r="G130" s="66">
        <f>TRUNC(SUM(G128:G129),2)</f>
        <v>7.94</v>
      </c>
    </row>
    <row r="131" spans="1:3" s="66" customFormat="1" ht="18.75">
      <c r="A131" s="68"/>
      <c r="B131" s="268"/>
      <c r="C131" s="260"/>
    </row>
    <row r="132" spans="1:7" s="66" customFormat="1" ht="45">
      <c r="A132" s="297" t="s">
        <v>983</v>
      </c>
      <c r="B132" s="158" t="s">
        <v>670</v>
      </c>
      <c r="C132" s="299" t="s">
        <v>288</v>
      </c>
      <c r="D132" s="293" t="s">
        <v>16</v>
      </c>
      <c r="E132" s="293">
        <v>1</v>
      </c>
      <c r="F132" s="293">
        <f>G135</f>
        <v>11.21</v>
      </c>
      <c r="G132" s="293">
        <f>TRUNC(E132*F132,2)</f>
        <v>11.21</v>
      </c>
    </row>
    <row r="133" spans="1:7" s="66" customFormat="1" ht="30">
      <c r="A133" s="68"/>
      <c r="B133" s="268" t="s">
        <v>243</v>
      </c>
      <c r="C133" s="260" t="s">
        <v>244</v>
      </c>
      <c r="D133" s="65" t="s">
        <v>61</v>
      </c>
      <c r="E133" s="65">
        <v>0.37595</v>
      </c>
      <c r="F133" s="66">
        <f>TRUNC(12.54,2)</f>
        <v>12.54</v>
      </c>
      <c r="G133" s="65">
        <f>TRUNC(E133*F133,2)</f>
        <v>4.71</v>
      </c>
    </row>
    <row r="134" spans="1:7" s="66" customFormat="1" ht="18.75">
      <c r="A134" s="68"/>
      <c r="B134" s="268" t="s">
        <v>251</v>
      </c>
      <c r="C134" s="260" t="s">
        <v>252</v>
      </c>
      <c r="D134" s="65" t="s">
        <v>61</v>
      </c>
      <c r="E134" s="65">
        <v>0.37595</v>
      </c>
      <c r="F134" s="66">
        <f>TRUNC(17.3,2)</f>
        <v>17.3</v>
      </c>
      <c r="G134" s="65">
        <f>TRUNC(E134*F134,2)</f>
        <v>6.5</v>
      </c>
    </row>
    <row r="135" spans="1:7" s="66" customFormat="1" ht="18.75">
      <c r="A135" s="68"/>
      <c r="B135" s="295"/>
      <c r="C135" s="260"/>
      <c r="D135" s="65"/>
      <c r="E135" s="65" t="s">
        <v>62</v>
      </c>
      <c r="F135" s="65"/>
      <c r="G135" s="65">
        <f>TRUNC(SUM(G133:G134),2)</f>
        <v>11.21</v>
      </c>
    </row>
    <row r="136" spans="1:3" s="66" customFormat="1" ht="18.75">
      <c r="A136" s="68"/>
      <c r="B136" s="268"/>
      <c r="C136" s="260"/>
    </row>
    <row r="137" spans="1:7" s="66" customFormat="1" ht="30">
      <c r="A137" s="297" t="s">
        <v>984</v>
      </c>
      <c r="B137" s="298" t="s">
        <v>671</v>
      </c>
      <c r="C137" s="299" t="s">
        <v>199</v>
      </c>
      <c r="D137" s="300" t="s">
        <v>26</v>
      </c>
      <c r="E137" s="300">
        <v>1</v>
      </c>
      <c r="F137" s="300">
        <f>G140</f>
        <v>0.57</v>
      </c>
      <c r="G137" s="300">
        <f>TRUNC(E137*F137,2)</f>
        <v>0.57</v>
      </c>
    </row>
    <row r="138" spans="1:7" s="66" customFormat="1" ht="18.75">
      <c r="A138" s="68"/>
      <c r="B138" s="268" t="s">
        <v>254</v>
      </c>
      <c r="C138" s="260" t="s">
        <v>65</v>
      </c>
      <c r="D138" s="66" t="s">
        <v>61</v>
      </c>
      <c r="E138" s="66">
        <v>0.0187</v>
      </c>
      <c r="F138" s="66">
        <f>TRUNC(18.78,2)</f>
        <v>18.78</v>
      </c>
      <c r="G138" s="66">
        <f>TRUNC(E138*F138,2)</f>
        <v>0.35</v>
      </c>
    </row>
    <row r="139" spans="1:7" s="66" customFormat="1" ht="18.75">
      <c r="A139" s="68"/>
      <c r="B139" s="268" t="s">
        <v>672</v>
      </c>
      <c r="C139" s="260" t="s">
        <v>132</v>
      </c>
      <c r="D139" s="66" t="s">
        <v>61</v>
      </c>
      <c r="E139" s="66">
        <v>0.0095</v>
      </c>
      <c r="F139" s="66">
        <f>TRUNC(23.83,2)</f>
        <v>23.83</v>
      </c>
      <c r="G139" s="66">
        <f>TRUNC(E139*F139,2)</f>
        <v>0.22</v>
      </c>
    </row>
    <row r="140" spans="1:7" s="66" customFormat="1" ht="18.75">
      <c r="A140" s="68"/>
      <c r="B140" s="268"/>
      <c r="C140" s="260"/>
      <c r="E140" s="66" t="s">
        <v>62</v>
      </c>
      <c r="G140" s="66">
        <f>TRUNC(SUM(G138:G139),2)</f>
        <v>0.57</v>
      </c>
    </row>
    <row r="141" spans="1:7" s="66" customFormat="1" ht="31.5">
      <c r="A141" s="68"/>
      <c r="B141" s="295" t="s">
        <v>673</v>
      </c>
      <c r="C141" s="260" t="s">
        <v>509</v>
      </c>
      <c r="D141" s="66" t="s">
        <v>26</v>
      </c>
      <c r="E141" s="66">
        <v>1</v>
      </c>
      <c r="F141" s="66">
        <f>G144</f>
        <v>1.1</v>
      </c>
      <c r="G141" s="66">
        <f>TRUNC(E141*F141,2)</f>
        <v>1.1</v>
      </c>
    </row>
    <row r="142" spans="1:7" s="66" customFormat="1" ht="18.75">
      <c r="A142" s="68"/>
      <c r="B142" s="268" t="s">
        <v>254</v>
      </c>
      <c r="C142" s="260" t="s">
        <v>65</v>
      </c>
      <c r="D142" s="66" t="s">
        <v>61</v>
      </c>
      <c r="E142" s="66">
        <v>0.0359</v>
      </c>
      <c r="F142" s="66">
        <f>TRUNC(18.78,2)</f>
        <v>18.78</v>
      </c>
      <c r="G142" s="66">
        <f>TRUNC(E142*F142,2)</f>
        <v>0.67</v>
      </c>
    </row>
    <row r="143" spans="1:7" s="66" customFormat="1" ht="18.75">
      <c r="A143" s="68"/>
      <c r="B143" s="268" t="s">
        <v>672</v>
      </c>
      <c r="C143" s="260" t="s">
        <v>132</v>
      </c>
      <c r="D143" s="66" t="s">
        <v>61</v>
      </c>
      <c r="E143" s="66">
        <v>0.0183</v>
      </c>
      <c r="F143" s="66">
        <f>TRUNC(23.83,2)</f>
        <v>23.83</v>
      </c>
      <c r="G143" s="66">
        <f>TRUNC(E143*F143,2)</f>
        <v>0.43</v>
      </c>
    </row>
    <row r="144" spans="1:7" s="66" customFormat="1" ht="18.75">
      <c r="A144" s="68"/>
      <c r="B144" s="268"/>
      <c r="C144" s="260"/>
      <c r="E144" s="66" t="s">
        <v>62</v>
      </c>
      <c r="G144" s="66">
        <f>TRUNC(SUM(G142:G143),2)</f>
        <v>1.1</v>
      </c>
    </row>
    <row r="145" spans="1:7" s="66" customFormat="1" ht="18.75">
      <c r="A145" s="297" t="s">
        <v>985</v>
      </c>
      <c r="B145" s="301" t="s">
        <v>661</v>
      </c>
      <c r="C145" s="299" t="s">
        <v>22</v>
      </c>
      <c r="D145" s="300" t="s">
        <v>20</v>
      </c>
      <c r="E145" s="300">
        <v>1</v>
      </c>
      <c r="F145" s="300">
        <f>G148</f>
        <v>21.58</v>
      </c>
      <c r="G145" s="300">
        <f>TRUNC(E145*F145,2)</f>
        <v>21.58</v>
      </c>
    </row>
    <row r="146" spans="1:7" s="66" customFormat="1" ht="18.75">
      <c r="A146" s="68"/>
      <c r="B146" s="288" t="s">
        <v>254</v>
      </c>
      <c r="C146" s="260" t="s">
        <v>65</v>
      </c>
      <c r="D146" s="66" t="s">
        <v>61</v>
      </c>
      <c r="E146" s="66">
        <v>0.7</v>
      </c>
      <c r="F146" s="66">
        <f>TRUNC(18.78,2)</f>
        <v>18.78</v>
      </c>
      <c r="G146" s="66">
        <f>TRUNC(E146*F146,2)</f>
        <v>13.14</v>
      </c>
    </row>
    <row r="147" spans="1:7" s="66" customFormat="1" ht="45">
      <c r="A147" s="68"/>
      <c r="B147" s="288" t="s">
        <v>662</v>
      </c>
      <c r="C147" s="260" t="s">
        <v>66</v>
      </c>
      <c r="D147" s="66" t="s">
        <v>67</v>
      </c>
      <c r="E147" s="66">
        <v>0.25</v>
      </c>
      <c r="F147" s="66">
        <f>TRUNC(33.76,2)</f>
        <v>33.76</v>
      </c>
      <c r="G147" s="66">
        <f>TRUNC(E147*F147,2)</f>
        <v>8.44</v>
      </c>
    </row>
    <row r="148" spans="1:7" s="66" customFormat="1" ht="18.75">
      <c r="A148" s="68"/>
      <c r="B148" s="288"/>
      <c r="C148" s="260"/>
      <c r="E148" s="66" t="s">
        <v>62</v>
      </c>
      <c r="G148" s="66">
        <f>TRUNC(SUM(G146:G147),2)</f>
        <v>21.58</v>
      </c>
    </row>
    <row r="149" spans="1:9" s="66" customFormat="1" ht="18.75">
      <c r="A149" s="68"/>
      <c r="B149" s="288"/>
      <c r="C149" s="260"/>
      <c r="I149" s="57"/>
    </row>
    <row r="150" spans="1:7" s="66" customFormat="1" ht="30">
      <c r="A150" s="297" t="s">
        <v>986</v>
      </c>
      <c r="B150" s="301" t="s">
        <v>648</v>
      </c>
      <c r="C150" s="299" t="s">
        <v>623</v>
      </c>
      <c r="D150" s="300" t="s">
        <v>23</v>
      </c>
      <c r="E150" s="300">
        <v>1</v>
      </c>
      <c r="F150" s="300">
        <f>G153</f>
        <v>1.48</v>
      </c>
      <c r="G150" s="300">
        <f>TRUNC(E150*F150,2)</f>
        <v>1.48</v>
      </c>
    </row>
    <row r="151" spans="1:7" s="66" customFormat="1" ht="45">
      <c r="A151" s="68"/>
      <c r="B151" s="288" t="s">
        <v>649</v>
      </c>
      <c r="C151" s="260" t="s">
        <v>624</v>
      </c>
      <c r="D151" s="66" t="s">
        <v>67</v>
      </c>
      <c r="E151" s="66">
        <v>0.0026</v>
      </c>
      <c r="F151" s="66">
        <f>TRUNC(33.15,2)</f>
        <v>33.15</v>
      </c>
      <c r="G151" s="66">
        <f>TRUNC(E151*F151,2)</f>
        <v>0.08</v>
      </c>
    </row>
    <row r="152" spans="1:7" s="66" customFormat="1" ht="45">
      <c r="A152" s="68"/>
      <c r="B152" s="288" t="s">
        <v>650</v>
      </c>
      <c r="C152" s="260" t="s">
        <v>625</v>
      </c>
      <c r="D152" s="66" t="s">
        <v>68</v>
      </c>
      <c r="E152" s="66">
        <v>0.01042</v>
      </c>
      <c r="F152" s="66">
        <f>TRUNC(135.24,2)</f>
        <v>135.24</v>
      </c>
      <c r="G152" s="66">
        <f>TRUNC(E152*F152,2)</f>
        <v>1.4</v>
      </c>
    </row>
    <row r="153" spans="1:7" s="66" customFormat="1" ht="18.75">
      <c r="A153" s="68"/>
      <c r="B153" s="288"/>
      <c r="C153" s="260"/>
      <c r="E153" s="66" t="s">
        <v>62</v>
      </c>
      <c r="G153" s="66">
        <f>TRUNC(SUM(G151:G152),2)</f>
        <v>1.48</v>
      </c>
    </row>
    <row r="154" spans="1:7" s="66" customFormat="1" ht="18.75">
      <c r="A154" s="68"/>
      <c r="B154" s="288"/>
      <c r="C154" s="260"/>
      <c r="D154" s="65"/>
      <c r="E154" s="65"/>
      <c r="F154" s="65"/>
      <c r="G154" s="65"/>
    </row>
    <row r="155" spans="1:7" s="66" customFormat="1" ht="31.5">
      <c r="A155" s="297" t="s">
        <v>987</v>
      </c>
      <c r="B155" s="158" t="s">
        <v>674</v>
      </c>
      <c r="C155" s="299" t="s">
        <v>28</v>
      </c>
      <c r="D155" s="300" t="s">
        <v>20</v>
      </c>
      <c r="E155" s="300"/>
      <c r="F155" s="300"/>
      <c r="G155" s="300">
        <f>G148/2</f>
        <v>10.79</v>
      </c>
    </row>
    <row r="156" spans="1:3" s="66" customFormat="1" ht="20.25">
      <c r="A156" s="68"/>
      <c r="B156" s="268"/>
      <c r="C156" s="468" t="s">
        <v>72</v>
      </c>
    </row>
    <row r="157" spans="1:9" s="3" customFormat="1" ht="18.75">
      <c r="A157" s="19"/>
      <c r="B157" s="270"/>
      <c r="C157" s="247"/>
      <c r="D157" s="20"/>
      <c r="E157" s="21"/>
      <c r="F157" s="22"/>
      <c r="G157" s="22"/>
      <c r="I157" s="10"/>
    </row>
    <row r="158" spans="1:9" s="3" customFormat="1" ht="18.75">
      <c r="A158" s="307" t="s">
        <v>988</v>
      </c>
      <c r="B158" s="308"/>
      <c r="C158" s="309" t="s">
        <v>405</v>
      </c>
      <c r="D158" s="310"/>
      <c r="E158" s="311"/>
      <c r="F158" s="312"/>
      <c r="G158" s="312"/>
      <c r="I158" s="10"/>
    </row>
    <row r="159" spans="1:9" s="3" customFormat="1" ht="30">
      <c r="A159" s="471" t="s">
        <v>989</v>
      </c>
      <c r="B159" s="302" t="s">
        <v>675</v>
      </c>
      <c r="C159" s="306" t="s">
        <v>406</v>
      </c>
      <c r="D159" s="303" t="s">
        <v>20</v>
      </c>
      <c r="E159" s="304">
        <v>1</v>
      </c>
      <c r="F159" s="305">
        <f>G165</f>
        <v>384.73</v>
      </c>
      <c r="G159" s="305">
        <f aca="true" t="shared" si="1" ref="G159:G164">TRUNC(E159*F159,2)</f>
        <v>384.73</v>
      </c>
      <c r="I159" s="10"/>
    </row>
    <row r="160" spans="1:9" s="3" customFormat="1" ht="30">
      <c r="A160" s="19"/>
      <c r="B160" s="270" t="s">
        <v>676</v>
      </c>
      <c r="C160" s="247" t="s">
        <v>407</v>
      </c>
      <c r="D160" s="20" t="s">
        <v>20</v>
      </c>
      <c r="E160" s="21">
        <v>1.163</v>
      </c>
      <c r="F160" s="22">
        <v>312.38</v>
      </c>
      <c r="G160" s="22">
        <f t="shared" si="1"/>
        <v>363.29</v>
      </c>
      <c r="I160" s="10"/>
    </row>
    <row r="161" spans="1:9" s="3" customFormat="1" ht="18.75">
      <c r="A161" s="19"/>
      <c r="B161" s="270" t="s">
        <v>254</v>
      </c>
      <c r="C161" s="247" t="s">
        <v>65</v>
      </c>
      <c r="D161" s="20" t="s">
        <v>61</v>
      </c>
      <c r="E161" s="21">
        <v>0.504</v>
      </c>
      <c r="F161" s="22">
        <v>18.78</v>
      </c>
      <c r="G161" s="22">
        <f t="shared" si="1"/>
        <v>9.46</v>
      </c>
      <c r="I161" s="10"/>
    </row>
    <row r="162" spans="1:9" s="3" customFormat="1" ht="18.75">
      <c r="A162" s="19"/>
      <c r="B162" s="270" t="s">
        <v>255</v>
      </c>
      <c r="C162" s="247" t="s">
        <v>131</v>
      </c>
      <c r="D162" s="20" t="s">
        <v>61</v>
      </c>
      <c r="E162" s="21">
        <v>0.504</v>
      </c>
      <c r="F162" s="22">
        <v>23.61</v>
      </c>
      <c r="G162" s="22">
        <f t="shared" si="1"/>
        <v>11.89</v>
      </c>
      <c r="I162" s="2"/>
    </row>
    <row r="163" spans="1:9" s="3" customFormat="1" ht="30">
      <c r="A163" s="19"/>
      <c r="B163" s="270" t="s">
        <v>677</v>
      </c>
      <c r="C163" s="247" t="s">
        <v>628</v>
      </c>
      <c r="D163" s="20" t="s">
        <v>67</v>
      </c>
      <c r="E163" s="21">
        <v>0.066</v>
      </c>
      <c r="F163" s="22">
        <v>0.3400000035762787</v>
      </c>
      <c r="G163" s="22">
        <f t="shared" si="1"/>
        <v>0.02</v>
      </c>
      <c r="I163" s="2"/>
    </row>
    <row r="164" spans="1:9" s="3" customFormat="1" ht="30">
      <c r="A164" s="19"/>
      <c r="B164" s="270" t="s">
        <v>678</v>
      </c>
      <c r="C164" s="247" t="s">
        <v>629</v>
      </c>
      <c r="D164" s="20" t="s">
        <v>68</v>
      </c>
      <c r="E164" s="21">
        <v>0.066</v>
      </c>
      <c r="F164" s="22">
        <v>1.190000057220459</v>
      </c>
      <c r="G164" s="22">
        <f t="shared" si="1"/>
        <v>0.07</v>
      </c>
      <c r="I164" s="2"/>
    </row>
    <row r="165" spans="1:9" s="3" customFormat="1" ht="18.75">
      <c r="A165" s="19"/>
      <c r="B165" s="270"/>
      <c r="C165" s="247"/>
      <c r="D165" s="20"/>
      <c r="E165" s="21" t="s">
        <v>62</v>
      </c>
      <c r="F165" s="22"/>
      <c r="G165" s="22">
        <f>TRUNC(SUM(G160:G164),2)</f>
        <v>384.73</v>
      </c>
      <c r="I165" s="2"/>
    </row>
    <row r="166" spans="1:9" s="3" customFormat="1" ht="45">
      <c r="A166" s="471" t="s">
        <v>990</v>
      </c>
      <c r="B166" s="302" t="s">
        <v>679</v>
      </c>
      <c r="C166" s="306" t="s">
        <v>409</v>
      </c>
      <c r="D166" s="303" t="s">
        <v>16</v>
      </c>
      <c r="E166" s="304">
        <v>1</v>
      </c>
      <c r="F166" s="305">
        <f>G178</f>
        <v>70.35</v>
      </c>
      <c r="G166" s="305">
        <f aca="true" t="shared" si="2" ref="G166:G177">TRUNC(E166*F166,2)</f>
        <v>70.35</v>
      </c>
      <c r="I166" s="2"/>
    </row>
    <row r="167" spans="1:9" s="3" customFormat="1" ht="18.75">
      <c r="A167" s="19"/>
      <c r="B167" s="270" t="s">
        <v>680</v>
      </c>
      <c r="C167" s="247" t="s">
        <v>410</v>
      </c>
      <c r="D167" s="20" t="s">
        <v>19</v>
      </c>
      <c r="E167" s="21">
        <v>0.17</v>
      </c>
      <c r="F167" s="22">
        <f>TRUNC(10.76,2)</f>
        <v>10.76</v>
      </c>
      <c r="G167" s="22">
        <f t="shared" si="2"/>
        <v>1.82</v>
      </c>
      <c r="I167" s="2"/>
    </row>
    <row r="168" spans="1:9" s="3" customFormat="1" ht="18.75">
      <c r="A168" s="19"/>
      <c r="B168" s="270" t="s">
        <v>681</v>
      </c>
      <c r="C168" s="247" t="s">
        <v>89</v>
      </c>
      <c r="D168" s="20" t="s">
        <v>30</v>
      </c>
      <c r="E168" s="21">
        <v>0.03</v>
      </c>
      <c r="F168" s="22">
        <f>TRUNC(9.95,2)</f>
        <v>9.95</v>
      </c>
      <c r="G168" s="22">
        <f t="shared" si="2"/>
        <v>0.29</v>
      </c>
      <c r="I168" s="2"/>
    </row>
    <row r="169" spans="1:9" s="3" customFormat="1" ht="18.75">
      <c r="A169" s="19"/>
      <c r="B169" s="270" t="s">
        <v>682</v>
      </c>
      <c r="C169" s="247" t="s">
        <v>205</v>
      </c>
      <c r="D169" s="20" t="s">
        <v>19</v>
      </c>
      <c r="E169" s="21">
        <v>0.29</v>
      </c>
      <c r="F169" s="22">
        <f>TRUNC(6.7,2)</f>
        <v>6.7</v>
      </c>
      <c r="G169" s="22">
        <f t="shared" si="2"/>
        <v>1.94</v>
      </c>
      <c r="I169" s="2"/>
    </row>
    <row r="170" spans="1:9" s="3" customFormat="1" ht="30">
      <c r="A170" s="19"/>
      <c r="B170" s="270" t="s">
        <v>683</v>
      </c>
      <c r="C170" s="247" t="s">
        <v>411</v>
      </c>
      <c r="D170" s="20" t="s">
        <v>16</v>
      </c>
      <c r="E170" s="21">
        <v>1</v>
      </c>
      <c r="F170" s="22">
        <f>TRUNC(32,2)</f>
        <v>32</v>
      </c>
      <c r="G170" s="22">
        <f t="shared" si="2"/>
        <v>32</v>
      </c>
      <c r="I170" s="2"/>
    </row>
    <row r="171" spans="1:9" s="3" customFormat="1" ht="18.75">
      <c r="A171" s="19"/>
      <c r="B171" s="270" t="s">
        <v>684</v>
      </c>
      <c r="C171" s="247" t="s">
        <v>412</v>
      </c>
      <c r="D171" s="20" t="s">
        <v>30</v>
      </c>
      <c r="E171" s="21">
        <v>0.471</v>
      </c>
      <c r="F171" s="22">
        <f>TRUNC(4.33,2)</f>
        <v>4.33</v>
      </c>
      <c r="G171" s="22">
        <f t="shared" si="2"/>
        <v>2.03</v>
      </c>
      <c r="I171" s="2"/>
    </row>
    <row r="172" spans="1:9" s="3" customFormat="1" ht="18.75">
      <c r="A172" s="19"/>
      <c r="B172" s="270" t="s">
        <v>254</v>
      </c>
      <c r="C172" s="247" t="s">
        <v>65</v>
      </c>
      <c r="D172" s="20" t="s">
        <v>61</v>
      </c>
      <c r="E172" s="21">
        <v>0.36</v>
      </c>
      <c r="F172" s="22">
        <f>TRUNC(18.78,2)</f>
        <v>18.78</v>
      </c>
      <c r="G172" s="22">
        <f t="shared" si="2"/>
        <v>6.76</v>
      </c>
      <c r="I172" s="2"/>
    </row>
    <row r="173" spans="1:9" s="3" customFormat="1" ht="18.75">
      <c r="A173" s="19"/>
      <c r="B173" s="270" t="s">
        <v>255</v>
      </c>
      <c r="C173" s="247" t="s">
        <v>131</v>
      </c>
      <c r="D173" s="20" t="s">
        <v>61</v>
      </c>
      <c r="E173" s="21">
        <v>0.35</v>
      </c>
      <c r="F173" s="22">
        <f>TRUNC(23.61,2)</f>
        <v>23.61</v>
      </c>
      <c r="G173" s="22">
        <f t="shared" si="2"/>
        <v>8.26</v>
      </c>
      <c r="I173" s="2"/>
    </row>
    <row r="174" spans="1:9" s="3" customFormat="1" ht="18.75">
      <c r="A174" s="19"/>
      <c r="B174" s="270" t="s">
        <v>685</v>
      </c>
      <c r="C174" s="247" t="s">
        <v>365</v>
      </c>
      <c r="D174" s="20" t="s">
        <v>61</v>
      </c>
      <c r="E174" s="21">
        <v>0.16</v>
      </c>
      <c r="F174" s="22">
        <f>TRUNC(23.48,2)</f>
        <v>23.48</v>
      </c>
      <c r="G174" s="22">
        <f t="shared" si="2"/>
        <v>3.75</v>
      </c>
      <c r="I174" s="2"/>
    </row>
    <row r="175" spans="1:9" s="3" customFormat="1" ht="18.75">
      <c r="A175" s="19"/>
      <c r="B175" s="270" t="s">
        <v>686</v>
      </c>
      <c r="C175" s="247" t="s">
        <v>314</v>
      </c>
      <c r="D175" s="20" t="s">
        <v>61</v>
      </c>
      <c r="E175" s="21">
        <v>0.16</v>
      </c>
      <c r="F175" s="22">
        <f>TRUNC(19.82,2)</f>
        <v>19.82</v>
      </c>
      <c r="G175" s="22">
        <f t="shared" si="2"/>
        <v>3.17</v>
      </c>
      <c r="I175" s="2"/>
    </row>
    <row r="176" spans="1:9" s="3" customFormat="1" ht="30">
      <c r="A176" s="19"/>
      <c r="B176" s="270" t="s">
        <v>687</v>
      </c>
      <c r="C176" s="247" t="s">
        <v>688</v>
      </c>
      <c r="D176" s="20" t="s">
        <v>20</v>
      </c>
      <c r="E176" s="21">
        <v>0.033</v>
      </c>
      <c r="F176" s="22">
        <f>TRUNC(281.23,2)</f>
        <v>281.23</v>
      </c>
      <c r="G176" s="22">
        <f t="shared" si="2"/>
        <v>9.28</v>
      </c>
      <c r="I176" s="2"/>
    </row>
    <row r="177" spans="1:9" s="3" customFormat="1" ht="30">
      <c r="A177" s="19"/>
      <c r="B177" s="270" t="s">
        <v>689</v>
      </c>
      <c r="C177" s="247" t="s">
        <v>690</v>
      </c>
      <c r="D177" s="20" t="s">
        <v>20</v>
      </c>
      <c r="E177" s="21">
        <v>0.033</v>
      </c>
      <c r="F177" s="22">
        <f>TRUNC(31.86,2)</f>
        <v>31.86</v>
      </c>
      <c r="G177" s="22">
        <f t="shared" si="2"/>
        <v>1.05</v>
      </c>
      <c r="I177" s="2"/>
    </row>
    <row r="178" spans="1:9" s="3" customFormat="1" ht="18.75">
      <c r="A178" s="19"/>
      <c r="B178" s="270"/>
      <c r="C178" s="247"/>
      <c r="D178" s="20"/>
      <c r="E178" s="21" t="s">
        <v>62</v>
      </c>
      <c r="F178" s="22"/>
      <c r="G178" s="22">
        <f>TRUNC(SUM(G167:G177),2)</f>
        <v>70.35</v>
      </c>
      <c r="I178" s="2"/>
    </row>
    <row r="179" spans="1:9" s="3" customFormat="1" ht="18.75">
      <c r="A179" s="19"/>
      <c r="B179" s="270"/>
      <c r="C179" s="247"/>
      <c r="D179" s="20"/>
      <c r="E179" s="21"/>
      <c r="F179" s="22"/>
      <c r="G179" s="22"/>
      <c r="I179" s="2"/>
    </row>
    <row r="180" spans="1:9" s="3" customFormat="1" ht="75">
      <c r="A180" s="471" t="s">
        <v>991</v>
      </c>
      <c r="B180" s="302" t="s">
        <v>691</v>
      </c>
      <c r="C180" s="306" t="s">
        <v>692</v>
      </c>
      <c r="D180" s="303" t="s">
        <v>16</v>
      </c>
      <c r="E180" s="304">
        <v>1</v>
      </c>
      <c r="F180" s="305">
        <f>G184</f>
        <v>186.6</v>
      </c>
      <c r="G180" s="305">
        <f>TRUNC(E180*F180,2)</f>
        <v>186.6</v>
      </c>
      <c r="I180" s="2"/>
    </row>
    <row r="181" spans="1:9" s="3" customFormat="1" ht="30">
      <c r="A181" s="19"/>
      <c r="B181" s="270" t="s">
        <v>243</v>
      </c>
      <c r="C181" s="247" t="s">
        <v>244</v>
      </c>
      <c r="D181" s="20" t="s">
        <v>61</v>
      </c>
      <c r="E181" s="21">
        <v>0.8755</v>
      </c>
      <c r="F181" s="22">
        <f>TRUNC(12.54,2)</f>
        <v>12.54</v>
      </c>
      <c r="G181" s="22">
        <f>TRUNC(E181*F181,2)</f>
        <v>10.97</v>
      </c>
      <c r="I181" s="2"/>
    </row>
    <row r="182" spans="1:9" s="3" customFormat="1" ht="18.75">
      <c r="A182" s="19"/>
      <c r="B182" s="270" t="s">
        <v>693</v>
      </c>
      <c r="C182" s="247" t="s">
        <v>694</v>
      </c>
      <c r="D182" s="20" t="s">
        <v>61</v>
      </c>
      <c r="E182" s="21">
        <v>0.7725</v>
      </c>
      <c r="F182" s="22">
        <f>TRUNC(17.3,2)</f>
        <v>17.3</v>
      </c>
      <c r="G182" s="22">
        <f>TRUNC(E182*F182,2)</f>
        <v>13.36</v>
      </c>
      <c r="I182" s="2"/>
    </row>
    <row r="183" spans="1:9" s="3" customFormat="1" ht="18.75">
      <c r="A183" s="19"/>
      <c r="B183" s="270" t="s">
        <v>506</v>
      </c>
      <c r="C183" s="247" t="s">
        <v>507</v>
      </c>
      <c r="D183" s="20" t="s">
        <v>30</v>
      </c>
      <c r="E183" s="21">
        <v>3.25</v>
      </c>
      <c r="F183" s="22">
        <f>TRUNC(49.93,2)</f>
        <v>49.93</v>
      </c>
      <c r="G183" s="22">
        <f>TRUNC(E183*F183,2)</f>
        <v>162.27</v>
      </c>
      <c r="I183" s="2"/>
    </row>
    <row r="184" spans="1:9" s="3" customFormat="1" ht="18.75">
      <c r="A184" s="19"/>
      <c r="B184" s="270"/>
      <c r="C184" s="247"/>
      <c r="D184" s="20"/>
      <c r="E184" s="21" t="s">
        <v>62</v>
      </c>
      <c r="F184" s="22"/>
      <c r="G184" s="22">
        <f>TRUNC(SUM(G181:G183),2)</f>
        <v>186.6</v>
      </c>
      <c r="I184" s="2"/>
    </row>
    <row r="185" spans="1:9" s="3" customFormat="1" ht="18.75">
      <c r="A185" s="19"/>
      <c r="B185" s="270"/>
      <c r="C185" s="247"/>
      <c r="D185" s="20"/>
      <c r="E185" s="21"/>
      <c r="F185" s="22"/>
      <c r="G185" s="22"/>
      <c r="I185" s="2"/>
    </row>
    <row r="186" spans="1:9" s="3" customFormat="1" ht="75">
      <c r="A186" s="471" t="s">
        <v>992</v>
      </c>
      <c r="B186" s="302" t="s">
        <v>695</v>
      </c>
      <c r="C186" s="306" t="s">
        <v>630</v>
      </c>
      <c r="D186" s="303" t="s">
        <v>20</v>
      </c>
      <c r="E186" s="313">
        <v>1</v>
      </c>
      <c r="F186" s="305">
        <f>TRUNC(1695.617888,2)</f>
        <v>1695.61</v>
      </c>
      <c r="G186" s="305">
        <f aca="true" t="shared" si="3" ref="G186:G201">TRUNC(E186*F186,2)</f>
        <v>1695.61</v>
      </c>
      <c r="I186" s="2"/>
    </row>
    <row r="187" spans="1:9" s="3" customFormat="1" ht="18.75">
      <c r="A187" s="19"/>
      <c r="B187" s="270" t="s">
        <v>413</v>
      </c>
      <c r="C187" s="247" t="s">
        <v>414</v>
      </c>
      <c r="D187" s="20" t="s">
        <v>30</v>
      </c>
      <c r="E187" s="56">
        <v>12</v>
      </c>
      <c r="F187" s="22">
        <f>TRUNC(4.18,2)</f>
        <v>4.18</v>
      </c>
      <c r="G187" s="22">
        <f t="shared" si="3"/>
        <v>50.16</v>
      </c>
      <c r="I187" s="2"/>
    </row>
    <row r="188" spans="1:9" s="3" customFormat="1" ht="18.75">
      <c r="A188" s="19"/>
      <c r="B188" s="270" t="s">
        <v>415</v>
      </c>
      <c r="C188" s="247" t="s">
        <v>416</v>
      </c>
      <c r="D188" s="20" t="s">
        <v>30</v>
      </c>
      <c r="E188" s="56">
        <v>10</v>
      </c>
      <c r="F188" s="22">
        <f>TRUNC(4.24,2)</f>
        <v>4.24</v>
      </c>
      <c r="G188" s="22">
        <f t="shared" si="3"/>
        <v>42.4</v>
      </c>
      <c r="I188" s="2"/>
    </row>
    <row r="189" spans="1:9" s="3" customFormat="1" ht="18.75">
      <c r="A189" s="19"/>
      <c r="B189" s="270" t="s">
        <v>417</v>
      </c>
      <c r="C189" s="247" t="s">
        <v>631</v>
      </c>
      <c r="D189" s="20" t="s">
        <v>20</v>
      </c>
      <c r="E189" s="56">
        <v>1</v>
      </c>
      <c r="F189" s="22">
        <f>TRUNC(280,2)</f>
        <v>280</v>
      </c>
      <c r="G189" s="22">
        <f t="shared" si="3"/>
        <v>280</v>
      </c>
      <c r="I189" s="2"/>
    </row>
    <row r="190" spans="1:9" s="3" customFormat="1" ht="18.75">
      <c r="A190" s="19"/>
      <c r="B190" s="270" t="s">
        <v>418</v>
      </c>
      <c r="C190" s="247" t="s">
        <v>419</v>
      </c>
      <c r="D190" s="20" t="s">
        <v>30</v>
      </c>
      <c r="E190" s="56">
        <v>10</v>
      </c>
      <c r="F190" s="22">
        <f>TRUNC(3.4,2)</f>
        <v>3.4</v>
      </c>
      <c r="G190" s="22">
        <f t="shared" si="3"/>
        <v>34</v>
      </c>
      <c r="I190" s="2"/>
    </row>
    <row r="191" spans="1:9" s="3" customFormat="1" ht="18.75">
      <c r="A191" s="19"/>
      <c r="B191" s="270" t="s">
        <v>420</v>
      </c>
      <c r="C191" s="247" t="s">
        <v>421</v>
      </c>
      <c r="D191" s="20" t="s">
        <v>30</v>
      </c>
      <c r="E191" s="56">
        <v>4</v>
      </c>
      <c r="F191" s="22">
        <f>TRUNC(3.44,2)</f>
        <v>3.44</v>
      </c>
      <c r="G191" s="22">
        <f t="shared" si="3"/>
        <v>13.76</v>
      </c>
      <c r="I191" s="2"/>
    </row>
    <row r="192" spans="1:9" s="3" customFormat="1" ht="18.75">
      <c r="A192" s="19"/>
      <c r="B192" s="270" t="s">
        <v>422</v>
      </c>
      <c r="C192" s="247" t="s">
        <v>423</v>
      </c>
      <c r="D192" s="20" t="s">
        <v>30</v>
      </c>
      <c r="E192" s="56">
        <v>12</v>
      </c>
      <c r="F192" s="22">
        <f>TRUNC(3.92,2)</f>
        <v>3.92</v>
      </c>
      <c r="G192" s="22">
        <f t="shared" si="3"/>
        <v>47.04</v>
      </c>
      <c r="I192" s="2"/>
    </row>
    <row r="193" spans="1:9" s="3" customFormat="1" ht="18.75">
      <c r="A193" s="19"/>
      <c r="B193" s="270" t="s">
        <v>424</v>
      </c>
      <c r="C193" s="247" t="s">
        <v>425</v>
      </c>
      <c r="D193" s="20" t="s">
        <v>30</v>
      </c>
      <c r="E193" s="56">
        <v>12</v>
      </c>
      <c r="F193" s="22">
        <f>TRUNC(4.01,2)</f>
        <v>4.01</v>
      </c>
      <c r="G193" s="22">
        <f t="shared" si="3"/>
        <v>48.12</v>
      </c>
      <c r="I193" s="2"/>
    </row>
    <row r="194" spans="1:9" s="3" customFormat="1" ht="18.75">
      <c r="A194" s="19"/>
      <c r="B194" s="270" t="s">
        <v>426</v>
      </c>
      <c r="C194" s="247" t="s">
        <v>427</v>
      </c>
      <c r="D194" s="20" t="s">
        <v>30</v>
      </c>
      <c r="E194" s="56">
        <v>1.8</v>
      </c>
      <c r="F194" s="22">
        <f>TRUNC(5.4325,2)</f>
        <v>5.43</v>
      </c>
      <c r="G194" s="22">
        <f t="shared" si="3"/>
        <v>9.77</v>
      </c>
      <c r="I194" s="2"/>
    </row>
    <row r="195" spans="1:9" s="3" customFormat="1" ht="30">
      <c r="A195" s="19"/>
      <c r="B195" s="270" t="s">
        <v>243</v>
      </c>
      <c r="C195" s="247" t="s">
        <v>244</v>
      </c>
      <c r="D195" s="20" t="s">
        <v>61</v>
      </c>
      <c r="E195" s="56">
        <v>9.4245</v>
      </c>
      <c r="F195" s="22">
        <f>TRUNC(12.54,2)</f>
        <v>12.54</v>
      </c>
      <c r="G195" s="22">
        <f t="shared" si="3"/>
        <v>118.18</v>
      </c>
      <c r="I195" s="2"/>
    </row>
    <row r="196" spans="1:9" s="3" customFormat="1" ht="18.75">
      <c r="A196" s="19"/>
      <c r="B196" s="270" t="s">
        <v>251</v>
      </c>
      <c r="C196" s="247" t="s">
        <v>252</v>
      </c>
      <c r="D196" s="20" t="s">
        <v>61</v>
      </c>
      <c r="E196" s="56">
        <v>0.515</v>
      </c>
      <c r="F196" s="22">
        <f>TRUNC(17.3,2)</f>
        <v>17.3</v>
      </c>
      <c r="G196" s="22">
        <f t="shared" si="3"/>
        <v>8.9</v>
      </c>
      <c r="I196" s="2"/>
    </row>
    <row r="197" spans="1:9" s="3" customFormat="1" ht="30">
      <c r="A197" s="19"/>
      <c r="B197" s="270" t="s">
        <v>696</v>
      </c>
      <c r="C197" s="247" t="s">
        <v>697</v>
      </c>
      <c r="D197" s="20" t="s">
        <v>61</v>
      </c>
      <c r="E197" s="56">
        <v>0.515</v>
      </c>
      <c r="F197" s="22">
        <f>TRUNC(17.3,2)</f>
        <v>17.3</v>
      </c>
      <c r="G197" s="22">
        <f t="shared" si="3"/>
        <v>8.9</v>
      </c>
      <c r="I197" s="2"/>
    </row>
    <row r="198" spans="1:9" s="3" customFormat="1" ht="30">
      <c r="A198" s="19"/>
      <c r="B198" s="270" t="s">
        <v>698</v>
      </c>
      <c r="C198" s="247" t="s">
        <v>699</v>
      </c>
      <c r="D198" s="20" t="s">
        <v>61</v>
      </c>
      <c r="E198" s="56">
        <v>6.3345</v>
      </c>
      <c r="F198" s="22">
        <f>TRUNC(17.3,2)</f>
        <v>17.3</v>
      </c>
      <c r="G198" s="22">
        <f t="shared" si="3"/>
        <v>109.58</v>
      </c>
      <c r="I198" s="2"/>
    </row>
    <row r="199" spans="1:9" s="3" customFormat="1" ht="18.75">
      <c r="A199" s="19"/>
      <c r="B199" s="270" t="s">
        <v>700</v>
      </c>
      <c r="C199" s="247" t="s">
        <v>701</v>
      </c>
      <c r="D199" s="20" t="s">
        <v>16</v>
      </c>
      <c r="E199" s="56">
        <v>14</v>
      </c>
      <c r="F199" s="22">
        <f>TRUNC(66.011,2)</f>
        <v>66.01</v>
      </c>
      <c r="G199" s="22">
        <f t="shared" si="3"/>
        <v>924.14</v>
      </c>
      <c r="I199" s="2"/>
    </row>
    <row r="200" spans="1:9" s="3" customFormat="1" ht="18.75">
      <c r="A200" s="19"/>
      <c r="B200" s="270" t="s">
        <v>702</v>
      </c>
      <c r="C200" s="247" t="s">
        <v>703</v>
      </c>
      <c r="D200" s="20" t="s">
        <v>61</v>
      </c>
      <c r="E200" s="56">
        <v>0.805</v>
      </c>
      <c r="F200" s="22">
        <f>TRUNC(0.2625,2)</f>
        <v>0.26</v>
      </c>
      <c r="G200" s="22">
        <f t="shared" si="3"/>
        <v>0.2</v>
      </c>
      <c r="I200" s="2"/>
    </row>
    <row r="201" spans="1:9" s="3" customFormat="1" ht="18.75">
      <c r="A201" s="19"/>
      <c r="B201" s="270" t="s">
        <v>704</v>
      </c>
      <c r="C201" s="247" t="s">
        <v>705</v>
      </c>
      <c r="D201" s="20" t="s">
        <v>61</v>
      </c>
      <c r="E201" s="56">
        <v>0.345</v>
      </c>
      <c r="F201" s="22">
        <f>TRUNC(1.1739,2)</f>
        <v>1.17</v>
      </c>
      <c r="G201" s="22">
        <f t="shared" si="3"/>
        <v>0.4</v>
      </c>
      <c r="I201" s="2"/>
    </row>
    <row r="202" spans="1:9" s="3" customFormat="1" ht="18.75">
      <c r="A202" s="19"/>
      <c r="B202" s="270"/>
      <c r="C202" s="247"/>
      <c r="D202" s="20"/>
      <c r="E202" s="56" t="s">
        <v>62</v>
      </c>
      <c r="F202" s="22"/>
      <c r="G202" s="22">
        <f>TRUNC(SUM(G187:G201),2)</f>
        <v>1695.55</v>
      </c>
      <c r="I202" s="2"/>
    </row>
    <row r="203" spans="1:9" s="3" customFormat="1" ht="18.75">
      <c r="A203" s="19"/>
      <c r="B203" s="270"/>
      <c r="C203" s="247"/>
      <c r="D203" s="20"/>
      <c r="E203" s="21"/>
      <c r="F203" s="22"/>
      <c r="G203" s="22"/>
      <c r="I203" s="2"/>
    </row>
    <row r="204" spans="1:7" ht="45">
      <c r="A204" s="297" t="s">
        <v>993</v>
      </c>
      <c r="B204" s="298" t="s">
        <v>706</v>
      </c>
      <c r="C204" s="299" t="s">
        <v>707</v>
      </c>
      <c r="D204" s="300" t="s">
        <v>16</v>
      </c>
      <c r="E204" s="300">
        <v>1</v>
      </c>
      <c r="F204" s="300">
        <f>G209</f>
        <v>43.78</v>
      </c>
      <c r="G204" s="300">
        <f>TRUNC(E204*F204,2)</f>
        <v>43.78</v>
      </c>
    </row>
    <row r="205" spans="1:7" ht="18.75">
      <c r="A205" s="58"/>
      <c r="B205" s="165" t="s">
        <v>75</v>
      </c>
      <c r="C205" s="296" t="s">
        <v>76</v>
      </c>
      <c r="D205" s="57" t="s">
        <v>26</v>
      </c>
      <c r="E205" s="57">
        <v>27</v>
      </c>
      <c r="F205" s="57">
        <f>TRUNC(0.5,2)</f>
        <v>0.5</v>
      </c>
      <c r="G205" s="57">
        <f>TRUNC(E205*F205,2)</f>
        <v>13.5</v>
      </c>
    </row>
    <row r="206" spans="1:7" ht="30">
      <c r="A206" s="58"/>
      <c r="B206" s="165" t="s">
        <v>243</v>
      </c>
      <c r="C206" s="296" t="s">
        <v>244</v>
      </c>
      <c r="D206" s="57" t="s">
        <v>61</v>
      </c>
      <c r="E206" s="57">
        <v>0.5871</v>
      </c>
      <c r="F206" s="57">
        <f>TRUNC(12.54,2)</f>
        <v>12.54</v>
      </c>
      <c r="G206" s="57">
        <f>TRUNC(E206*F206,2)</f>
        <v>7.36</v>
      </c>
    </row>
    <row r="207" spans="1:7" ht="18.75">
      <c r="A207" s="58"/>
      <c r="B207" s="165" t="s">
        <v>251</v>
      </c>
      <c r="C207" s="296" t="s">
        <v>252</v>
      </c>
      <c r="D207" s="57" t="s">
        <v>61</v>
      </c>
      <c r="E207" s="57">
        <v>1.1536000000000002</v>
      </c>
      <c r="F207" s="57">
        <f>TRUNC(17.3,2)</f>
        <v>17.3</v>
      </c>
      <c r="G207" s="57">
        <f>TRUNC(E207*F207,2)</f>
        <v>19.95</v>
      </c>
    </row>
    <row r="208" spans="1:7" ht="18.75">
      <c r="A208" s="58"/>
      <c r="B208" s="165" t="s">
        <v>708</v>
      </c>
      <c r="C208" s="296" t="s">
        <v>709</v>
      </c>
      <c r="D208" s="57" t="s">
        <v>20</v>
      </c>
      <c r="E208" s="57">
        <v>0.015</v>
      </c>
      <c r="F208" s="57">
        <f>TRUNC(198.6467,2)</f>
        <v>198.64</v>
      </c>
      <c r="G208" s="57">
        <f>TRUNC(E208*F208,2)</f>
        <v>2.97</v>
      </c>
    </row>
    <row r="209" spans="1:7" ht="18.75">
      <c r="A209" s="58"/>
      <c r="B209" s="165"/>
      <c r="C209" s="296"/>
      <c r="D209" s="57"/>
      <c r="E209" s="57" t="s">
        <v>62</v>
      </c>
      <c r="F209" s="57"/>
      <c r="G209" s="57">
        <f>TRUNC(SUM(G205:G208),2)</f>
        <v>43.78</v>
      </c>
    </row>
    <row r="210" spans="1:9" s="3" customFormat="1" ht="18.75">
      <c r="A210" s="472"/>
      <c r="B210" s="314"/>
      <c r="C210" s="315"/>
      <c r="D210" s="316"/>
      <c r="E210" s="317"/>
      <c r="F210" s="318"/>
      <c r="G210" s="318"/>
      <c r="I210" s="2"/>
    </row>
    <row r="211" spans="1:7" ht="30">
      <c r="A211" s="297" t="s">
        <v>994</v>
      </c>
      <c r="B211" s="298" t="s">
        <v>710</v>
      </c>
      <c r="C211" s="320" t="s">
        <v>225</v>
      </c>
      <c r="D211" s="300" t="s">
        <v>16</v>
      </c>
      <c r="E211" s="300">
        <v>1</v>
      </c>
      <c r="F211" s="300">
        <f>G215</f>
        <v>3.18</v>
      </c>
      <c r="G211" s="300">
        <f>TRUNC(E211*F211,2)</f>
        <v>3.18</v>
      </c>
    </row>
    <row r="212" spans="1:7" ht="18.75">
      <c r="A212" s="58"/>
      <c r="B212" s="165" t="s">
        <v>254</v>
      </c>
      <c r="C212" s="321" t="s">
        <v>65</v>
      </c>
      <c r="D212" s="57" t="s">
        <v>61</v>
      </c>
      <c r="E212" s="57">
        <v>0.007</v>
      </c>
      <c r="F212" s="57">
        <f>TRUNC(18.78,2)</f>
        <v>18.78</v>
      </c>
      <c r="G212" s="57">
        <f>TRUNC(E212*F212,2)</f>
        <v>0.13</v>
      </c>
    </row>
    <row r="213" spans="1:7" ht="18.75">
      <c r="A213" s="58"/>
      <c r="B213" s="165" t="s">
        <v>255</v>
      </c>
      <c r="C213" s="321" t="s">
        <v>131</v>
      </c>
      <c r="D213" s="57" t="s">
        <v>61</v>
      </c>
      <c r="E213" s="57">
        <v>0.07</v>
      </c>
      <c r="F213" s="57">
        <f>TRUNC(23.61,2)</f>
        <v>23.61</v>
      </c>
      <c r="G213" s="57">
        <f>TRUNC(E213*F213,2)</f>
        <v>1.65</v>
      </c>
    </row>
    <row r="214" spans="1:7" ht="30">
      <c r="A214" s="58"/>
      <c r="B214" s="165" t="s">
        <v>711</v>
      </c>
      <c r="C214" s="321" t="s">
        <v>226</v>
      </c>
      <c r="D214" s="57" t="s">
        <v>20</v>
      </c>
      <c r="E214" s="57">
        <v>0.0042</v>
      </c>
      <c r="F214" s="57">
        <f>TRUNC(335.38,2)</f>
        <v>335.38</v>
      </c>
      <c r="G214" s="57">
        <f>TRUNC(E214*F214,2)</f>
        <v>1.4</v>
      </c>
    </row>
    <row r="215" spans="1:7" ht="18.75">
      <c r="A215" s="58"/>
      <c r="B215" s="165"/>
      <c r="C215" s="248"/>
      <c r="D215" s="57"/>
      <c r="E215" s="57" t="s">
        <v>62</v>
      </c>
      <c r="F215" s="57"/>
      <c r="G215" s="57">
        <f>TRUNC(SUM(G212:G214),2)</f>
        <v>3.18</v>
      </c>
    </row>
    <row r="216" spans="1:7" ht="18.75">
      <c r="A216" s="58"/>
      <c r="B216" s="165"/>
      <c r="C216" s="248"/>
      <c r="D216" s="57"/>
      <c r="E216" s="57"/>
      <c r="F216" s="57"/>
      <c r="G216" s="57"/>
    </row>
    <row r="217" spans="1:7" ht="45">
      <c r="A217" s="297" t="s">
        <v>995</v>
      </c>
      <c r="B217" s="158" t="s">
        <v>712</v>
      </c>
      <c r="C217" s="319" t="s">
        <v>1108</v>
      </c>
      <c r="D217" s="300" t="s">
        <v>16</v>
      </c>
      <c r="E217" s="300">
        <v>1</v>
      </c>
      <c r="F217" s="300">
        <f>G221</f>
        <v>28.64</v>
      </c>
      <c r="G217" s="300">
        <f>TRUNC(E217*F217,2)</f>
        <v>28.64</v>
      </c>
    </row>
    <row r="218" spans="1:7" ht="18.75">
      <c r="A218" s="58"/>
      <c r="B218" s="165" t="s">
        <v>254</v>
      </c>
      <c r="C218" s="321" t="s">
        <v>65</v>
      </c>
      <c r="D218" s="57" t="s">
        <v>61</v>
      </c>
      <c r="E218" s="57">
        <v>0.171</v>
      </c>
      <c r="F218" s="57">
        <f>TRUNC(18.78,2)</f>
        <v>18.78</v>
      </c>
      <c r="G218" s="57">
        <f>TRUNC(E218*F218,2)</f>
        <v>3.21</v>
      </c>
    </row>
    <row r="219" spans="1:7" ht="18.75">
      <c r="A219" s="58"/>
      <c r="B219" s="165" t="s">
        <v>255</v>
      </c>
      <c r="C219" s="321" t="s">
        <v>131</v>
      </c>
      <c r="D219" s="57" t="s">
        <v>61</v>
      </c>
      <c r="E219" s="57">
        <v>0.47</v>
      </c>
      <c r="F219" s="57">
        <f>TRUNC(23.61,2)</f>
        <v>23.61</v>
      </c>
      <c r="G219" s="57">
        <f>TRUNC(E219*F219,2)</f>
        <v>11.09</v>
      </c>
    </row>
    <row r="220" spans="1:7" ht="45">
      <c r="A220" s="58"/>
      <c r="B220" s="165" t="s">
        <v>713</v>
      </c>
      <c r="C220" s="321" t="s">
        <v>227</v>
      </c>
      <c r="D220" s="57" t="s">
        <v>20</v>
      </c>
      <c r="E220" s="57">
        <v>0.0376</v>
      </c>
      <c r="F220" s="57">
        <f>TRUNC(381.41,2)</f>
        <v>381.41</v>
      </c>
      <c r="G220" s="57">
        <f>TRUNC(E220*F220,2)</f>
        <v>14.34</v>
      </c>
    </row>
    <row r="221" spans="1:7" ht="18.75">
      <c r="A221" s="58"/>
      <c r="B221" s="165"/>
      <c r="C221" s="321"/>
      <c r="D221" s="57"/>
      <c r="E221" s="57" t="s">
        <v>62</v>
      </c>
      <c r="F221" s="57"/>
      <c r="G221" s="57">
        <f>TRUNC(SUM(G218:G220),2)</f>
        <v>28.64</v>
      </c>
    </row>
    <row r="222" spans="1:9" s="57" customFormat="1" ht="18.75">
      <c r="A222" s="58"/>
      <c r="B222" s="165"/>
      <c r="C222" s="248"/>
      <c r="I222" s="2"/>
    </row>
    <row r="223" spans="1:9" s="3" customFormat="1" ht="30">
      <c r="A223" s="473" t="s">
        <v>996</v>
      </c>
      <c r="B223" s="324" t="s">
        <v>714</v>
      </c>
      <c r="C223" s="319" t="s">
        <v>217</v>
      </c>
      <c r="D223" s="325" t="s">
        <v>16</v>
      </c>
      <c r="E223" s="326">
        <v>1</v>
      </c>
      <c r="F223" s="327">
        <f>G230</f>
        <v>629.78</v>
      </c>
      <c r="G223" s="327">
        <f aca="true" t="shared" si="4" ref="G223:G229">TRUNC(E223*F223,2)</f>
        <v>629.78</v>
      </c>
      <c r="I223" s="2"/>
    </row>
    <row r="224" spans="1:9" s="3" customFormat="1" ht="30">
      <c r="A224" s="474"/>
      <c r="B224" s="328" t="s">
        <v>715</v>
      </c>
      <c r="C224" s="329" t="s">
        <v>218</v>
      </c>
      <c r="D224" s="322" t="s">
        <v>26</v>
      </c>
      <c r="E224" s="323">
        <v>0.5473</v>
      </c>
      <c r="F224" s="22">
        <f>TRUNC(972.32,2)</f>
        <v>972.32</v>
      </c>
      <c r="G224" s="22">
        <f t="shared" si="4"/>
        <v>532.15</v>
      </c>
      <c r="I224" s="2"/>
    </row>
    <row r="225" spans="1:9" s="3" customFormat="1" ht="30">
      <c r="A225" s="474"/>
      <c r="B225" s="328" t="s">
        <v>716</v>
      </c>
      <c r="C225" s="329" t="s">
        <v>219</v>
      </c>
      <c r="D225" s="322" t="s">
        <v>19</v>
      </c>
      <c r="E225" s="323">
        <v>6.8504</v>
      </c>
      <c r="F225" s="22">
        <f>TRUNC(8.13,2)</f>
        <v>8.13</v>
      </c>
      <c r="G225" s="22">
        <f t="shared" si="4"/>
        <v>55.69</v>
      </c>
      <c r="I225" s="2"/>
    </row>
    <row r="226" spans="1:9" s="3" customFormat="1" ht="30">
      <c r="A226" s="474"/>
      <c r="B226" s="328" t="s">
        <v>717</v>
      </c>
      <c r="C226" s="329" t="s">
        <v>220</v>
      </c>
      <c r="D226" s="322" t="s">
        <v>26</v>
      </c>
      <c r="E226" s="323">
        <v>4.8166</v>
      </c>
      <c r="F226" s="22">
        <f>TRUNC(0.73,2)</f>
        <v>0.73</v>
      </c>
      <c r="G226" s="22">
        <f t="shared" si="4"/>
        <v>3.51</v>
      </c>
      <c r="I226" s="2"/>
    </row>
    <row r="227" spans="1:9" s="3" customFormat="1" ht="18.75">
      <c r="A227" s="474"/>
      <c r="B227" s="328" t="s">
        <v>718</v>
      </c>
      <c r="C227" s="329" t="s">
        <v>90</v>
      </c>
      <c r="D227" s="322" t="s">
        <v>91</v>
      </c>
      <c r="E227" s="323">
        <v>0.8829</v>
      </c>
      <c r="F227" s="22">
        <f>TRUNC(29.25,2)</f>
        <v>29.25</v>
      </c>
      <c r="G227" s="22">
        <f t="shared" si="4"/>
        <v>25.82</v>
      </c>
      <c r="I227" s="2"/>
    </row>
    <row r="228" spans="1:9" s="3" customFormat="1" ht="18.75">
      <c r="A228" s="474"/>
      <c r="B228" s="328" t="s">
        <v>254</v>
      </c>
      <c r="C228" s="329" t="s">
        <v>65</v>
      </c>
      <c r="D228" s="322" t="s">
        <v>61</v>
      </c>
      <c r="E228" s="323">
        <v>0.191</v>
      </c>
      <c r="F228" s="22">
        <f>TRUNC(18.78,2)</f>
        <v>18.78</v>
      </c>
      <c r="G228" s="22">
        <f t="shared" si="4"/>
        <v>3.58</v>
      </c>
      <c r="I228" s="57"/>
    </row>
    <row r="229" spans="1:9" s="3" customFormat="1" ht="18.75">
      <c r="A229" s="474"/>
      <c r="B229" s="328" t="s">
        <v>255</v>
      </c>
      <c r="C229" s="329" t="s">
        <v>131</v>
      </c>
      <c r="D229" s="322" t="s">
        <v>61</v>
      </c>
      <c r="E229" s="323">
        <v>0.3826</v>
      </c>
      <c r="F229" s="22">
        <f>TRUNC(23.61,2)</f>
        <v>23.61</v>
      </c>
      <c r="G229" s="22">
        <f t="shared" si="4"/>
        <v>9.03</v>
      </c>
      <c r="I229" s="2"/>
    </row>
    <row r="230" spans="1:9" s="3" customFormat="1" ht="18.75">
      <c r="A230" s="474"/>
      <c r="B230" s="328"/>
      <c r="C230" s="329"/>
      <c r="D230" s="322"/>
      <c r="E230" s="21" t="s">
        <v>62</v>
      </c>
      <c r="F230" s="22"/>
      <c r="G230" s="22">
        <f>SUM(G224:G229)</f>
        <v>629.78</v>
      </c>
      <c r="I230" s="2"/>
    </row>
    <row r="231" spans="1:9" s="3" customFormat="1" ht="18.75">
      <c r="A231" s="19"/>
      <c r="B231" s="270"/>
      <c r="C231" s="247"/>
      <c r="D231" s="20"/>
      <c r="E231" s="21"/>
      <c r="F231" s="22"/>
      <c r="G231" s="22"/>
      <c r="I231" s="2"/>
    </row>
    <row r="232" spans="1:7" ht="30">
      <c r="A232" s="33" t="s">
        <v>997</v>
      </c>
      <c r="B232" s="169" t="s">
        <v>719</v>
      </c>
      <c r="C232" s="330" t="s">
        <v>310</v>
      </c>
      <c r="D232" s="15" t="s">
        <v>26</v>
      </c>
      <c r="E232" s="15">
        <v>1</v>
      </c>
      <c r="F232" s="15">
        <f>G237</f>
        <v>144.47</v>
      </c>
      <c r="G232" s="15">
        <f>TRUNC(E232*F232,2)</f>
        <v>144.47</v>
      </c>
    </row>
    <row r="233" spans="1:7" ht="30">
      <c r="A233" s="17"/>
      <c r="B233" s="110" t="s">
        <v>720</v>
      </c>
      <c r="C233" s="64" t="s">
        <v>311</v>
      </c>
      <c r="D233" s="2" t="s">
        <v>26</v>
      </c>
      <c r="E233" s="2">
        <v>1</v>
      </c>
      <c r="F233" s="2">
        <f>TRUNC(130.94,2)</f>
        <v>130.94</v>
      </c>
      <c r="G233" s="2">
        <f>TRUNC(E233*F233,2)</f>
        <v>130.94</v>
      </c>
    </row>
    <row r="234" spans="1:7" ht="18.75">
      <c r="A234" s="17"/>
      <c r="B234" s="110" t="s">
        <v>721</v>
      </c>
      <c r="C234" s="64" t="s">
        <v>312</v>
      </c>
      <c r="D234" s="2" t="s">
        <v>26</v>
      </c>
      <c r="E234" s="2">
        <v>1</v>
      </c>
      <c r="F234" s="2">
        <f>TRUNC(2.37,2)</f>
        <v>2.37</v>
      </c>
      <c r="G234" s="2">
        <f>TRUNC(E234*F234,2)</f>
        <v>2.37</v>
      </c>
    </row>
    <row r="235" spans="1:7" ht="18.75">
      <c r="A235" s="17"/>
      <c r="B235" s="110" t="s">
        <v>722</v>
      </c>
      <c r="C235" s="64" t="s">
        <v>313</v>
      </c>
      <c r="D235" s="2" t="s">
        <v>61</v>
      </c>
      <c r="E235" s="2">
        <v>0.25</v>
      </c>
      <c r="F235" s="2">
        <f>TRUNC(24.84,2)</f>
        <v>24.84</v>
      </c>
      <c r="G235" s="2">
        <f>TRUNC(E235*F235,2)</f>
        <v>6.21</v>
      </c>
    </row>
    <row r="236" spans="1:7" ht="18.75">
      <c r="A236" s="17"/>
      <c r="B236" s="110" t="s">
        <v>686</v>
      </c>
      <c r="C236" s="64" t="s">
        <v>314</v>
      </c>
      <c r="D236" s="2" t="s">
        <v>61</v>
      </c>
      <c r="E236" s="2">
        <v>0.25</v>
      </c>
      <c r="F236" s="2">
        <f>TRUNC(19.82,2)</f>
        <v>19.82</v>
      </c>
      <c r="G236" s="2">
        <f>TRUNC(E236*F236,2)</f>
        <v>4.95</v>
      </c>
    </row>
    <row r="237" spans="1:7" ht="18.75">
      <c r="A237" s="17"/>
      <c r="B237" s="110"/>
      <c r="C237" s="64"/>
      <c r="E237" s="2" t="s">
        <v>62</v>
      </c>
      <c r="G237" s="2">
        <f>TRUNC(SUM(G233:G236),2)</f>
        <v>144.47</v>
      </c>
    </row>
    <row r="238" spans="1:9" s="3" customFormat="1" ht="18.75">
      <c r="A238" s="19"/>
      <c r="B238" s="270"/>
      <c r="C238" s="247"/>
      <c r="D238" s="20"/>
      <c r="E238" s="21"/>
      <c r="F238" s="22"/>
      <c r="G238" s="22"/>
      <c r="I238" s="2"/>
    </row>
    <row r="239" spans="1:7" ht="18.75">
      <c r="A239" s="33" t="s">
        <v>998</v>
      </c>
      <c r="B239" s="169" t="s">
        <v>723</v>
      </c>
      <c r="C239" s="331" t="s">
        <v>388</v>
      </c>
      <c r="D239" s="15" t="s">
        <v>16</v>
      </c>
      <c r="E239" s="15">
        <v>1</v>
      </c>
      <c r="F239" s="15">
        <f>G243</f>
        <v>2.32</v>
      </c>
      <c r="G239" s="15">
        <f>TRUNC(E239*F239,2)</f>
        <v>2.32</v>
      </c>
    </row>
    <row r="240" spans="1:7" ht="18.75">
      <c r="A240" s="17"/>
      <c r="B240" s="55" t="s">
        <v>724</v>
      </c>
      <c r="C240" s="244" t="s">
        <v>389</v>
      </c>
      <c r="D240" s="2" t="s">
        <v>73</v>
      </c>
      <c r="E240" s="2">
        <v>0.16</v>
      </c>
      <c r="F240" s="2">
        <f>TRUNC(7.23,2)</f>
        <v>7.23</v>
      </c>
      <c r="G240" s="2">
        <f>TRUNC(E240*F240,2)</f>
        <v>1.15</v>
      </c>
    </row>
    <row r="241" spans="1:7" ht="18.75">
      <c r="A241" s="17"/>
      <c r="B241" s="55" t="s">
        <v>254</v>
      </c>
      <c r="C241" s="244" t="s">
        <v>65</v>
      </c>
      <c r="D241" s="2" t="s">
        <v>61</v>
      </c>
      <c r="E241" s="2">
        <v>0.014</v>
      </c>
      <c r="F241" s="2">
        <f>TRUNC(18.78,2)</f>
        <v>18.78</v>
      </c>
      <c r="G241" s="2">
        <f>TRUNC(E241*F241,2)</f>
        <v>0.26</v>
      </c>
    </row>
    <row r="242" spans="1:7" ht="18.75">
      <c r="A242" s="17"/>
      <c r="B242" s="55" t="s">
        <v>725</v>
      </c>
      <c r="C242" s="244" t="s">
        <v>191</v>
      </c>
      <c r="D242" s="2" t="s">
        <v>61</v>
      </c>
      <c r="E242" s="2">
        <v>0.039</v>
      </c>
      <c r="F242" s="2">
        <f>TRUNC(23.52,2)</f>
        <v>23.52</v>
      </c>
      <c r="G242" s="2">
        <f>TRUNC(E242*F242,2)</f>
        <v>0.91</v>
      </c>
    </row>
    <row r="243" spans="1:7" ht="18.75">
      <c r="A243" s="17"/>
      <c r="E243" s="2" t="s">
        <v>62</v>
      </c>
      <c r="G243" s="2">
        <f>TRUNC(SUM(G240:G242),2)</f>
        <v>2.32</v>
      </c>
    </row>
    <row r="244" spans="1:9" s="57" customFormat="1" ht="18.75">
      <c r="A244" s="58"/>
      <c r="B244" s="165"/>
      <c r="C244" s="249"/>
      <c r="I244" s="2"/>
    </row>
    <row r="245" spans="1:7" ht="30">
      <c r="A245" s="33" t="s">
        <v>999</v>
      </c>
      <c r="B245" s="169" t="s">
        <v>726</v>
      </c>
      <c r="C245" s="330" t="s">
        <v>49</v>
      </c>
      <c r="D245" s="15" t="s">
        <v>16</v>
      </c>
      <c r="E245" s="8">
        <v>1</v>
      </c>
      <c r="F245" s="8">
        <f>G249</f>
        <v>12.97</v>
      </c>
      <c r="G245" s="8">
        <f>TRUNC(E245*F245,2)</f>
        <v>12.97</v>
      </c>
    </row>
    <row r="246" spans="1:7" ht="18.75">
      <c r="A246" s="17"/>
      <c r="B246" s="55" t="s">
        <v>727</v>
      </c>
      <c r="C246" s="64" t="s">
        <v>192</v>
      </c>
      <c r="D246" s="2" t="s">
        <v>73</v>
      </c>
      <c r="E246" s="9">
        <v>0.2</v>
      </c>
      <c r="F246" s="9">
        <f>TRUNC(16.38,2)</f>
        <v>16.38</v>
      </c>
      <c r="G246" s="9">
        <f>TRUNC(E246*F246,2)</f>
        <v>3.27</v>
      </c>
    </row>
    <row r="247" spans="1:7" ht="18.75">
      <c r="A247" s="17"/>
      <c r="B247" s="55" t="s">
        <v>254</v>
      </c>
      <c r="C247" s="64" t="s">
        <v>65</v>
      </c>
      <c r="D247" s="2" t="s">
        <v>61</v>
      </c>
      <c r="E247" s="9">
        <v>0.086</v>
      </c>
      <c r="F247" s="9">
        <f>TRUNC(18.78,2)</f>
        <v>18.78</v>
      </c>
      <c r="G247" s="9">
        <f>TRUNC(E247*F247,2)</f>
        <v>1.61</v>
      </c>
    </row>
    <row r="248" spans="1:7" ht="18.75">
      <c r="A248" s="17"/>
      <c r="B248" s="55" t="s">
        <v>190</v>
      </c>
      <c r="C248" s="64" t="s">
        <v>191</v>
      </c>
      <c r="D248" s="2" t="s">
        <v>61</v>
      </c>
      <c r="E248" s="9">
        <v>0.344</v>
      </c>
      <c r="F248" s="9">
        <f>TRUNC(23.52,2)</f>
        <v>23.52</v>
      </c>
      <c r="G248" s="9">
        <f>TRUNC(E248*F248,2)</f>
        <v>8.09</v>
      </c>
    </row>
    <row r="249" spans="1:7" ht="18.75">
      <c r="A249" s="17"/>
      <c r="C249" s="64"/>
      <c r="E249" s="9" t="s">
        <v>62</v>
      </c>
      <c r="F249" s="9"/>
      <c r="G249" s="9">
        <f>TRUNC(SUM(G246:G248),2)</f>
        <v>12.97</v>
      </c>
    </row>
    <row r="250" spans="1:9" s="3" customFormat="1" ht="18.75">
      <c r="A250" s="19"/>
      <c r="B250" s="270"/>
      <c r="C250" s="247"/>
      <c r="D250" s="20"/>
      <c r="E250" s="21"/>
      <c r="F250" s="22"/>
      <c r="G250" s="22"/>
      <c r="I250" s="2"/>
    </row>
    <row r="251" spans="1:9" s="3" customFormat="1" ht="20.25">
      <c r="A251" s="332" t="s">
        <v>1000</v>
      </c>
      <c r="B251" s="333"/>
      <c r="C251" s="334" t="s">
        <v>31</v>
      </c>
      <c r="D251" s="335"/>
      <c r="E251" s="336"/>
      <c r="F251" s="337"/>
      <c r="G251" s="337"/>
      <c r="I251" s="2"/>
    </row>
    <row r="252" spans="1:7" ht="45">
      <c r="A252" s="297" t="s">
        <v>1001</v>
      </c>
      <c r="B252" s="298" t="s">
        <v>706</v>
      </c>
      <c r="C252" s="299" t="s">
        <v>707</v>
      </c>
      <c r="D252" s="300" t="s">
        <v>16</v>
      </c>
      <c r="E252" s="300">
        <v>1</v>
      </c>
      <c r="F252" s="300">
        <f>TRUNC(43.7992145,2)</f>
        <v>43.79</v>
      </c>
      <c r="G252" s="300">
        <f>TRUNC(E252*F252,2)</f>
        <v>43.79</v>
      </c>
    </row>
    <row r="253" spans="1:7" ht="18.75">
      <c r="A253" s="58"/>
      <c r="B253" s="165" t="s">
        <v>75</v>
      </c>
      <c r="C253" s="296" t="s">
        <v>76</v>
      </c>
      <c r="D253" s="57" t="s">
        <v>26</v>
      </c>
      <c r="E253" s="57">
        <v>27</v>
      </c>
      <c r="F253" s="57">
        <f>TRUNC(0.5,2)</f>
        <v>0.5</v>
      </c>
      <c r="G253" s="57">
        <f>TRUNC(E253*F253,2)</f>
        <v>13.5</v>
      </c>
    </row>
    <row r="254" spans="1:7" ht="30">
      <c r="A254" s="58"/>
      <c r="B254" s="165" t="s">
        <v>243</v>
      </c>
      <c r="C254" s="296" t="s">
        <v>244</v>
      </c>
      <c r="D254" s="57" t="s">
        <v>61</v>
      </c>
      <c r="E254" s="57">
        <v>0.5871</v>
      </c>
      <c r="F254" s="57">
        <f>TRUNC(12.54,2)</f>
        <v>12.54</v>
      </c>
      <c r="G254" s="57">
        <f>TRUNC(E254*F254,2)</f>
        <v>7.36</v>
      </c>
    </row>
    <row r="255" spans="1:7" ht="18.75">
      <c r="A255" s="58"/>
      <c r="B255" s="165" t="s">
        <v>251</v>
      </c>
      <c r="C255" s="296" t="s">
        <v>252</v>
      </c>
      <c r="D255" s="57" t="s">
        <v>61</v>
      </c>
      <c r="E255" s="57">
        <v>1.1536000000000002</v>
      </c>
      <c r="F255" s="57">
        <f>TRUNC(17.3,2)</f>
        <v>17.3</v>
      </c>
      <c r="G255" s="57">
        <f>TRUNC(E255*F255,2)</f>
        <v>19.95</v>
      </c>
    </row>
    <row r="256" spans="1:7" ht="18.75">
      <c r="A256" s="58"/>
      <c r="B256" s="165" t="s">
        <v>708</v>
      </c>
      <c r="C256" s="296" t="s">
        <v>709</v>
      </c>
      <c r="D256" s="57" t="s">
        <v>20</v>
      </c>
      <c r="E256" s="57">
        <v>0.015</v>
      </c>
      <c r="F256" s="57">
        <f>TRUNC(198.6467,2)</f>
        <v>198.64</v>
      </c>
      <c r="G256" s="57">
        <f>TRUNC(E256*F256,2)</f>
        <v>2.97</v>
      </c>
    </row>
    <row r="257" spans="1:7" ht="18.75">
      <c r="A257" s="58"/>
      <c r="B257" s="165"/>
      <c r="C257" s="296"/>
      <c r="D257" s="57"/>
      <c r="E257" s="57" t="s">
        <v>62</v>
      </c>
      <c r="F257" s="57"/>
      <c r="G257" s="57">
        <f>TRUNC(SUM(G253:G256),2)</f>
        <v>43.78</v>
      </c>
    </row>
    <row r="258" spans="1:2" ht="18.75">
      <c r="A258" s="17"/>
      <c r="B258" s="270"/>
    </row>
    <row r="259" spans="1:7" ht="37.5" customHeight="1">
      <c r="A259" s="297" t="s">
        <v>1002</v>
      </c>
      <c r="B259" s="338" t="s">
        <v>728</v>
      </c>
      <c r="C259" s="439" t="s">
        <v>203</v>
      </c>
      <c r="D259" s="300" t="s">
        <v>19</v>
      </c>
      <c r="E259" s="300">
        <v>1</v>
      </c>
      <c r="F259" s="300">
        <f>G268</f>
        <v>45.17</v>
      </c>
      <c r="G259" s="300">
        <f aca="true" t="shared" si="5" ref="G259:G267">TRUNC(E259*F259,2)</f>
        <v>45.17</v>
      </c>
    </row>
    <row r="260" spans="1:7" ht="30">
      <c r="A260" s="58"/>
      <c r="B260" s="314" t="s">
        <v>729</v>
      </c>
      <c r="C260" s="296" t="s">
        <v>204</v>
      </c>
      <c r="D260" s="57" t="s">
        <v>26</v>
      </c>
      <c r="E260" s="57">
        <v>6</v>
      </c>
      <c r="F260" s="57">
        <f>TRUNC(0.22,2)</f>
        <v>0.22</v>
      </c>
      <c r="G260" s="57">
        <f t="shared" si="5"/>
        <v>1.32</v>
      </c>
    </row>
    <row r="261" spans="1:7" ht="18.75">
      <c r="A261" s="58"/>
      <c r="B261" s="314" t="s">
        <v>730</v>
      </c>
      <c r="C261" s="296" t="s">
        <v>205</v>
      </c>
      <c r="D261" s="57" t="s">
        <v>19</v>
      </c>
      <c r="E261" s="57">
        <v>1.222</v>
      </c>
      <c r="F261" s="57">
        <f>TRUNC(6.7,2)</f>
        <v>6.7</v>
      </c>
      <c r="G261" s="57">
        <f t="shared" si="5"/>
        <v>8.18</v>
      </c>
    </row>
    <row r="262" spans="1:7" ht="30">
      <c r="A262" s="58"/>
      <c r="B262" s="314" t="s">
        <v>731</v>
      </c>
      <c r="C262" s="296" t="s">
        <v>206</v>
      </c>
      <c r="D262" s="57" t="s">
        <v>73</v>
      </c>
      <c r="E262" s="57">
        <v>0.005</v>
      </c>
      <c r="F262" s="57">
        <f>TRUNC(5.75,2)</f>
        <v>5.75</v>
      </c>
      <c r="G262" s="57">
        <f t="shared" si="5"/>
        <v>0.02</v>
      </c>
    </row>
    <row r="263" spans="1:7" ht="18.75">
      <c r="A263" s="58"/>
      <c r="B263" s="314" t="s">
        <v>254</v>
      </c>
      <c r="C263" s="296" t="s">
        <v>65</v>
      </c>
      <c r="D263" s="57" t="s">
        <v>61</v>
      </c>
      <c r="E263" s="57">
        <v>0.193</v>
      </c>
      <c r="F263" s="57">
        <f>TRUNC(18.78,2)</f>
        <v>18.78</v>
      </c>
      <c r="G263" s="57">
        <f t="shared" si="5"/>
        <v>3.62</v>
      </c>
    </row>
    <row r="264" spans="1:7" ht="18.75">
      <c r="A264" s="58"/>
      <c r="B264" s="314" t="s">
        <v>255</v>
      </c>
      <c r="C264" s="296" t="s">
        <v>131</v>
      </c>
      <c r="D264" s="57" t="s">
        <v>61</v>
      </c>
      <c r="E264" s="57">
        <v>0.386</v>
      </c>
      <c r="F264" s="57">
        <f>TRUNC(23.61,2)</f>
        <v>23.61</v>
      </c>
      <c r="G264" s="57">
        <f t="shared" si="5"/>
        <v>9.11</v>
      </c>
    </row>
    <row r="265" spans="1:7" ht="30">
      <c r="A265" s="58"/>
      <c r="B265" s="314" t="s">
        <v>689</v>
      </c>
      <c r="C265" s="296" t="s">
        <v>207</v>
      </c>
      <c r="D265" s="57" t="s">
        <v>20</v>
      </c>
      <c r="E265" s="57">
        <v>0.012</v>
      </c>
      <c r="F265" s="57">
        <f>TRUNC(281.23,2)</f>
        <v>281.23</v>
      </c>
      <c r="G265" s="57">
        <f t="shared" si="5"/>
        <v>3.37</v>
      </c>
    </row>
    <row r="266" spans="1:7" ht="30">
      <c r="A266" s="58"/>
      <c r="B266" s="314" t="s">
        <v>732</v>
      </c>
      <c r="C266" s="296" t="s">
        <v>208</v>
      </c>
      <c r="D266" s="57" t="s">
        <v>30</v>
      </c>
      <c r="E266" s="57">
        <v>0.308</v>
      </c>
      <c r="F266" s="57">
        <f>TRUNC(6.62,2)</f>
        <v>6.62</v>
      </c>
      <c r="G266" s="57">
        <f t="shared" si="5"/>
        <v>2.03</v>
      </c>
    </row>
    <row r="267" spans="1:7" ht="30">
      <c r="A267" s="58"/>
      <c r="B267" s="314" t="s">
        <v>733</v>
      </c>
      <c r="C267" s="296" t="s">
        <v>209</v>
      </c>
      <c r="D267" s="57" t="s">
        <v>16</v>
      </c>
      <c r="E267" s="57">
        <v>0.3</v>
      </c>
      <c r="F267" s="57">
        <f>TRUNC(58.4,2)</f>
        <v>58.4</v>
      </c>
      <c r="G267" s="57">
        <f t="shared" si="5"/>
        <v>17.52</v>
      </c>
    </row>
    <row r="268" spans="1:7" ht="18.75">
      <c r="A268" s="58"/>
      <c r="B268" s="314"/>
      <c r="C268" s="296"/>
      <c r="D268" s="57"/>
      <c r="E268" s="57" t="s">
        <v>62</v>
      </c>
      <c r="F268" s="57"/>
      <c r="G268" s="57">
        <f>TRUNC(SUM(G260:G267),2)</f>
        <v>45.17</v>
      </c>
    </row>
    <row r="269" ht="18.75">
      <c r="A269" s="17"/>
    </row>
    <row r="270" spans="1:7" ht="18.75">
      <c r="A270" s="283" t="s">
        <v>1003</v>
      </c>
      <c r="B270" s="284"/>
      <c r="C270" s="309" t="s">
        <v>79</v>
      </c>
      <c r="D270" s="281"/>
      <c r="E270" s="281"/>
      <c r="F270" s="281"/>
      <c r="G270" s="281"/>
    </row>
    <row r="271" spans="1:7" ht="45">
      <c r="A271" s="297" t="s">
        <v>1004</v>
      </c>
      <c r="B271" s="158" t="s">
        <v>734</v>
      </c>
      <c r="C271" s="320" t="s">
        <v>735</v>
      </c>
      <c r="D271" s="300" t="s">
        <v>16</v>
      </c>
      <c r="E271" s="300">
        <v>1</v>
      </c>
      <c r="F271" s="300">
        <f>TRUNC(26.82956,2)</f>
        <v>26.82</v>
      </c>
      <c r="G271" s="300">
        <f aca="true" t="shared" si="6" ref="G271:G276">TRUNC(E271*F271,2)</f>
        <v>26.82</v>
      </c>
    </row>
    <row r="272" spans="1:7" ht="30">
      <c r="A272" s="58" t="s">
        <v>1109</v>
      </c>
      <c r="B272" s="339" t="s">
        <v>50</v>
      </c>
      <c r="C272" s="315" t="s">
        <v>51</v>
      </c>
      <c r="D272" s="66" t="s">
        <v>30</v>
      </c>
      <c r="E272" s="66">
        <v>0.1</v>
      </c>
      <c r="F272" s="66">
        <f>TRUNC(8.39,2)</f>
        <v>8.39</v>
      </c>
      <c r="G272" s="340">
        <f t="shared" si="6"/>
        <v>0.83</v>
      </c>
    </row>
    <row r="273" spans="1:7" ht="30">
      <c r="A273" s="58"/>
      <c r="B273" s="339" t="s">
        <v>243</v>
      </c>
      <c r="C273" s="315" t="s">
        <v>244</v>
      </c>
      <c r="D273" s="66" t="s">
        <v>61</v>
      </c>
      <c r="E273" s="66">
        <v>0.309</v>
      </c>
      <c r="F273" s="66">
        <f>TRUNC(12.54,2)</f>
        <v>12.54</v>
      </c>
      <c r="G273" s="340">
        <f t="shared" si="6"/>
        <v>3.87</v>
      </c>
    </row>
    <row r="274" spans="1:7" ht="30">
      <c r="A274" s="58"/>
      <c r="B274" s="339" t="s">
        <v>696</v>
      </c>
      <c r="C274" s="315" t="s">
        <v>697</v>
      </c>
      <c r="D274" s="66" t="s">
        <v>61</v>
      </c>
      <c r="E274" s="66">
        <v>0.309</v>
      </c>
      <c r="F274" s="66">
        <f>TRUNC(17.3,2)</f>
        <v>17.3</v>
      </c>
      <c r="G274" s="340">
        <f t="shared" si="6"/>
        <v>5.34</v>
      </c>
    </row>
    <row r="275" spans="1:7" ht="18.75">
      <c r="A275" s="58"/>
      <c r="B275" s="339" t="s">
        <v>736</v>
      </c>
      <c r="C275" s="315" t="s">
        <v>737</v>
      </c>
      <c r="D275" s="66" t="s">
        <v>19</v>
      </c>
      <c r="E275" s="66">
        <v>0.75</v>
      </c>
      <c r="F275" s="66">
        <f>TRUNC(19.56,2)</f>
        <v>19.56</v>
      </c>
      <c r="G275" s="340">
        <f t="shared" si="6"/>
        <v>14.67</v>
      </c>
    </row>
    <row r="276" spans="1:7" ht="18.75">
      <c r="A276" s="58"/>
      <c r="B276" s="339" t="s">
        <v>738</v>
      </c>
      <c r="C276" s="315" t="s">
        <v>739</v>
      </c>
      <c r="D276" s="66" t="s">
        <v>19</v>
      </c>
      <c r="E276" s="66">
        <v>0.175</v>
      </c>
      <c r="F276" s="66">
        <f>TRUNC(12,2)</f>
        <v>12</v>
      </c>
      <c r="G276" s="340">
        <f t="shared" si="6"/>
        <v>2.1</v>
      </c>
    </row>
    <row r="277" spans="1:7" ht="18.75">
      <c r="A277" s="58"/>
      <c r="B277" s="339"/>
      <c r="C277" s="315"/>
      <c r="D277" s="66"/>
      <c r="E277" s="66" t="s">
        <v>62</v>
      </c>
      <c r="F277" s="66"/>
      <c r="G277" s="340">
        <f>TRUNC(SUM(G272:G276),2)</f>
        <v>26.81</v>
      </c>
    </row>
    <row r="278" spans="1:7" ht="18.75">
      <c r="A278" s="58"/>
      <c r="B278" s="341"/>
      <c r="C278" s="315"/>
      <c r="D278" s="66"/>
      <c r="E278" s="66"/>
      <c r="F278" s="66"/>
      <c r="G278" s="340"/>
    </row>
    <row r="279" spans="1:7" ht="67.5" customHeight="1">
      <c r="A279" s="58" t="s">
        <v>1110</v>
      </c>
      <c r="B279" s="341" t="s">
        <v>740</v>
      </c>
      <c r="C279" s="315" t="s">
        <v>741</v>
      </c>
      <c r="D279" s="66" t="s">
        <v>16</v>
      </c>
      <c r="E279" s="66">
        <v>1</v>
      </c>
      <c r="F279" s="66">
        <f>TRUNC(23.50026,2)</f>
        <v>23.5</v>
      </c>
      <c r="G279" s="340">
        <f aca="true" t="shared" si="7" ref="G279:G284">TRUNC(E279*F279,2)</f>
        <v>23.5</v>
      </c>
    </row>
    <row r="280" spans="1:7" ht="67.5" customHeight="1">
      <c r="A280" s="58"/>
      <c r="B280" s="341" t="s">
        <v>80</v>
      </c>
      <c r="C280" s="315" t="s">
        <v>81</v>
      </c>
      <c r="D280" s="66" t="s">
        <v>19</v>
      </c>
      <c r="E280" s="66">
        <v>1.4</v>
      </c>
      <c r="F280" s="66">
        <f>TRUNC(10,2)</f>
        <v>10</v>
      </c>
      <c r="G280" s="340">
        <f t="shared" si="7"/>
        <v>14</v>
      </c>
    </row>
    <row r="281" spans="1:7" ht="67.5" customHeight="1">
      <c r="A281" s="58"/>
      <c r="B281" s="341" t="s">
        <v>50</v>
      </c>
      <c r="C281" s="315" t="s">
        <v>51</v>
      </c>
      <c r="D281" s="66" t="s">
        <v>30</v>
      </c>
      <c r="E281" s="66">
        <v>0.01</v>
      </c>
      <c r="F281" s="66">
        <f>TRUNC(8.39,2)</f>
        <v>8.39</v>
      </c>
      <c r="G281" s="340">
        <f t="shared" si="7"/>
        <v>0.08</v>
      </c>
    </row>
    <row r="282" spans="1:7" ht="67.5" customHeight="1">
      <c r="A282" s="58"/>
      <c r="B282" s="341" t="s">
        <v>77</v>
      </c>
      <c r="C282" s="315" t="s">
        <v>78</v>
      </c>
      <c r="D282" s="66" t="s">
        <v>30</v>
      </c>
      <c r="E282" s="66">
        <v>0.055</v>
      </c>
      <c r="F282" s="66">
        <f>TRUNC(3.56,2)</f>
        <v>3.56</v>
      </c>
      <c r="G282" s="340">
        <f t="shared" si="7"/>
        <v>0.19</v>
      </c>
    </row>
    <row r="283" spans="1:7" ht="67.5" customHeight="1">
      <c r="A283" s="58"/>
      <c r="B283" s="341" t="s">
        <v>243</v>
      </c>
      <c r="C283" s="315" t="s">
        <v>244</v>
      </c>
      <c r="D283" s="66" t="s">
        <v>61</v>
      </c>
      <c r="E283" s="66">
        <v>0.309</v>
      </c>
      <c r="F283" s="66">
        <f>TRUNC(12.54,2)</f>
        <v>12.54</v>
      </c>
      <c r="G283" s="340">
        <f t="shared" si="7"/>
        <v>3.87</v>
      </c>
    </row>
    <row r="284" spans="1:7" ht="67.5" customHeight="1">
      <c r="A284" s="58"/>
      <c r="B284" s="341" t="s">
        <v>696</v>
      </c>
      <c r="C284" s="315" t="s">
        <v>697</v>
      </c>
      <c r="D284" s="66" t="s">
        <v>61</v>
      </c>
      <c r="E284" s="66">
        <v>0.309</v>
      </c>
      <c r="F284" s="66">
        <f>TRUNC(17.3,2)</f>
        <v>17.3</v>
      </c>
      <c r="G284" s="340">
        <f t="shared" si="7"/>
        <v>5.34</v>
      </c>
    </row>
    <row r="285" spans="1:7" ht="67.5" customHeight="1">
      <c r="A285" s="58"/>
      <c r="B285" s="341"/>
      <c r="C285" s="315"/>
      <c r="D285" s="66"/>
      <c r="E285" s="66" t="s">
        <v>62</v>
      </c>
      <c r="F285" s="66"/>
      <c r="G285" s="340">
        <f>TRUNC(SUM(G280:G284),2)</f>
        <v>23.48</v>
      </c>
    </row>
    <row r="286" spans="1:7" ht="47.25">
      <c r="A286" s="58"/>
      <c r="B286" s="440" t="s">
        <v>742</v>
      </c>
      <c r="C286" s="441" t="s">
        <v>212</v>
      </c>
      <c r="D286" s="442" t="s">
        <v>1111</v>
      </c>
      <c r="E286" s="442"/>
      <c r="F286" s="443" t="s">
        <v>213</v>
      </c>
      <c r="G286" s="444">
        <f>G271+G279</f>
        <v>50.32</v>
      </c>
    </row>
    <row r="287" spans="1:7" ht="19.5" thickBot="1">
      <c r="A287" s="58"/>
      <c r="B287" s="342"/>
      <c r="C287" s="343"/>
      <c r="D287" s="344"/>
      <c r="E287" s="344"/>
      <c r="F287" s="344"/>
      <c r="G287" s="345"/>
    </row>
    <row r="288" spans="1:7" ht="18.75">
      <c r="A288" s="17"/>
      <c r="B288" s="110"/>
      <c r="C288" s="247"/>
      <c r="D288" s="10"/>
      <c r="E288" s="10"/>
      <c r="F288" s="10"/>
      <c r="G288" s="10"/>
    </row>
    <row r="289" spans="1:7" ht="45">
      <c r="A289" s="297" t="s">
        <v>1005</v>
      </c>
      <c r="B289" s="298" t="s">
        <v>743</v>
      </c>
      <c r="C289" s="320" t="s">
        <v>744</v>
      </c>
      <c r="D289" s="300" t="s">
        <v>16</v>
      </c>
      <c r="E289" s="300">
        <v>1</v>
      </c>
      <c r="F289" s="300">
        <f>TRUNC(70.73096,2)</f>
        <v>70.73</v>
      </c>
      <c r="G289" s="300">
        <f aca="true" t="shared" si="8" ref="G289:G295">TRUNC(E289*F289,2)</f>
        <v>70.73</v>
      </c>
    </row>
    <row r="290" spans="1:7" ht="30">
      <c r="A290" s="58"/>
      <c r="B290" s="165" t="s">
        <v>273</v>
      </c>
      <c r="C290" s="321" t="s">
        <v>274</v>
      </c>
      <c r="D290" s="57" t="s">
        <v>26</v>
      </c>
      <c r="E290" s="57">
        <v>0.87</v>
      </c>
      <c r="F290" s="57">
        <f>TRUNC(65.09,2)</f>
        <v>65.09</v>
      </c>
      <c r="G290" s="57">
        <f t="shared" si="8"/>
        <v>56.62</v>
      </c>
    </row>
    <row r="291" spans="1:7" ht="18.75">
      <c r="A291" s="58"/>
      <c r="B291" s="165" t="s">
        <v>210</v>
      </c>
      <c r="C291" s="321" t="s">
        <v>211</v>
      </c>
      <c r="D291" s="57" t="s">
        <v>26</v>
      </c>
      <c r="E291" s="57">
        <v>1.45</v>
      </c>
      <c r="F291" s="57">
        <f>TRUNC(2.5,2)</f>
        <v>2.5</v>
      </c>
      <c r="G291" s="57">
        <f t="shared" si="8"/>
        <v>3.62</v>
      </c>
    </row>
    <row r="292" spans="1:7" ht="30">
      <c r="A292" s="58"/>
      <c r="B292" s="165" t="s">
        <v>82</v>
      </c>
      <c r="C292" s="321" t="s">
        <v>83</v>
      </c>
      <c r="D292" s="57" t="s">
        <v>26</v>
      </c>
      <c r="E292" s="57">
        <v>1.45</v>
      </c>
      <c r="F292" s="57">
        <f>TRUNC(0.25,2)</f>
        <v>0.25</v>
      </c>
      <c r="G292" s="57">
        <f t="shared" si="8"/>
        <v>0.36</v>
      </c>
    </row>
    <row r="293" spans="1:7" ht="18.75">
      <c r="A293" s="58"/>
      <c r="B293" s="165" t="s">
        <v>84</v>
      </c>
      <c r="C293" s="321" t="s">
        <v>85</v>
      </c>
      <c r="D293" s="57" t="s">
        <v>30</v>
      </c>
      <c r="E293" s="57">
        <v>0.09</v>
      </c>
      <c r="F293" s="57">
        <f>TRUNC(9.94,2)</f>
        <v>9.94</v>
      </c>
      <c r="G293" s="57">
        <f t="shared" si="8"/>
        <v>0.89</v>
      </c>
    </row>
    <row r="294" spans="1:7" ht="30">
      <c r="A294" s="58"/>
      <c r="B294" s="165" t="s">
        <v>243</v>
      </c>
      <c r="C294" s="321" t="s">
        <v>244</v>
      </c>
      <c r="D294" s="57" t="s">
        <v>61</v>
      </c>
      <c r="E294" s="57">
        <v>0.309</v>
      </c>
      <c r="F294" s="57">
        <f>TRUNC(12.54,2)</f>
        <v>12.54</v>
      </c>
      <c r="G294" s="57">
        <f t="shared" si="8"/>
        <v>3.87</v>
      </c>
    </row>
    <row r="295" spans="1:7" ht="30">
      <c r="A295" s="58"/>
      <c r="B295" s="165" t="s">
        <v>696</v>
      </c>
      <c r="C295" s="321" t="s">
        <v>697</v>
      </c>
      <c r="D295" s="57" t="s">
        <v>61</v>
      </c>
      <c r="E295" s="57">
        <v>0.309</v>
      </c>
      <c r="F295" s="57">
        <f>TRUNC(17.3,2)</f>
        <v>17.3</v>
      </c>
      <c r="G295" s="57">
        <f t="shared" si="8"/>
        <v>5.34</v>
      </c>
    </row>
    <row r="296" spans="1:7" ht="18.75">
      <c r="A296" s="58"/>
      <c r="B296" s="165"/>
      <c r="C296" s="321"/>
      <c r="D296" s="57"/>
      <c r="E296" s="57" t="s">
        <v>62</v>
      </c>
      <c r="F296" s="57"/>
      <c r="G296" s="57">
        <f>TRUNC(SUM(G290:G295),2)</f>
        <v>70.7</v>
      </c>
    </row>
    <row r="297" spans="1:7" ht="45">
      <c r="A297" s="33" t="s">
        <v>1006</v>
      </c>
      <c r="B297" s="118" t="s">
        <v>431</v>
      </c>
      <c r="C297" s="306" t="s">
        <v>447</v>
      </c>
      <c r="D297" s="15" t="s">
        <v>19</v>
      </c>
      <c r="E297" s="15">
        <v>1</v>
      </c>
      <c r="F297" s="15">
        <f>G307</f>
        <v>75.48894</v>
      </c>
      <c r="G297" s="15">
        <f>TRUNC(E297*F297,2)</f>
        <v>75.48</v>
      </c>
    </row>
    <row r="298" spans="1:7" ht="18.75">
      <c r="A298" s="58"/>
      <c r="B298" s="165" t="s">
        <v>290</v>
      </c>
      <c r="C298" s="321" t="s">
        <v>291</v>
      </c>
      <c r="D298" s="57" t="s">
        <v>30</v>
      </c>
      <c r="E298" s="57">
        <v>0.42</v>
      </c>
      <c r="F298" s="57">
        <v>69.05</v>
      </c>
      <c r="G298" s="57">
        <f>TRUNC(E298*F298,2)</f>
        <v>29</v>
      </c>
    </row>
    <row r="299" spans="1:7" ht="30">
      <c r="A299" s="58"/>
      <c r="B299" s="346" t="s">
        <v>292</v>
      </c>
      <c r="C299" s="347" t="s">
        <v>293</v>
      </c>
      <c r="D299" s="348" t="s">
        <v>26</v>
      </c>
      <c r="E299" s="348">
        <v>0.97</v>
      </c>
      <c r="F299" s="348">
        <v>20.02</v>
      </c>
      <c r="G299" s="348"/>
    </row>
    <row r="300" spans="1:7" ht="18.75">
      <c r="A300" s="58"/>
      <c r="B300" s="165" t="s">
        <v>133</v>
      </c>
      <c r="C300" s="321" t="s">
        <v>448</v>
      </c>
      <c r="D300" s="57" t="s">
        <v>26</v>
      </c>
      <c r="E300" s="57">
        <v>1.626</v>
      </c>
      <c r="F300" s="57">
        <v>25.19</v>
      </c>
      <c r="G300" s="57">
        <f>E300*F300</f>
        <v>40.95894</v>
      </c>
    </row>
    <row r="301" spans="1:7" ht="30">
      <c r="A301" s="58"/>
      <c r="B301" s="165" t="s">
        <v>294</v>
      </c>
      <c r="C301" s="321" t="s">
        <v>295</v>
      </c>
      <c r="D301" s="57" t="s">
        <v>26</v>
      </c>
      <c r="E301" s="57">
        <v>2.06</v>
      </c>
      <c r="F301" s="57">
        <f>TRUNC(0.95,2)</f>
        <v>0.95</v>
      </c>
      <c r="G301" s="57">
        <f>TRUNC(E301*F301,2)</f>
        <v>1.95</v>
      </c>
    </row>
    <row r="302" spans="1:7" ht="30">
      <c r="A302" s="58"/>
      <c r="B302" s="165" t="s">
        <v>296</v>
      </c>
      <c r="C302" s="321" t="s">
        <v>297</v>
      </c>
      <c r="D302" s="57" t="s">
        <v>298</v>
      </c>
      <c r="E302" s="57">
        <v>2.06</v>
      </c>
      <c r="F302" s="57">
        <f>TRUNC(0.18,2)</f>
        <v>0.18</v>
      </c>
      <c r="G302" s="57">
        <f>TRUNC(E302*F302,2)</f>
        <v>0.37</v>
      </c>
    </row>
    <row r="303" spans="1:7" ht="18.75">
      <c r="A303" s="58"/>
      <c r="B303" s="165" t="s">
        <v>92</v>
      </c>
      <c r="C303" s="321" t="s">
        <v>93</v>
      </c>
      <c r="D303" s="57" t="s">
        <v>61</v>
      </c>
      <c r="E303" s="57">
        <v>0.08</v>
      </c>
      <c r="F303" s="57">
        <f>TRUNC(21.42,2)</f>
        <v>21.42</v>
      </c>
      <c r="G303" s="57">
        <f>TRUNC(E303*F303,2)</f>
        <v>1.71</v>
      </c>
    </row>
    <row r="304" spans="1:7" ht="18.75">
      <c r="A304" s="58"/>
      <c r="B304" s="165" t="s">
        <v>64</v>
      </c>
      <c r="C304" s="321" t="s">
        <v>65</v>
      </c>
      <c r="D304" s="57" t="s">
        <v>61</v>
      </c>
      <c r="E304" s="57">
        <v>0.08</v>
      </c>
      <c r="F304" s="57">
        <f>TRUNC(18.78,2)</f>
        <v>18.78</v>
      </c>
      <c r="G304" s="57">
        <f>TRUNC(E304*F304,2)</f>
        <v>1.5</v>
      </c>
    </row>
    <row r="305" spans="1:7" ht="30">
      <c r="A305" s="58"/>
      <c r="B305" s="346" t="s">
        <v>94</v>
      </c>
      <c r="C305" s="347" t="s">
        <v>95</v>
      </c>
      <c r="D305" s="348" t="s">
        <v>67</v>
      </c>
      <c r="E305" s="348">
        <v>0.0183</v>
      </c>
      <c r="F305" s="348">
        <v>24.84</v>
      </c>
      <c r="G305" s="348"/>
    </row>
    <row r="306" spans="1:7" ht="30">
      <c r="A306" s="58"/>
      <c r="B306" s="346" t="s">
        <v>96</v>
      </c>
      <c r="C306" s="347" t="s">
        <v>97</v>
      </c>
      <c r="D306" s="348" t="s">
        <v>68</v>
      </c>
      <c r="E306" s="348">
        <v>0.0132</v>
      </c>
      <c r="F306" s="348">
        <v>25.48</v>
      </c>
      <c r="G306" s="348"/>
    </row>
    <row r="307" spans="1:7" ht="18.75">
      <c r="A307" s="58"/>
      <c r="B307" s="165"/>
      <c r="C307" s="321"/>
      <c r="D307" s="57"/>
      <c r="E307" s="57" t="s">
        <v>62</v>
      </c>
      <c r="F307" s="57"/>
      <c r="G307" s="57">
        <f>SUM(G298:G306)</f>
        <v>75.48894</v>
      </c>
    </row>
    <row r="308" spans="1:3" ht="18.75">
      <c r="A308" s="17"/>
      <c r="C308" s="251"/>
    </row>
    <row r="309" spans="1:7" ht="45">
      <c r="A309" s="349" t="s">
        <v>1007</v>
      </c>
      <c r="B309" s="350" t="s">
        <v>432</v>
      </c>
      <c r="C309" s="351" t="s">
        <v>449</v>
      </c>
      <c r="D309" s="352" t="s">
        <v>19</v>
      </c>
      <c r="E309" s="352">
        <v>1</v>
      </c>
      <c r="F309" s="352">
        <f>G319</f>
        <v>42.804</v>
      </c>
      <c r="G309" s="352">
        <f>TRUNC(E309*F309,2)</f>
        <v>42.8</v>
      </c>
    </row>
    <row r="310" spans="1:7" ht="18.75">
      <c r="A310" s="356"/>
      <c r="B310" s="357" t="s">
        <v>290</v>
      </c>
      <c r="C310" s="358" t="s">
        <v>291</v>
      </c>
      <c r="D310" s="359" t="s">
        <v>30</v>
      </c>
      <c r="E310" s="359">
        <v>0.42</v>
      </c>
      <c r="F310" s="359">
        <v>69.05</v>
      </c>
      <c r="G310" s="360">
        <f>TRUNC(E310*F310,2)</f>
        <v>29</v>
      </c>
    </row>
    <row r="311" spans="1:7" ht="30">
      <c r="A311" s="361"/>
      <c r="B311" s="353" t="s">
        <v>292</v>
      </c>
      <c r="C311" s="354" t="s">
        <v>293</v>
      </c>
      <c r="D311" s="355" t="s">
        <v>26</v>
      </c>
      <c r="E311" s="355">
        <v>0.97</v>
      </c>
      <c r="F311" s="355">
        <f>TRUNC(18.59,2)</f>
        <v>18.59</v>
      </c>
      <c r="G311" s="362"/>
    </row>
    <row r="312" spans="1:7" ht="30">
      <c r="A312" s="361"/>
      <c r="B312" s="268" t="s">
        <v>133</v>
      </c>
      <c r="C312" s="315" t="s">
        <v>450</v>
      </c>
      <c r="D312" s="66" t="s">
        <v>26</v>
      </c>
      <c r="E312" s="66">
        <v>2.364</v>
      </c>
      <c r="F312" s="66">
        <v>3.5</v>
      </c>
      <c r="G312" s="363">
        <f>E312*F312</f>
        <v>8.274</v>
      </c>
    </row>
    <row r="313" spans="1:7" ht="30">
      <c r="A313" s="361"/>
      <c r="B313" s="268" t="s">
        <v>294</v>
      </c>
      <c r="C313" s="315" t="s">
        <v>295</v>
      </c>
      <c r="D313" s="66" t="s">
        <v>26</v>
      </c>
      <c r="E313" s="66">
        <v>2.06</v>
      </c>
      <c r="F313" s="66">
        <v>0.95</v>
      </c>
      <c r="G313" s="363">
        <f>TRUNC(E313*F313,2)</f>
        <v>1.95</v>
      </c>
    </row>
    <row r="314" spans="1:7" ht="30">
      <c r="A314" s="361"/>
      <c r="B314" s="268" t="s">
        <v>296</v>
      </c>
      <c r="C314" s="315" t="s">
        <v>297</v>
      </c>
      <c r="D314" s="66" t="s">
        <v>298</v>
      </c>
      <c r="E314" s="66">
        <v>2.06</v>
      </c>
      <c r="F314" s="66">
        <v>0.18</v>
      </c>
      <c r="G314" s="363">
        <f>TRUNC(E314*F314,2)</f>
        <v>0.37</v>
      </c>
    </row>
    <row r="315" spans="1:7" ht="18.75">
      <c r="A315" s="361"/>
      <c r="B315" s="268" t="s">
        <v>92</v>
      </c>
      <c r="C315" s="315" t="s">
        <v>93</v>
      </c>
      <c r="D315" s="66" t="s">
        <v>61</v>
      </c>
      <c r="E315" s="66">
        <v>0.08</v>
      </c>
      <c r="F315" s="66">
        <v>21.42</v>
      </c>
      <c r="G315" s="363">
        <f>TRUNC(E315*F315,2)</f>
        <v>1.71</v>
      </c>
    </row>
    <row r="316" spans="1:7" ht="18.75">
      <c r="A316" s="361"/>
      <c r="B316" s="268" t="s">
        <v>64</v>
      </c>
      <c r="C316" s="315" t="s">
        <v>65</v>
      </c>
      <c r="D316" s="66" t="s">
        <v>61</v>
      </c>
      <c r="E316" s="66">
        <v>0.08</v>
      </c>
      <c r="F316" s="66">
        <v>18.78</v>
      </c>
      <c r="G316" s="363">
        <f>TRUNC(E316*F316,2)</f>
        <v>1.5</v>
      </c>
    </row>
    <row r="317" spans="1:7" ht="30">
      <c r="A317" s="361"/>
      <c r="B317" s="353" t="s">
        <v>94</v>
      </c>
      <c r="C317" s="354" t="s">
        <v>95</v>
      </c>
      <c r="D317" s="355" t="s">
        <v>67</v>
      </c>
      <c r="E317" s="355">
        <v>0.0183</v>
      </c>
      <c r="F317" s="355">
        <f>TRUNC(27.74,2)</f>
        <v>27.74</v>
      </c>
      <c r="G317" s="362"/>
    </row>
    <row r="318" spans="1:7" ht="30">
      <c r="A318" s="361"/>
      <c r="B318" s="353" t="s">
        <v>96</v>
      </c>
      <c r="C318" s="354" t="s">
        <v>97</v>
      </c>
      <c r="D318" s="355" t="s">
        <v>68</v>
      </c>
      <c r="E318" s="355">
        <v>0.0132</v>
      </c>
      <c r="F318" s="355">
        <f>TRUNC(28.35,2)</f>
        <v>28.35</v>
      </c>
      <c r="G318" s="362"/>
    </row>
    <row r="319" spans="1:7" ht="18.75">
      <c r="A319" s="361"/>
      <c r="B319" s="268"/>
      <c r="C319" s="315"/>
      <c r="D319" s="66"/>
      <c r="E319" s="66" t="s">
        <v>62</v>
      </c>
      <c r="F319" s="66"/>
      <c r="G319" s="363">
        <f>SUM(G310:G318)</f>
        <v>42.804</v>
      </c>
    </row>
    <row r="320" spans="1:7" ht="18.75">
      <c r="A320" s="449"/>
      <c r="B320" s="450"/>
      <c r="C320" s="451"/>
      <c r="D320" s="452"/>
      <c r="E320" s="452"/>
      <c r="F320" s="452"/>
      <c r="G320" s="453"/>
    </row>
    <row r="321" spans="1:7" ht="31.5">
      <c r="A321" s="445" t="s">
        <v>1008</v>
      </c>
      <c r="B321" s="446" t="s">
        <v>747</v>
      </c>
      <c r="C321" s="447" t="s">
        <v>214</v>
      </c>
      <c r="D321" s="448" t="s">
        <v>19</v>
      </c>
      <c r="E321" s="448">
        <v>1</v>
      </c>
      <c r="F321" s="448">
        <f>G331</f>
        <v>26.61</v>
      </c>
      <c r="G321" s="448">
        <f aca="true" t="shared" si="9" ref="G321:G330">TRUNC(E321*F321,2)</f>
        <v>26.61</v>
      </c>
    </row>
    <row r="322" spans="1:7" ht="30">
      <c r="A322" s="17"/>
      <c r="B322" s="341" t="s">
        <v>748</v>
      </c>
      <c r="C322" s="315" t="s">
        <v>86</v>
      </c>
      <c r="D322" s="66" t="s">
        <v>19</v>
      </c>
      <c r="E322" s="66">
        <v>1.05</v>
      </c>
      <c r="F322" s="66">
        <v>11.39</v>
      </c>
      <c r="G322" s="340">
        <f t="shared" si="9"/>
        <v>11.95</v>
      </c>
    </row>
    <row r="323" spans="1:7" ht="18.75">
      <c r="A323" s="17"/>
      <c r="B323" s="341" t="s">
        <v>749</v>
      </c>
      <c r="C323" s="315" t="s">
        <v>87</v>
      </c>
      <c r="D323" s="66" t="s">
        <v>30</v>
      </c>
      <c r="E323" s="66">
        <v>0.045</v>
      </c>
      <c r="F323" s="66">
        <v>141.12</v>
      </c>
      <c r="G323" s="340">
        <f t="shared" si="9"/>
        <v>6.35</v>
      </c>
    </row>
    <row r="324" spans="1:7" ht="18.75">
      <c r="A324" s="17"/>
      <c r="B324" s="341" t="s">
        <v>750</v>
      </c>
      <c r="C324" s="315" t="s">
        <v>88</v>
      </c>
      <c r="D324" s="66" t="s">
        <v>30</v>
      </c>
      <c r="E324" s="66">
        <v>0.0012</v>
      </c>
      <c r="F324" s="66">
        <v>39.63</v>
      </c>
      <c r="G324" s="340">
        <f t="shared" si="9"/>
        <v>0.04</v>
      </c>
    </row>
    <row r="325" spans="1:7" ht="18.75">
      <c r="A325" s="17"/>
      <c r="B325" s="341" t="s">
        <v>751</v>
      </c>
      <c r="C325" s="315" t="s">
        <v>89</v>
      </c>
      <c r="D325" s="66" t="s">
        <v>30</v>
      </c>
      <c r="E325" s="66">
        <v>0.006</v>
      </c>
      <c r="F325" s="66">
        <v>9.95</v>
      </c>
      <c r="G325" s="340">
        <f t="shared" si="9"/>
        <v>0.05</v>
      </c>
    </row>
    <row r="326" spans="1:7" ht="18.75">
      <c r="A326" s="17"/>
      <c r="B326" s="341" t="s">
        <v>718</v>
      </c>
      <c r="C326" s="315" t="s">
        <v>90</v>
      </c>
      <c r="D326" s="66" t="s">
        <v>91</v>
      </c>
      <c r="E326" s="66">
        <v>0.04</v>
      </c>
      <c r="F326" s="66">
        <v>29.25</v>
      </c>
      <c r="G326" s="340">
        <f t="shared" si="9"/>
        <v>1.17</v>
      </c>
    </row>
    <row r="327" spans="1:7" ht="18.75">
      <c r="A327" s="17"/>
      <c r="B327" s="341" t="s">
        <v>659</v>
      </c>
      <c r="C327" s="315" t="s">
        <v>93</v>
      </c>
      <c r="D327" s="66" t="s">
        <v>61</v>
      </c>
      <c r="E327" s="66">
        <v>0.112</v>
      </c>
      <c r="F327" s="66">
        <v>21.42</v>
      </c>
      <c r="G327" s="340">
        <f t="shared" si="9"/>
        <v>2.39</v>
      </c>
    </row>
    <row r="328" spans="1:7" ht="18.75">
      <c r="A328" s="17"/>
      <c r="B328" s="341" t="s">
        <v>254</v>
      </c>
      <c r="C328" s="315" t="s">
        <v>65</v>
      </c>
      <c r="D328" s="66" t="s">
        <v>61</v>
      </c>
      <c r="E328" s="66">
        <v>0.207</v>
      </c>
      <c r="F328" s="66">
        <v>18.78</v>
      </c>
      <c r="G328" s="340">
        <f t="shared" si="9"/>
        <v>3.88</v>
      </c>
    </row>
    <row r="329" spans="1:7" ht="30">
      <c r="A329" s="17"/>
      <c r="B329" s="341" t="s">
        <v>752</v>
      </c>
      <c r="C329" s="315" t="s">
        <v>632</v>
      </c>
      <c r="D329" s="66" t="s">
        <v>67</v>
      </c>
      <c r="E329" s="66">
        <v>0.0183</v>
      </c>
      <c r="F329" s="66">
        <v>24.84000015258789</v>
      </c>
      <c r="G329" s="340">
        <f t="shared" si="9"/>
        <v>0.45</v>
      </c>
    </row>
    <row r="330" spans="1:7" ht="30">
      <c r="A330" s="17"/>
      <c r="B330" s="341" t="s">
        <v>753</v>
      </c>
      <c r="C330" s="315" t="s">
        <v>633</v>
      </c>
      <c r="D330" s="66" t="s">
        <v>68</v>
      </c>
      <c r="E330" s="66">
        <v>0.0132</v>
      </c>
      <c r="F330" s="66">
        <v>25.479999542236328</v>
      </c>
      <c r="G330" s="340">
        <f t="shared" si="9"/>
        <v>0.33</v>
      </c>
    </row>
    <row r="331" spans="1:7" ht="18.75">
      <c r="A331" s="17"/>
      <c r="B331" s="341"/>
      <c r="C331" s="315"/>
      <c r="D331" s="66"/>
      <c r="E331" s="66" t="s">
        <v>62</v>
      </c>
      <c r="F331" s="66"/>
      <c r="G331" s="340">
        <f>TRUNC(SUM(G322:G330),2)</f>
        <v>26.61</v>
      </c>
    </row>
    <row r="332" spans="1:7" ht="18.75">
      <c r="A332" s="17"/>
      <c r="B332" s="364"/>
      <c r="C332" s="365" t="s">
        <v>634</v>
      </c>
      <c r="D332" s="366"/>
      <c r="E332" s="366"/>
      <c r="F332" s="366"/>
      <c r="G332" s="367"/>
    </row>
    <row r="333" spans="1:7" ht="18.75">
      <c r="A333" s="17"/>
      <c r="B333" s="364"/>
      <c r="C333" s="365" t="s">
        <v>635</v>
      </c>
      <c r="D333" s="366"/>
      <c r="E333" s="488" t="s">
        <v>215</v>
      </c>
      <c r="F333" s="489"/>
      <c r="G333" s="368">
        <v>56.41</v>
      </c>
    </row>
    <row r="334" spans="1:7" ht="19.5" thickBot="1">
      <c r="A334" s="17"/>
      <c r="B334" s="342"/>
      <c r="C334" s="343"/>
      <c r="D334" s="344"/>
      <c r="E334" s="344"/>
      <c r="F334" s="344"/>
      <c r="G334" s="345"/>
    </row>
    <row r="335" spans="1:7" ht="18.75">
      <c r="A335" s="17"/>
      <c r="B335" s="110"/>
      <c r="C335" s="247"/>
      <c r="D335" s="10"/>
      <c r="E335" s="10"/>
      <c r="F335" s="10"/>
      <c r="G335" s="10"/>
    </row>
    <row r="336" spans="1:7" ht="31.5">
      <c r="A336" s="33" t="s">
        <v>1009</v>
      </c>
      <c r="B336" s="158" t="s">
        <v>747</v>
      </c>
      <c r="C336" s="320" t="s">
        <v>216</v>
      </c>
      <c r="D336" s="300" t="s">
        <v>19</v>
      </c>
      <c r="E336" s="300">
        <v>1</v>
      </c>
      <c r="F336" s="300">
        <f>G346</f>
        <v>26.61</v>
      </c>
      <c r="G336" s="300">
        <f aca="true" t="shared" si="10" ref="G336:G345">TRUNC(E336*F336,2)</f>
        <v>26.61</v>
      </c>
    </row>
    <row r="337" spans="1:7" ht="30">
      <c r="A337" s="17"/>
      <c r="B337" s="341" t="s">
        <v>748</v>
      </c>
      <c r="C337" s="315" t="s">
        <v>86</v>
      </c>
      <c r="D337" s="66" t="s">
        <v>19</v>
      </c>
      <c r="E337" s="66">
        <v>1.05</v>
      </c>
      <c r="F337" s="66">
        <v>11.39</v>
      </c>
      <c r="G337" s="340">
        <f t="shared" si="10"/>
        <v>11.95</v>
      </c>
    </row>
    <row r="338" spans="1:7" ht="18.75">
      <c r="A338" s="17"/>
      <c r="B338" s="341" t="s">
        <v>749</v>
      </c>
      <c r="C338" s="315" t="s">
        <v>87</v>
      </c>
      <c r="D338" s="66" t="s">
        <v>30</v>
      </c>
      <c r="E338" s="66">
        <v>0.045</v>
      </c>
      <c r="F338" s="66">
        <v>141.12</v>
      </c>
      <c r="G338" s="340">
        <f t="shared" si="10"/>
        <v>6.35</v>
      </c>
    </row>
    <row r="339" spans="1:7" ht="18.75">
      <c r="A339" s="17"/>
      <c r="B339" s="341" t="s">
        <v>750</v>
      </c>
      <c r="C339" s="315" t="s">
        <v>88</v>
      </c>
      <c r="D339" s="66" t="s">
        <v>30</v>
      </c>
      <c r="E339" s="66">
        <v>0.0012</v>
      </c>
      <c r="F339" s="66">
        <v>39.63</v>
      </c>
      <c r="G339" s="340">
        <f t="shared" si="10"/>
        <v>0.04</v>
      </c>
    </row>
    <row r="340" spans="1:7" ht="18.75">
      <c r="A340" s="17"/>
      <c r="B340" s="341" t="s">
        <v>751</v>
      </c>
      <c r="C340" s="315" t="s">
        <v>89</v>
      </c>
      <c r="D340" s="66" t="s">
        <v>30</v>
      </c>
      <c r="E340" s="66">
        <v>0.006</v>
      </c>
      <c r="F340" s="66">
        <v>9.95</v>
      </c>
      <c r="G340" s="340">
        <f t="shared" si="10"/>
        <v>0.05</v>
      </c>
    </row>
    <row r="341" spans="1:7" ht="18.75">
      <c r="A341" s="17"/>
      <c r="B341" s="341" t="s">
        <v>718</v>
      </c>
      <c r="C341" s="315" t="s">
        <v>90</v>
      </c>
      <c r="D341" s="66" t="s">
        <v>91</v>
      </c>
      <c r="E341" s="66">
        <v>0.04</v>
      </c>
      <c r="F341" s="66">
        <v>29.25</v>
      </c>
      <c r="G341" s="340">
        <f t="shared" si="10"/>
        <v>1.17</v>
      </c>
    </row>
    <row r="342" spans="1:7" ht="18.75">
      <c r="A342" s="17"/>
      <c r="B342" s="341" t="s">
        <v>659</v>
      </c>
      <c r="C342" s="315" t="s">
        <v>93</v>
      </c>
      <c r="D342" s="66" t="s">
        <v>61</v>
      </c>
      <c r="E342" s="66">
        <v>0.112</v>
      </c>
      <c r="F342" s="66">
        <v>21.42</v>
      </c>
      <c r="G342" s="340">
        <f t="shared" si="10"/>
        <v>2.39</v>
      </c>
    </row>
    <row r="343" spans="1:7" ht="18.75">
      <c r="A343" s="17"/>
      <c r="B343" s="341" t="s">
        <v>254</v>
      </c>
      <c r="C343" s="315" t="s">
        <v>65</v>
      </c>
      <c r="D343" s="66" t="s">
        <v>61</v>
      </c>
      <c r="E343" s="66">
        <v>0.207</v>
      </c>
      <c r="F343" s="66">
        <v>18.78</v>
      </c>
      <c r="G343" s="340">
        <f t="shared" si="10"/>
        <v>3.88</v>
      </c>
    </row>
    <row r="344" spans="1:7" ht="30">
      <c r="A344" s="17"/>
      <c r="B344" s="341" t="s">
        <v>752</v>
      </c>
      <c r="C344" s="315" t="s">
        <v>95</v>
      </c>
      <c r="D344" s="66" t="s">
        <v>67</v>
      </c>
      <c r="E344" s="66">
        <v>0.0183</v>
      </c>
      <c r="F344" s="66">
        <v>24.84000015258789</v>
      </c>
      <c r="G344" s="340">
        <f t="shared" si="10"/>
        <v>0.45</v>
      </c>
    </row>
    <row r="345" spans="1:7" ht="30">
      <c r="A345" s="17"/>
      <c r="B345" s="341" t="s">
        <v>753</v>
      </c>
      <c r="C345" s="315" t="s">
        <v>97</v>
      </c>
      <c r="D345" s="66" t="s">
        <v>68</v>
      </c>
      <c r="E345" s="66">
        <v>0.0132</v>
      </c>
      <c r="F345" s="66">
        <v>25.479999542236328</v>
      </c>
      <c r="G345" s="340">
        <f t="shared" si="10"/>
        <v>0.33</v>
      </c>
    </row>
    <row r="346" spans="1:7" ht="18.75">
      <c r="A346" s="17"/>
      <c r="B346" s="341"/>
      <c r="C346" s="315"/>
      <c r="D346" s="66"/>
      <c r="E346" s="66" t="s">
        <v>62</v>
      </c>
      <c r="F346" s="66"/>
      <c r="G346" s="340">
        <f>TRUNC(SUM(G337:G345),2)</f>
        <v>26.61</v>
      </c>
    </row>
    <row r="347" spans="1:7" ht="18.75">
      <c r="A347" s="17"/>
      <c r="B347" s="341"/>
      <c r="C347" s="315"/>
      <c r="D347" s="66"/>
      <c r="E347" s="66"/>
      <c r="F347" s="66"/>
      <c r="G347" s="340"/>
    </row>
    <row r="348" spans="1:7" ht="18.75">
      <c r="A348" s="17"/>
      <c r="B348" s="364"/>
      <c r="C348" s="365" t="s">
        <v>634</v>
      </c>
      <c r="D348" s="366"/>
      <c r="E348" s="366"/>
      <c r="F348" s="366"/>
      <c r="G348" s="367"/>
    </row>
    <row r="349" spans="1:7" ht="18.75">
      <c r="A349" s="17"/>
      <c r="B349" s="364"/>
      <c r="C349" s="365" t="s">
        <v>636</v>
      </c>
      <c r="D349" s="366"/>
      <c r="E349" s="488" t="s">
        <v>215</v>
      </c>
      <c r="F349" s="489"/>
      <c r="G349" s="368">
        <v>37.25</v>
      </c>
    </row>
    <row r="350" spans="1:7" ht="19.5" thickBot="1">
      <c r="A350" s="17"/>
      <c r="B350" s="342"/>
      <c r="C350" s="343"/>
      <c r="D350" s="344"/>
      <c r="E350" s="344"/>
      <c r="F350" s="344"/>
      <c r="G350" s="345"/>
    </row>
    <row r="351" spans="1:3" ht="18.75">
      <c r="A351" s="17"/>
      <c r="C351" s="251"/>
    </row>
    <row r="352" spans="1:7" ht="30">
      <c r="A352" s="33" t="s">
        <v>1010</v>
      </c>
      <c r="B352" s="298" t="s">
        <v>745</v>
      </c>
      <c r="C352" s="320" t="s">
        <v>746</v>
      </c>
      <c r="D352" s="300" t="s">
        <v>19</v>
      </c>
      <c r="E352" s="300">
        <v>1</v>
      </c>
      <c r="F352" s="300">
        <f>G363</f>
        <v>56.23</v>
      </c>
      <c r="G352" s="300">
        <f aca="true" t="shared" si="11" ref="G352:G362">TRUNC(E352*F352,2)</f>
        <v>56.23</v>
      </c>
    </row>
    <row r="353" spans="1:7" ht="18.75">
      <c r="A353" s="17"/>
      <c r="B353" s="165" t="s">
        <v>98</v>
      </c>
      <c r="C353" s="321" t="s">
        <v>99</v>
      </c>
      <c r="D353" s="57" t="s">
        <v>26</v>
      </c>
      <c r="E353" s="57">
        <v>3</v>
      </c>
      <c r="F353" s="57">
        <f>TRUNC(0.03,2)</f>
        <v>0.03</v>
      </c>
      <c r="G353" s="57">
        <f t="shared" si="11"/>
        <v>0.09</v>
      </c>
    </row>
    <row r="354" spans="1:7" ht="18.75">
      <c r="A354" s="17"/>
      <c r="B354" s="165" t="s">
        <v>103</v>
      </c>
      <c r="C354" s="321" t="s">
        <v>104</v>
      </c>
      <c r="D354" s="57" t="s">
        <v>26</v>
      </c>
      <c r="E354" s="57">
        <v>0.44</v>
      </c>
      <c r="F354" s="57">
        <f>TRUNC(0.68,2)</f>
        <v>0.68</v>
      </c>
      <c r="G354" s="57">
        <f t="shared" si="11"/>
        <v>0.29</v>
      </c>
    </row>
    <row r="355" spans="1:7" ht="18.75">
      <c r="A355" s="17"/>
      <c r="B355" s="165" t="s">
        <v>100</v>
      </c>
      <c r="C355" s="321" t="s">
        <v>101</v>
      </c>
      <c r="D355" s="57" t="s">
        <v>26</v>
      </c>
      <c r="E355" s="57">
        <v>1.55</v>
      </c>
      <c r="F355" s="57">
        <f>TRUNC(4.6,2)</f>
        <v>4.6</v>
      </c>
      <c r="G355" s="57">
        <f t="shared" si="11"/>
        <v>7.13</v>
      </c>
    </row>
    <row r="356" spans="1:7" ht="18.75">
      <c r="A356" s="17"/>
      <c r="B356" s="165" t="s">
        <v>105</v>
      </c>
      <c r="C356" s="321" t="s">
        <v>106</v>
      </c>
      <c r="D356" s="57" t="s">
        <v>26</v>
      </c>
      <c r="E356" s="57">
        <v>0.33</v>
      </c>
      <c r="F356" s="57">
        <f>TRUNC(26.94,2)</f>
        <v>26.94</v>
      </c>
      <c r="G356" s="57">
        <f t="shared" si="11"/>
        <v>8.89</v>
      </c>
    </row>
    <row r="357" spans="1:7" ht="18.75">
      <c r="A357" s="17"/>
      <c r="B357" s="165" t="s">
        <v>107</v>
      </c>
      <c r="C357" s="321" t="s">
        <v>108</v>
      </c>
      <c r="D357" s="57" t="s">
        <v>26</v>
      </c>
      <c r="E357" s="57">
        <v>0.22</v>
      </c>
      <c r="F357" s="57">
        <f>TRUNC(16.34,2)</f>
        <v>16.34</v>
      </c>
      <c r="G357" s="57">
        <f t="shared" si="11"/>
        <v>3.59</v>
      </c>
    </row>
    <row r="358" spans="1:7" ht="18.75">
      <c r="A358" s="17"/>
      <c r="B358" s="165" t="s">
        <v>109</v>
      </c>
      <c r="C358" s="321" t="s">
        <v>110</v>
      </c>
      <c r="D358" s="57" t="s">
        <v>26</v>
      </c>
      <c r="E358" s="57">
        <v>0.36</v>
      </c>
      <c r="F358" s="57">
        <f>TRUNC(58.3,2)</f>
        <v>58.3</v>
      </c>
      <c r="G358" s="57">
        <f t="shared" si="11"/>
        <v>20.98</v>
      </c>
    </row>
    <row r="359" spans="1:7" ht="18.75">
      <c r="A359" s="17"/>
      <c r="B359" s="165" t="s">
        <v>111</v>
      </c>
      <c r="C359" s="321" t="s">
        <v>112</v>
      </c>
      <c r="D359" s="57" t="s">
        <v>26</v>
      </c>
      <c r="E359" s="57">
        <v>0.11</v>
      </c>
      <c r="F359" s="57">
        <f>TRUNC(7.93,2)</f>
        <v>7.93</v>
      </c>
      <c r="G359" s="57">
        <f t="shared" si="11"/>
        <v>0.87</v>
      </c>
    </row>
    <row r="360" spans="1:7" ht="18.75">
      <c r="A360" s="17"/>
      <c r="B360" s="165" t="s">
        <v>113</v>
      </c>
      <c r="C360" s="321" t="s">
        <v>114</v>
      </c>
      <c r="D360" s="57" t="s">
        <v>26</v>
      </c>
      <c r="E360" s="57">
        <v>0.11</v>
      </c>
      <c r="F360" s="57">
        <f>TRUNC(7.93,2)</f>
        <v>7.93</v>
      </c>
      <c r="G360" s="57">
        <f t="shared" si="11"/>
        <v>0.87</v>
      </c>
    </row>
    <row r="361" spans="1:7" ht="30">
      <c r="A361" s="17"/>
      <c r="B361" s="165" t="s">
        <v>243</v>
      </c>
      <c r="C361" s="321" t="s">
        <v>244</v>
      </c>
      <c r="D361" s="57" t="s">
        <v>61</v>
      </c>
      <c r="E361" s="57">
        <v>0.4532</v>
      </c>
      <c r="F361" s="57">
        <f>TRUNC(12.54,2)</f>
        <v>12.54</v>
      </c>
      <c r="G361" s="57">
        <f t="shared" si="11"/>
        <v>5.68</v>
      </c>
    </row>
    <row r="362" spans="1:7" ht="30">
      <c r="A362" s="17"/>
      <c r="B362" s="165" t="s">
        <v>696</v>
      </c>
      <c r="C362" s="321" t="s">
        <v>697</v>
      </c>
      <c r="D362" s="57" t="s">
        <v>61</v>
      </c>
      <c r="E362" s="57">
        <v>0.4532</v>
      </c>
      <c r="F362" s="57">
        <f>TRUNC(17.3,2)</f>
        <v>17.3</v>
      </c>
      <c r="G362" s="57">
        <f t="shared" si="11"/>
        <v>7.84</v>
      </c>
    </row>
    <row r="363" spans="1:7" ht="18.75">
      <c r="A363" s="17"/>
      <c r="B363" s="165"/>
      <c r="C363" s="321"/>
      <c r="D363" s="57"/>
      <c r="E363" s="57" t="s">
        <v>62</v>
      </c>
      <c r="F363" s="57"/>
      <c r="G363" s="57">
        <f>TRUNC(SUM(G353:G362),2)</f>
        <v>56.23</v>
      </c>
    </row>
    <row r="364" spans="1:3" ht="18.75">
      <c r="A364" s="17"/>
      <c r="C364" s="251"/>
    </row>
    <row r="365" spans="1:7" ht="30">
      <c r="A365" s="33" t="s">
        <v>1011</v>
      </c>
      <c r="B365" s="169" t="s">
        <v>754</v>
      </c>
      <c r="C365" s="306" t="s">
        <v>755</v>
      </c>
      <c r="D365" s="15" t="s">
        <v>19</v>
      </c>
      <c r="E365" s="15">
        <v>1</v>
      </c>
      <c r="F365" s="15">
        <f>TRUNC(29.043688,2)</f>
        <v>29.04</v>
      </c>
      <c r="G365" s="15">
        <f aca="true" t="shared" si="12" ref="G365:G374">TRUNC(E365*F365,2)</f>
        <v>29.04</v>
      </c>
    </row>
    <row r="366" spans="1:7" ht="18.75">
      <c r="A366" s="17"/>
      <c r="B366" s="55" t="s">
        <v>116</v>
      </c>
      <c r="C366" s="251" t="s">
        <v>117</v>
      </c>
      <c r="D366" s="2" t="s">
        <v>26</v>
      </c>
      <c r="E366" s="2">
        <v>1.3</v>
      </c>
      <c r="F366" s="2">
        <f>TRUNC(0.06,2)</f>
        <v>0.06</v>
      </c>
      <c r="G366" s="2">
        <f t="shared" si="12"/>
        <v>0.07</v>
      </c>
    </row>
    <row r="367" spans="1:7" ht="18.75">
      <c r="A367" s="17"/>
      <c r="B367" s="55" t="s">
        <v>118</v>
      </c>
      <c r="C367" s="251" t="s">
        <v>119</v>
      </c>
      <c r="D367" s="2" t="s">
        <v>26</v>
      </c>
      <c r="E367" s="2">
        <v>1.3</v>
      </c>
      <c r="F367" s="2">
        <f>TRUNC(0.03,2)</f>
        <v>0.03</v>
      </c>
      <c r="G367" s="2">
        <f t="shared" si="12"/>
        <v>0.03</v>
      </c>
    </row>
    <row r="368" spans="1:7" ht="18.75">
      <c r="A368" s="17"/>
      <c r="B368" s="55" t="s">
        <v>120</v>
      </c>
      <c r="C368" s="251" t="s">
        <v>121</v>
      </c>
      <c r="D368" s="2" t="s">
        <v>26</v>
      </c>
      <c r="E368" s="2">
        <v>0.66</v>
      </c>
      <c r="F368" s="2">
        <f>TRUNC(9.04,2)</f>
        <v>9.04</v>
      </c>
      <c r="G368" s="2">
        <f t="shared" si="12"/>
        <v>5.96</v>
      </c>
    </row>
    <row r="369" spans="1:7" ht="18.75">
      <c r="A369" s="17"/>
      <c r="B369" s="55" t="s">
        <v>122</v>
      </c>
      <c r="C369" s="251" t="s">
        <v>123</v>
      </c>
      <c r="D369" s="2" t="s">
        <v>26</v>
      </c>
      <c r="E369" s="2">
        <v>0.36</v>
      </c>
      <c r="F369" s="2">
        <f>TRUNC(32.46,2)</f>
        <v>32.46</v>
      </c>
      <c r="G369" s="2">
        <f t="shared" si="12"/>
        <v>11.68</v>
      </c>
    </row>
    <row r="370" spans="1:7" ht="18.75">
      <c r="A370" s="17"/>
      <c r="B370" s="55" t="s">
        <v>124</v>
      </c>
      <c r="C370" s="251" t="s">
        <v>125</v>
      </c>
      <c r="D370" s="2" t="s">
        <v>26</v>
      </c>
      <c r="E370" s="2">
        <v>0.33</v>
      </c>
      <c r="F370" s="2">
        <f>TRUNC(9.7,2)</f>
        <v>9.7</v>
      </c>
      <c r="G370" s="2">
        <f t="shared" si="12"/>
        <v>3.2</v>
      </c>
    </row>
    <row r="371" spans="1:7" ht="18.75">
      <c r="A371" s="17"/>
      <c r="B371" s="55" t="s">
        <v>126</v>
      </c>
      <c r="C371" s="251" t="s">
        <v>127</v>
      </c>
      <c r="D371" s="2" t="s">
        <v>26</v>
      </c>
      <c r="E371" s="2">
        <v>0.66</v>
      </c>
      <c r="F371" s="2">
        <f>TRUNC(2.95,2)</f>
        <v>2.95</v>
      </c>
      <c r="G371" s="2">
        <f t="shared" si="12"/>
        <v>1.94</v>
      </c>
    </row>
    <row r="372" spans="1:7" ht="18.75">
      <c r="A372" s="17"/>
      <c r="B372" s="55" t="s">
        <v>128</v>
      </c>
      <c r="C372" s="251" t="s">
        <v>129</v>
      </c>
      <c r="D372" s="2" t="s">
        <v>26</v>
      </c>
      <c r="E372" s="2">
        <v>0.1</v>
      </c>
      <c r="F372" s="2">
        <f>TRUNC(2.87,2)</f>
        <v>2.87</v>
      </c>
      <c r="G372" s="2">
        <f t="shared" si="12"/>
        <v>0.28</v>
      </c>
    </row>
    <row r="373" spans="1:7" ht="30">
      <c r="A373" s="17"/>
      <c r="B373" s="55" t="s">
        <v>243</v>
      </c>
      <c r="C373" s="251" t="s">
        <v>244</v>
      </c>
      <c r="D373" s="2" t="s">
        <v>61</v>
      </c>
      <c r="E373" s="2">
        <v>0.1957</v>
      </c>
      <c r="F373" s="2">
        <f>TRUNC(12.54,2)</f>
        <v>12.54</v>
      </c>
      <c r="G373" s="2">
        <f t="shared" si="12"/>
        <v>2.45</v>
      </c>
    </row>
    <row r="374" spans="1:7" ht="30">
      <c r="A374" s="17"/>
      <c r="B374" s="55" t="s">
        <v>696</v>
      </c>
      <c r="C374" s="251" t="s">
        <v>697</v>
      </c>
      <c r="D374" s="2" t="s">
        <v>61</v>
      </c>
      <c r="E374" s="2">
        <v>0.1957</v>
      </c>
      <c r="F374" s="2">
        <f>TRUNC(17.3,2)</f>
        <v>17.3</v>
      </c>
      <c r="G374" s="2">
        <f t="shared" si="12"/>
        <v>3.38</v>
      </c>
    </row>
    <row r="375" spans="1:7" ht="18.75">
      <c r="A375" s="17"/>
      <c r="C375" s="251"/>
      <c r="E375" s="2" t="s">
        <v>62</v>
      </c>
      <c r="G375" s="2">
        <f>TRUNC(SUM(G366:G374),2)</f>
        <v>28.99</v>
      </c>
    </row>
    <row r="376" spans="1:9" s="10" customFormat="1" ht="18.75">
      <c r="A376" s="278" t="s">
        <v>1013</v>
      </c>
      <c r="B376" s="279"/>
      <c r="C376" s="280" t="s">
        <v>32</v>
      </c>
      <c r="D376" s="370"/>
      <c r="E376" s="370"/>
      <c r="F376" s="370"/>
      <c r="G376" s="281"/>
      <c r="I376" s="2"/>
    </row>
    <row r="377" spans="1:9" s="10" customFormat="1" ht="87.75" customHeight="1">
      <c r="A377" s="290" t="s">
        <v>1012</v>
      </c>
      <c r="B377" s="291" t="s">
        <v>758</v>
      </c>
      <c r="C377" s="469" t="s">
        <v>759</v>
      </c>
      <c r="D377" s="371" t="s">
        <v>26</v>
      </c>
      <c r="E377" s="371">
        <v>1</v>
      </c>
      <c r="F377" s="371">
        <f>G386</f>
        <v>207.15</v>
      </c>
      <c r="G377" s="300">
        <f>TRUNC(E377*F377,2)</f>
        <v>207.15</v>
      </c>
      <c r="I377" s="23"/>
    </row>
    <row r="378" spans="1:9" s="10" customFormat="1" ht="24" customHeight="1">
      <c r="A378" s="16"/>
      <c r="B378" s="267" t="s">
        <v>340</v>
      </c>
      <c r="C378" s="64" t="s">
        <v>341</v>
      </c>
      <c r="D378" s="24" t="s">
        <v>26</v>
      </c>
      <c r="E378" s="24">
        <v>1</v>
      </c>
      <c r="F378" s="24">
        <v>2.37</v>
      </c>
      <c r="G378" s="10">
        <f>TRUNC(E378*F378,2)</f>
        <v>2.37</v>
      </c>
      <c r="I378" s="23"/>
    </row>
    <row r="379" spans="1:9" s="10" customFormat="1" ht="18.75">
      <c r="A379" s="16"/>
      <c r="B379" s="267" t="s">
        <v>342</v>
      </c>
      <c r="C379" s="64" t="s">
        <v>343</v>
      </c>
      <c r="D379" s="24" t="s">
        <v>26</v>
      </c>
      <c r="E379" s="24">
        <v>4</v>
      </c>
      <c r="F379" s="24">
        <v>1.64</v>
      </c>
      <c r="G379" s="10">
        <f>TRUNC(E379*F379,2)</f>
        <v>6.56</v>
      </c>
      <c r="I379" s="23"/>
    </row>
    <row r="380" spans="1:9" s="10" customFormat="1" ht="30">
      <c r="A380" s="16"/>
      <c r="B380" s="267" t="s">
        <v>344</v>
      </c>
      <c r="C380" s="64" t="s">
        <v>345</v>
      </c>
      <c r="D380" s="24" t="s">
        <v>26</v>
      </c>
      <c r="E380" s="24">
        <v>1</v>
      </c>
      <c r="F380" s="24">
        <v>6.23</v>
      </c>
      <c r="G380" s="10">
        <f>TRUNC(E380*F380,2)</f>
        <v>6.23</v>
      </c>
      <c r="I380" s="23"/>
    </row>
    <row r="381" spans="1:9" s="10" customFormat="1" ht="30">
      <c r="A381" s="16"/>
      <c r="B381" s="267" t="s">
        <v>346</v>
      </c>
      <c r="C381" s="64" t="s">
        <v>347</v>
      </c>
      <c r="D381" s="24" t="s">
        <v>26</v>
      </c>
      <c r="E381" s="24">
        <v>1</v>
      </c>
      <c r="F381" s="24">
        <v>33.25</v>
      </c>
      <c r="G381" s="10">
        <f>TRUNC(E381*F381,2)</f>
        <v>33.25</v>
      </c>
      <c r="I381" s="23"/>
    </row>
    <row r="382" spans="1:9" s="10" customFormat="1" ht="18.75">
      <c r="A382" s="16"/>
      <c r="B382" s="271" t="s">
        <v>348</v>
      </c>
      <c r="C382" s="252" t="s">
        <v>349</v>
      </c>
      <c r="D382" s="25" t="s">
        <v>26</v>
      </c>
      <c r="E382" s="25">
        <v>2</v>
      </c>
      <c r="F382" s="25">
        <v>4.65</v>
      </c>
      <c r="G382" s="26"/>
      <c r="I382" s="23"/>
    </row>
    <row r="383" spans="1:9" s="10" customFormat="1" ht="18.75">
      <c r="A383" s="16"/>
      <c r="B383" s="267" t="s">
        <v>637</v>
      </c>
      <c r="C383" s="64" t="s">
        <v>528</v>
      </c>
      <c r="D383" s="24" t="s">
        <v>26</v>
      </c>
      <c r="E383" s="24">
        <v>2</v>
      </c>
      <c r="F383" s="24">
        <v>53.25</v>
      </c>
      <c r="G383" s="10">
        <f>TRUNC(E383*F383,2)</f>
        <v>106.5</v>
      </c>
      <c r="I383" s="23"/>
    </row>
    <row r="384" spans="1:9" s="10" customFormat="1" ht="30">
      <c r="A384" s="16"/>
      <c r="B384" s="267" t="s">
        <v>243</v>
      </c>
      <c r="C384" s="64" t="s">
        <v>244</v>
      </c>
      <c r="D384" s="24" t="s">
        <v>61</v>
      </c>
      <c r="E384" s="24">
        <v>1.751</v>
      </c>
      <c r="F384" s="24">
        <v>12.54</v>
      </c>
      <c r="G384" s="10">
        <f>TRUNC(E384*F384,2)</f>
        <v>21.95</v>
      </c>
      <c r="I384" s="23"/>
    </row>
    <row r="385" spans="1:9" s="10" customFormat="1" ht="30">
      <c r="A385" s="16"/>
      <c r="B385" s="267" t="s">
        <v>756</v>
      </c>
      <c r="C385" s="64" t="s">
        <v>757</v>
      </c>
      <c r="D385" s="24" t="s">
        <v>61</v>
      </c>
      <c r="E385" s="24">
        <v>1.751</v>
      </c>
      <c r="F385" s="24">
        <v>17.3</v>
      </c>
      <c r="G385" s="10">
        <f>TRUNC(E385*F385,2)</f>
        <v>30.29</v>
      </c>
      <c r="I385" s="23"/>
    </row>
    <row r="386" spans="1:9" s="10" customFormat="1" ht="18.75">
      <c r="A386" s="16"/>
      <c r="B386" s="267"/>
      <c r="C386" s="64"/>
      <c r="D386" s="24"/>
      <c r="E386" s="24" t="s">
        <v>62</v>
      </c>
      <c r="F386" s="24"/>
      <c r="G386" s="10">
        <f>TRUNC(SUM(G378:G385),2)</f>
        <v>207.15</v>
      </c>
      <c r="I386" s="23"/>
    </row>
    <row r="387" ht="15.75">
      <c r="I387" s="23"/>
    </row>
    <row r="388" spans="1:9" s="10" customFormat="1" ht="18.75">
      <c r="A388" s="278" t="s">
        <v>1014</v>
      </c>
      <c r="B388" s="279"/>
      <c r="C388" s="470" t="s">
        <v>600</v>
      </c>
      <c r="D388" s="370"/>
      <c r="E388" s="370"/>
      <c r="F388" s="370"/>
      <c r="G388" s="281"/>
      <c r="I388" s="23"/>
    </row>
    <row r="389" spans="1:9" s="10" customFormat="1" ht="18.75">
      <c r="A389" s="286"/>
      <c r="B389" s="287"/>
      <c r="C389" s="462" t="s">
        <v>603</v>
      </c>
      <c r="D389" s="369"/>
      <c r="E389" s="369"/>
      <c r="F389" s="369"/>
      <c r="G389" s="282"/>
      <c r="I389" s="23"/>
    </row>
    <row r="390" spans="1:9" s="10" customFormat="1" ht="25.5">
      <c r="A390" s="276" t="s">
        <v>1015</v>
      </c>
      <c r="B390" s="372" t="s">
        <v>760</v>
      </c>
      <c r="C390" s="373" t="s">
        <v>535</v>
      </c>
      <c r="D390" s="374" t="s">
        <v>19</v>
      </c>
      <c r="E390" s="374">
        <v>1</v>
      </c>
      <c r="F390" s="374">
        <f>G395</f>
        <v>14.32</v>
      </c>
      <c r="G390" s="374">
        <f>TRUNC(E390*F390,2)</f>
        <v>14.32</v>
      </c>
      <c r="I390" s="23"/>
    </row>
    <row r="391" spans="1:9" s="10" customFormat="1" ht="18.75">
      <c r="A391" s="16"/>
      <c r="B391" s="230" t="s">
        <v>536</v>
      </c>
      <c r="C391" s="253" t="s">
        <v>537</v>
      </c>
      <c r="D391" t="s">
        <v>26</v>
      </c>
      <c r="E391">
        <v>0.175</v>
      </c>
      <c r="F391">
        <f>TRUNC(40.34,2)</f>
        <v>40.34</v>
      </c>
      <c r="G391">
        <f>TRUNC(E391*F391,2)</f>
        <v>7.05</v>
      </c>
      <c r="I391" s="23"/>
    </row>
    <row r="392" spans="1:9" s="10" customFormat="1" ht="18.75">
      <c r="A392" s="16"/>
      <c r="B392" s="230" t="s">
        <v>128</v>
      </c>
      <c r="C392" s="253" t="s">
        <v>129</v>
      </c>
      <c r="D392" t="s">
        <v>26</v>
      </c>
      <c r="E392">
        <v>0.18</v>
      </c>
      <c r="F392">
        <f>TRUNC(2.87,2)</f>
        <v>2.87</v>
      </c>
      <c r="G392">
        <f>TRUNC(E392*F392,2)</f>
        <v>0.51</v>
      </c>
      <c r="I392" s="23"/>
    </row>
    <row r="393" spans="1:9" s="10" customFormat="1" ht="18.75">
      <c r="A393" s="16"/>
      <c r="B393" s="230" t="s">
        <v>243</v>
      </c>
      <c r="C393" s="253" t="s">
        <v>244</v>
      </c>
      <c r="D393" t="s">
        <v>61</v>
      </c>
      <c r="E393">
        <v>0.2266</v>
      </c>
      <c r="F393">
        <f>TRUNC(12.54,2)</f>
        <v>12.54</v>
      </c>
      <c r="G393">
        <f>TRUNC(E393*F393,2)</f>
        <v>2.84</v>
      </c>
      <c r="I393" s="23"/>
    </row>
    <row r="394" spans="1:9" s="10" customFormat="1" ht="25.5">
      <c r="A394" s="16"/>
      <c r="B394" s="230" t="s">
        <v>761</v>
      </c>
      <c r="C394" s="253" t="s">
        <v>762</v>
      </c>
      <c r="D394" t="s">
        <v>61</v>
      </c>
      <c r="E394">
        <v>0.2266</v>
      </c>
      <c r="F394">
        <f>TRUNC(17.3,2)</f>
        <v>17.3</v>
      </c>
      <c r="G394">
        <f>TRUNC(E394*F394,2)</f>
        <v>3.92</v>
      </c>
      <c r="I394" s="23"/>
    </row>
    <row r="395" spans="1:9" s="10" customFormat="1" ht="18.75">
      <c r="A395" s="16"/>
      <c r="B395" s="230"/>
      <c r="C395" s="253"/>
      <c r="D395"/>
      <c r="E395" t="s">
        <v>62</v>
      </c>
      <c r="F395"/>
      <c r="G395">
        <f>TRUNC(SUM(G391:G394),2)</f>
        <v>14.32</v>
      </c>
      <c r="I395" s="23"/>
    </row>
    <row r="396" spans="1:9" s="10" customFormat="1" ht="18.75">
      <c r="A396" s="16"/>
      <c r="B396" s="230"/>
      <c r="C396" s="253"/>
      <c r="D396"/>
      <c r="E396"/>
      <c r="F396"/>
      <c r="G396"/>
      <c r="I396" s="23"/>
    </row>
    <row r="397" spans="1:9" s="10" customFormat="1" ht="25.5">
      <c r="A397" s="276" t="s">
        <v>1016</v>
      </c>
      <c r="B397" s="372" t="s">
        <v>540</v>
      </c>
      <c r="C397" s="373" t="s">
        <v>541</v>
      </c>
      <c r="D397" s="374" t="s">
        <v>19</v>
      </c>
      <c r="E397" s="374">
        <v>1</v>
      </c>
      <c r="F397" s="374">
        <f>G402</f>
        <v>6.73</v>
      </c>
      <c r="G397" s="374">
        <f>TRUNC(E397*F397,2)</f>
        <v>6.73</v>
      </c>
      <c r="I397" s="23"/>
    </row>
    <row r="398" spans="1:9" s="10" customFormat="1" ht="18.75">
      <c r="A398" s="16"/>
      <c r="B398" s="230" t="s">
        <v>542</v>
      </c>
      <c r="C398" s="253" t="s">
        <v>543</v>
      </c>
      <c r="D398" t="s">
        <v>26</v>
      </c>
      <c r="E398">
        <v>0.175</v>
      </c>
      <c r="F398">
        <f>TRUNC(10.2,2)</f>
        <v>10.2</v>
      </c>
      <c r="G398">
        <f>TRUNC(E398*F398,2)</f>
        <v>1.78</v>
      </c>
      <c r="I398" s="23"/>
    </row>
    <row r="399" spans="1:9" s="10" customFormat="1" ht="18.75">
      <c r="A399" s="16"/>
      <c r="B399" s="230" t="s">
        <v>128</v>
      </c>
      <c r="C399" s="253" t="s">
        <v>129</v>
      </c>
      <c r="D399" t="s">
        <v>26</v>
      </c>
      <c r="E399">
        <v>0.125</v>
      </c>
      <c r="F399">
        <f>TRUNC(2.87,2)</f>
        <v>2.87</v>
      </c>
      <c r="G399">
        <f>TRUNC(E399*F399,2)</f>
        <v>0.35</v>
      </c>
      <c r="I399" s="23"/>
    </row>
    <row r="400" spans="1:9" s="10" customFormat="1" ht="18.75">
      <c r="A400" s="16"/>
      <c r="B400" s="230" t="s">
        <v>59</v>
      </c>
      <c r="C400" s="253" t="s">
        <v>60</v>
      </c>
      <c r="D400" t="s">
        <v>61</v>
      </c>
      <c r="E400">
        <v>0.1545</v>
      </c>
      <c r="F400">
        <f>TRUNC(12.54,2)</f>
        <v>12.54</v>
      </c>
      <c r="G400">
        <f>TRUNC(E400*F400,2)</f>
        <v>1.93</v>
      </c>
      <c r="I400" s="23"/>
    </row>
    <row r="401" spans="1:9" s="10" customFormat="1" ht="18.75">
      <c r="A401" s="16"/>
      <c r="B401" s="230" t="s">
        <v>538</v>
      </c>
      <c r="C401" s="253" t="s">
        <v>539</v>
      </c>
      <c r="D401" t="s">
        <v>61</v>
      </c>
      <c r="E401">
        <v>0.1545</v>
      </c>
      <c r="F401">
        <f>TRUNC(17.3,2)</f>
        <v>17.3</v>
      </c>
      <c r="G401">
        <f>TRUNC(E401*F401,2)</f>
        <v>2.67</v>
      </c>
      <c r="I401" s="23"/>
    </row>
    <row r="402" spans="1:9" s="10" customFormat="1" ht="18.75">
      <c r="A402" s="16"/>
      <c r="B402" s="230"/>
      <c r="C402" s="253"/>
      <c r="D402"/>
      <c r="E402" t="s">
        <v>62</v>
      </c>
      <c r="F402"/>
      <c r="G402">
        <f>TRUNC(SUM(G398:G401),2)</f>
        <v>6.73</v>
      </c>
      <c r="I402" s="23"/>
    </row>
    <row r="403" spans="1:9" s="10" customFormat="1" ht="18.75">
      <c r="A403" s="16"/>
      <c r="B403" s="230"/>
      <c r="C403" s="253"/>
      <c r="D403"/>
      <c r="E403"/>
      <c r="F403"/>
      <c r="G403"/>
      <c r="I403" s="23"/>
    </row>
    <row r="404" spans="1:9" s="10" customFormat="1" ht="18.75">
      <c r="A404" s="276" t="s">
        <v>1017</v>
      </c>
      <c r="B404" s="372" t="s">
        <v>544</v>
      </c>
      <c r="C404" s="373" t="s">
        <v>545</v>
      </c>
      <c r="D404" s="374" t="s">
        <v>26</v>
      </c>
      <c r="E404" s="374">
        <v>1</v>
      </c>
      <c r="F404" s="374">
        <f>G406</f>
        <v>3.13</v>
      </c>
      <c r="G404" s="374">
        <f>TRUNC(E404*F404,2)</f>
        <v>3.13</v>
      </c>
      <c r="I404" s="23"/>
    </row>
    <row r="405" spans="1:9" s="10" customFormat="1" ht="18.75">
      <c r="A405" s="16"/>
      <c r="B405" s="230" t="s">
        <v>546</v>
      </c>
      <c r="C405" s="253" t="s">
        <v>547</v>
      </c>
      <c r="D405" t="s">
        <v>26</v>
      </c>
      <c r="E405">
        <v>1</v>
      </c>
      <c r="F405">
        <f>TRUNC(3.13,2)</f>
        <v>3.13</v>
      </c>
      <c r="G405">
        <f>TRUNC(E405*F405,2)</f>
        <v>3.13</v>
      </c>
      <c r="I405" s="23"/>
    </row>
    <row r="406" spans="1:9" s="10" customFormat="1" ht="18.75">
      <c r="A406" s="16"/>
      <c r="B406" s="230"/>
      <c r="C406" s="253"/>
      <c r="D406"/>
      <c r="E406" t="s">
        <v>62</v>
      </c>
      <c r="F406"/>
      <c r="G406">
        <f>TRUNC(SUM(G405:G405),2)</f>
        <v>3.13</v>
      </c>
      <c r="I406" s="23"/>
    </row>
    <row r="407" spans="1:9" s="10" customFormat="1" ht="18.75">
      <c r="A407" s="16"/>
      <c r="B407" s="230"/>
      <c r="C407" s="253"/>
      <c r="D407"/>
      <c r="E407"/>
      <c r="F407"/>
      <c r="G407"/>
      <c r="I407" s="23"/>
    </row>
    <row r="408" spans="1:9" s="10" customFormat="1" ht="18.75">
      <c r="A408" s="276" t="s">
        <v>1018</v>
      </c>
      <c r="B408" s="372" t="s">
        <v>548</v>
      </c>
      <c r="C408" s="373" t="s">
        <v>549</v>
      </c>
      <c r="D408" s="374" t="s">
        <v>26</v>
      </c>
      <c r="E408" s="374">
        <v>1</v>
      </c>
      <c r="F408" s="374">
        <f>G410</f>
        <v>2.85</v>
      </c>
      <c r="G408" s="374">
        <f>TRUNC(E408*F408,2)</f>
        <v>2.85</v>
      </c>
      <c r="I408" s="23"/>
    </row>
    <row r="409" spans="1:9" s="10" customFormat="1" ht="18.75">
      <c r="A409" s="16"/>
      <c r="B409" s="230" t="s">
        <v>550</v>
      </c>
      <c r="C409" s="253" t="s">
        <v>551</v>
      </c>
      <c r="D409" t="s">
        <v>26</v>
      </c>
      <c r="E409">
        <v>1</v>
      </c>
      <c r="F409">
        <f>TRUNC(2.85,2)</f>
        <v>2.85</v>
      </c>
      <c r="G409">
        <f>TRUNC(E409*F409,2)</f>
        <v>2.85</v>
      </c>
      <c r="I409" s="23"/>
    </row>
    <row r="410" spans="1:9" s="10" customFormat="1" ht="18.75">
      <c r="A410" s="16"/>
      <c r="B410" s="230"/>
      <c r="C410" s="253"/>
      <c r="D410"/>
      <c r="E410" t="s">
        <v>62</v>
      </c>
      <c r="F410"/>
      <c r="G410">
        <f>TRUNC(SUM(G409:G409),2)</f>
        <v>2.85</v>
      </c>
      <c r="I410" s="23"/>
    </row>
    <row r="411" spans="1:9" s="10" customFormat="1" ht="18.75">
      <c r="A411" s="16"/>
      <c r="B411" s="230"/>
      <c r="C411" s="253"/>
      <c r="D411"/>
      <c r="E411"/>
      <c r="F411"/>
      <c r="G411"/>
      <c r="I411" s="23"/>
    </row>
    <row r="412" spans="1:9" s="10" customFormat="1" ht="18.75">
      <c r="A412" s="276" t="s">
        <v>1019</v>
      </c>
      <c r="B412" s="372" t="s">
        <v>552</v>
      </c>
      <c r="C412" s="373" t="s">
        <v>553</v>
      </c>
      <c r="D412" s="374" t="s">
        <v>26</v>
      </c>
      <c r="E412" s="374">
        <v>1</v>
      </c>
      <c r="F412" s="374">
        <f>G414</f>
        <v>0.41</v>
      </c>
      <c r="G412" s="374">
        <f>TRUNC(E412*F412,2)</f>
        <v>0.41</v>
      </c>
      <c r="I412" s="23"/>
    </row>
    <row r="413" spans="1:9" s="10" customFormat="1" ht="18.75">
      <c r="A413" s="16"/>
      <c r="B413" s="230" t="s">
        <v>554</v>
      </c>
      <c r="C413" s="253" t="s">
        <v>555</v>
      </c>
      <c r="D413" t="s">
        <v>26</v>
      </c>
      <c r="E413">
        <v>1</v>
      </c>
      <c r="F413">
        <v>0.41</v>
      </c>
      <c r="G413">
        <f>TRUNC(E413*F413,2)</f>
        <v>0.41</v>
      </c>
      <c r="I413" s="23"/>
    </row>
    <row r="414" spans="1:9" s="10" customFormat="1" ht="18.75">
      <c r="A414" s="16"/>
      <c r="B414" s="230"/>
      <c r="C414" s="253"/>
      <c r="D414"/>
      <c r="E414" t="s">
        <v>62</v>
      </c>
      <c r="F414"/>
      <c r="G414">
        <f>TRUNC(SUM(G413:G413),2)</f>
        <v>0.41</v>
      </c>
      <c r="I414" s="23"/>
    </row>
    <row r="415" spans="1:9" s="10" customFormat="1" ht="18.75">
      <c r="A415" s="16"/>
      <c r="B415" s="230"/>
      <c r="C415" s="253"/>
      <c r="D415"/>
      <c r="E415"/>
      <c r="F415"/>
      <c r="G415"/>
      <c r="I415" s="23"/>
    </row>
    <row r="416" spans="1:9" s="10" customFormat="1" ht="18.75">
      <c r="A416" s="276" t="s">
        <v>1020</v>
      </c>
      <c r="B416" s="372" t="s">
        <v>556</v>
      </c>
      <c r="C416" s="373" t="s">
        <v>557</v>
      </c>
      <c r="D416" s="374" t="s">
        <v>26</v>
      </c>
      <c r="E416" s="374">
        <v>1</v>
      </c>
      <c r="F416" s="374">
        <f>G418</f>
        <v>4.52</v>
      </c>
      <c r="G416" s="374">
        <f>TRUNC(E416*F416,2)</f>
        <v>4.52</v>
      </c>
      <c r="I416" s="23"/>
    </row>
    <row r="417" spans="1:9" s="10" customFormat="1" ht="18.75">
      <c r="A417" s="16"/>
      <c r="B417" s="230" t="s">
        <v>558</v>
      </c>
      <c r="C417" s="253" t="s">
        <v>559</v>
      </c>
      <c r="D417" t="s">
        <v>26</v>
      </c>
      <c r="E417">
        <v>1</v>
      </c>
      <c r="F417">
        <v>4.52</v>
      </c>
      <c r="G417">
        <f>TRUNC(E417*F417,2)</f>
        <v>4.52</v>
      </c>
      <c r="I417" s="23"/>
    </row>
    <row r="418" spans="1:9" s="10" customFormat="1" ht="18.75">
      <c r="A418" s="16"/>
      <c r="B418" s="230"/>
      <c r="C418" s="253"/>
      <c r="D418"/>
      <c r="E418" t="s">
        <v>62</v>
      </c>
      <c r="F418"/>
      <c r="G418">
        <f>TRUNC(SUM(G417:G417),2)</f>
        <v>4.52</v>
      </c>
      <c r="I418" s="23"/>
    </row>
    <row r="419" spans="1:9" s="10" customFormat="1" ht="18.75">
      <c r="A419" s="16"/>
      <c r="B419" s="230"/>
      <c r="C419" s="253"/>
      <c r="D419"/>
      <c r="E419"/>
      <c r="F419"/>
      <c r="G419"/>
      <c r="I419" s="23"/>
    </row>
    <row r="420" spans="1:9" s="10" customFormat="1" ht="18.75">
      <c r="A420" s="276" t="s">
        <v>1021</v>
      </c>
      <c r="B420" s="372" t="s">
        <v>609</v>
      </c>
      <c r="C420" s="373" t="s">
        <v>610</v>
      </c>
      <c r="D420" s="374" t="s">
        <v>26</v>
      </c>
      <c r="E420" s="374">
        <v>1</v>
      </c>
      <c r="F420" s="374">
        <f>G422</f>
        <v>5.35</v>
      </c>
      <c r="G420" s="374">
        <f>TRUNC(E420*F420,2)</f>
        <v>5.35</v>
      </c>
      <c r="I420" s="23"/>
    </row>
    <row r="421" spans="1:9" s="10" customFormat="1" ht="18.75">
      <c r="A421" s="16"/>
      <c r="B421" s="230" t="s">
        <v>611</v>
      </c>
      <c r="C421" s="253" t="s">
        <v>612</v>
      </c>
      <c r="D421" t="s">
        <v>26</v>
      </c>
      <c r="E421">
        <v>1</v>
      </c>
      <c r="F421">
        <v>5.35</v>
      </c>
      <c r="G421">
        <f>TRUNC(E421*F421,2)</f>
        <v>5.35</v>
      </c>
      <c r="I421" s="23"/>
    </row>
    <row r="422" spans="1:9" s="10" customFormat="1" ht="18.75">
      <c r="A422" s="16"/>
      <c r="B422" s="230"/>
      <c r="C422" s="253"/>
      <c r="D422"/>
      <c r="E422" t="s">
        <v>62</v>
      </c>
      <c r="F422"/>
      <c r="G422">
        <f>TRUNC(SUM(G421:G421),2)</f>
        <v>5.35</v>
      </c>
      <c r="I422" s="23"/>
    </row>
    <row r="423" spans="1:9" s="10" customFormat="1" ht="18.75">
      <c r="A423" s="16"/>
      <c r="B423" s="230"/>
      <c r="C423" s="253"/>
      <c r="D423"/>
      <c r="E423"/>
      <c r="F423"/>
      <c r="G423"/>
      <c r="I423" s="23"/>
    </row>
    <row r="424" spans="1:9" s="10" customFormat="1" ht="18.75">
      <c r="A424" s="276" t="s">
        <v>1022</v>
      </c>
      <c r="B424" s="372" t="s">
        <v>613</v>
      </c>
      <c r="C424" s="373" t="s">
        <v>614</v>
      </c>
      <c r="D424" s="374" t="s">
        <v>26</v>
      </c>
      <c r="E424" s="374">
        <v>1</v>
      </c>
      <c r="F424" s="374">
        <f>TRUNC(0.68,2)</f>
        <v>0.68</v>
      </c>
      <c r="G424" s="374">
        <f>TRUNC(E424*F424,2)</f>
        <v>0.68</v>
      </c>
      <c r="I424" s="23"/>
    </row>
    <row r="425" spans="1:9" s="10" customFormat="1" ht="18.75">
      <c r="A425" s="16"/>
      <c r="B425" s="230" t="s">
        <v>615</v>
      </c>
      <c r="C425" s="253" t="s">
        <v>616</v>
      </c>
      <c r="D425" t="s">
        <v>26</v>
      </c>
      <c r="E425">
        <v>1</v>
      </c>
      <c r="F425">
        <v>0.68</v>
      </c>
      <c r="G425">
        <f>TRUNC(E425*F425,2)</f>
        <v>0.68</v>
      </c>
      <c r="I425" s="23"/>
    </row>
    <row r="426" spans="1:9" s="10" customFormat="1" ht="18.75">
      <c r="A426" s="16"/>
      <c r="B426" s="230"/>
      <c r="C426" s="253"/>
      <c r="D426"/>
      <c r="E426" t="s">
        <v>62</v>
      </c>
      <c r="F426"/>
      <c r="G426">
        <f>TRUNC(SUM(G425:G425),2)</f>
        <v>0.68</v>
      </c>
      <c r="I426" s="23"/>
    </row>
    <row r="427" spans="1:9" s="10" customFormat="1" ht="18.75">
      <c r="A427" s="16"/>
      <c r="B427" s="230"/>
      <c r="C427" s="253"/>
      <c r="D427"/>
      <c r="E427"/>
      <c r="F427"/>
      <c r="G427"/>
      <c r="I427" s="23"/>
    </row>
    <row r="428" spans="1:9" s="10" customFormat="1" ht="25.5">
      <c r="A428" s="276" t="s">
        <v>1023</v>
      </c>
      <c r="B428" s="372" t="s">
        <v>560</v>
      </c>
      <c r="C428" s="373" t="s">
        <v>561</v>
      </c>
      <c r="D428" s="374" t="s">
        <v>26</v>
      </c>
      <c r="E428" s="374">
        <v>1</v>
      </c>
      <c r="F428" s="374">
        <f>G430</f>
        <v>2.31</v>
      </c>
      <c r="G428" s="374">
        <f>TRUNC(E428*F428,2)</f>
        <v>2.31</v>
      </c>
      <c r="I428" s="23"/>
    </row>
    <row r="429" spans="1:9" s="10" customFormat="1" ht="18.75">
      <c r="A429" s="16"/>
      <c r="B429" s="230" t="s">
        <v>562</v>
      </c>
      <c r="C429" s="253" t="s">
        <v>563</v>
      </c>
      <c r="D429" t="s">
        <v>26</v>
      </c>
      <c r="E429">
        <v>1</v>
      </c>
      <c r="F429">
        <v>2.31</v>
      </c>
      <c r="G429">
        <f>TRUNC(E429*F429,2)</f>
        <v>2.31</v>
      </c>
      <c r="I429" s="23"/>
    </row>
    <row r="430" spans="1:9" s="10" customFormat="1" ht="18.75">
      <c r="A430" s="16"/>
      <c r="B430" s="230"/>
      <c r="C430" s="253"/>
      <c r="D430"/>
      <c r="E430" t="s">
        <v>62</v>
      </c>
      <c r="F430"/>
      <c r="G430">
        <f>TRUNC(SUM(G429:G429),2)</f>
        <v>2.31</v>
      </c>
      <c r="I430" s="23"/>
    </row>
    <row r="431" spans="1:9" s="10" customFormat="1" ht="18.75">
      <c r="A431" s="16"/>
      <c r="B431" s="230"/>
      <c r="C431" s="253"/>
      <c r="D431"/>
      <c r="E431"/>
      <c r="F431"/>
      <c r="G431"/>
      <c r="I431" s="23"/>
    </row>
    <row r="432" spans="1:9" s="10" customFormat="1" ht="38.25">
      <c r="A432" s="276" t="s">
        <v>1024</v>
      </c>
      <c r="B432" s="372" t="s">
        <v>763</v>
      </c>
      <c r="C432" s="373" t="s">
        <v>564</v>
      </c>
      <c r="D432" s="374" t="s">
        <v>26</v>
      </c>
      <c r="E432" s="374">
        <v>1</v>
      </c>
      <c r="F432" s="374">
        <f>G437</f>
        <v>105.9</v>
      </c>
      <c r="G432" s="374">
        <f>TRUNC(E432*F432,2)</f>
        <v>105.9</v>
      </c>
      <c r="I432" s="23"/>
    </row>
    <row r="433" spans="1:9" s="10" customFormat="1" ht="18.75">
      <c r="A433" s="16"/>
      <c r="B433" s="230" t="s">
        <v>764</v>
      </c>
      <c r="C433" s="253" t="s">
        <v>565</v>
      </c>
      <c r="D433" t="s">
        <v>26</v>
      </c>
      <c r="E433">
        <v>1</v>
      </c>
      <c r="F433">
        <f>TRUNC(72.57,2)</f>
        <v>72.57</v>
      </c>
      <c r="G433">
        <f>TRUNC(E433*F433,2)</f>
        <v>72.57</v>
      </c>
      <c r="I433" s="23"/>
    </row>
    <row r="434" spans="1:9" s="10" customFormat="1" ht="18.75">
      <c r="A434" s="16"/>
      <c r="B434" s="230" t="s">
        <v>765</v>
      </c>
      <c r="C434" s="253" t="s">
        <v>566</v>
      </c>
      <c r="D434" t="s">
        <v>26</v>
      </c>
      <c r="E434">
        <v>0.019</v>
      </c>
      <c r="F434">
        <f>TRUNC(10.03,2)</f>
        <v>10.03</v>
      </c>
      <c r="G434">
        <f>TRUNC(E434*F434,2)</f>
        <v>0.19</v>
      </c>
      <c r="I434" s="23"/>
    </row>
    <row r="435" spans="1:9" s="10" customFormat="1" ht="18.75">
      <c r="A435" s="16"/>
      <c r="B435" s="230" t="s">
        <v>668</v>
      </c>
      <c r="C435" s="253" t="s">
        <v>70</v>
      </c>
      <c r="D435" t="s">
        <v>61</v>
      </c>
      <c r="E435">
        <v>0.789</v>
      </c>
      <c r="F435">
        <f>TRUNC(23.56,2)</f>
        <v>23.56</v>
      </c>
      <c r="G435">
        <f>TRUNC(E435*F435,2)</f>
        <v>18.58</v>
      </c>
      <c r="I435" s="23"/>
    </row>
    <row r="436" spans="1:9" s="10" customFormat="1" ht="18.75">
      <c r="A436" s="16"/>
      <c r="B436" s="230" t="s">
        <v>766</v>
      </c>
      <c r="C436" s="253" t="s">
        <v>71</v>
      </c>
      <c r="D436" t="s">
        <v>61</v>
      </c>
      <c r="E436">
        <v>0.789</v>
      </c>
      <c r="F436">
        <f>TRUNC(18.46,2)</f>
        <v>18.46</v>
      </c>
      <c r="G436">
        <f>TRUNC(E436*F436,2)</f>
        <v>14.56</v>
      </c>
      <c r="I436" s="23"/>
    </row>
    <row r="437" spans="1:9" s="10" customFormat="1" ht="18.75">
      <c r="A437" s="16"/>
      <c r="B437" s="230"/>
      <c r="C437" s="253"/>
      <c r="D437"/>
      <c r="E437" t="s">
        <v>62</v>
      </c>
      <c r="F437"/>
      <c r="G437">
        <f>TRUNC(SUM(G433:G436),2)</f>
        <v>105.9</v>
      </c>
      <c r="I437" s="23"/>
    </row>
    <row r="438" spans="1:9" s="10" customFormat="1" ht="18.75">
      <c r="A438" s="16"/>
      <c r="B438" s="230"/>
      <c r="C438" s="253"/>
      <c r="D438"/>
      <c r="E438"/>
      <c r="F438"/>
      <c r="G438"/>
      <c r="I438" s="23"/>
    </row>
    <row r="439" spans="1:9" s="10" customFormat="1" ht="18.75">
      <c r="A439" s="276" t="s">
        <v>1025</v>
      </c>
      <c r="B439" s="372" t="s">
        <v>567</v>
      </c>
      <c r="C439" s="373" t="s">
        <v>568</v>
      </c>
      <c r="D439" s="374" t="s">
        <v>26</v>
      </c>
      <c r="E439" s="374">
        <v>1</v>
      </c>
      <c r="F439" s="374">
        <f>G441</f>
        <v>11.1</v>
      </c>
      <c r="G439" s="374">
        <f>TRUNC(E439*F439,2)</f>
        <v>11.1</v>
      </c>
      <c r="I439" s="23"/>
    </row>
    <row r="440" spans="1:9" s="10" customFormat="1" ht="18.75">
      <c r="A440" s="16"/>
      <c r="B440" s="230" t="s">
        <v>569</v>
      </c>
      <c r="C440" s="253" t="s">
        <v>570</v>
      </c>
      <c r="D440" t="s">
        <v>26</v>
      </c>
      <c r="E440">
        <v>1</v>
      </c>
      <c r="F440">
        <f>TRUNC(11.1,2)</f>
        <v>11.1</v>
      </c>
      <c r="G440">
        <f>TRUNC(E440*F440,2)</f>
        <v>11.1</v>
      </c>
      <c r="I440" s="23"/>
    </row>
    <row r="441" spans="1:9" s="10" customFormat="1" ht="18.75">
      <c r="A441" s="16"/>
      <c r="B441" s="230"/>
      <c r="C441" s="253"/>
      <c r="D441"/>
      <c r="E441" t="s">
        <v>62</v>
      </c>
      <c r="F441"/>
      <c r="G441">
        <f>TRUNC(SUM(G440:G440),2)</f>
        <v>11.1</v>
      </c>
      <c r="I441" s="23"/>
    </row>
    <row r="442" spans="1:9" s="10" customFormat="1" ht="18.75">
      <c r="A442" s="16"/>
      <c r="B442" s="230"/>
      <c r="C442" s="253"/>
      <c r="D442"/>
      <c r="E442"/>
      <c r="F442"/>
      <c r="G442"/>
      <c r="I442" s="23"/>
    </row>
    <row r="443" spans="1:9" s="10" customFormat="1" ht="18.75">
      <c r="A443" s="276" t="s">
        <v>1026</v>
      </c>
      <c r="B443" s="372" t="s">
        <v>571</v>
      </c>
      <c r="C443" s="373" t="s">
        <v>572</v>
      </c>
      <c r="D443" s="374" t="s">
        <v>26</v>
      </c>
      <c r="E443" s="374">
        <v>1</v>
      </c>
      <c r="F443" s="374">
        <f>G445</f>
        <v>20.96</v>
      </c>
      <c r="G443" s="374">
        <f>TRUNC(E443*F443,2)</f>
        <v>20.96</v>
      </c>
      <c r="I443" s="23"/>
    </row>
    <row r="444" spans="1:9" s="10" customFormat="1" ht="18.75">
      <c r="A444" s="16"/>
      <c r="B444" s="230" t="s">
        <v>573</v>
      </c>
      <c r="C444" s="253" t="s">
        <v>574</v>
      </c>
      <c r="D444" t="s">
        <v>26</v>
      </c>
      <c r="E444">
        <v>1</v>
      </c>
      <c r="F444">
        <f>TRUNC(20.96,2)</f>
        <v>20.96</v>
      </c>
      <c r="G444">
        <f>TRUNC(E444*F444,2)</f>
        <v>20.96</v>
      </c>
      <c r="I444" s="23"/>
    </row>
    <row r="445" spans="1:9" s="10" customFormat="1" ht="18.75">
      <c r="A445" s="16"/>
      <c r="B445" s="230"/>
      <c r="C445" s="253"/>
      <c r="D445"/>
      <c r="E445" t="s">
        <v>62</v>
      </c>
      <c r="F445"/>
      <c r="G445">
        <f>TRUNC(SUM(G444:G444),2)</f>
        <v>20.96</v>
      </c>
      <c r="I445" s="23"/>
    </row>
    <row r="446" spans="1:9" s="10" customFormat="1" ht="18.75">
      <c r="A446" s="16"/>
      <c r="B446" s="230"/>
      <c r="C446" s="253"/>
      <c r="D446"/>
      <c r="E446"/>
      <c r="F446"/>
      <c r="G446"/>
      <c r="I446" s="23"/>
    </row>
    <row r="447" spans="1:9" s="10" customFormat="1" ht="38.25">
      <c r="A447" s="276" t="s">
        <v>1027</v>
      </c>
      <c r="B447" s="372" t="s">
        <v>767</v>
      </c>
      <c r="C447" s="373" t="s">
        <v>617</v>
      </c>
      <c r="D447" s="374" t="s">
        <v>26</v>
      </c>
      <c r="E447" s="374">
        <v>1</v>
      </c>
      <c r="F447" s="374">
        <f>TRUNC(4.917632,2)</f>
        <v>4.91</v>
      </c>
      <c r="G447" s="374">
        <f>TRUNC(E447*F447,2)</f>
        <v>4.91</v>
      </c>
      <c r="I447" s="23"/>
    </row>
    <row r="448" spans="1:9" s="10" customFormat="1" ht="18.75">
      <c r="A448" s="16"/>
      <c r="B448" s="230" t="s">
        <v>243</v>
      </c>
      <c r="C448" s="253" t="s">
        <v>244</v>
      </c>
      <c r="D448" t="s">
        <v>61</v>
      </c>
      <c r="E448">
        <v>0.1648</v>
      </c>
      <c r="F448">
        <f>TRUNC(12.54,2)</f>
        <v>12.54</v>
      </c>
      <c r="G448">
        <f>TRUNC(E448*F448,2)</f>
        <v>2.06</v>
      </c>
      <c r="I448" s="23"/>
    </row>
    <row r="449" spans="1:9" s="10" customFormat="1" ht="25.5">
      <c r="A449" s="16"/>
      <c r="B449" s="230" t="s">
        <v>761</v>
      </c>
      <c r="C449" s="253" t="s">
        <v>762</v>
      </c>
      <c r="D449" t="s">
        <v>61</v>
      </c>
      <c r="E449">
        <v>0.1648</v>
      </c>
      <c r="F449">
        <f>TRUNC(17.3,2)</f>
        <v>17.3</v>
      </c>
      <c r="G449">
        <f>TRUNC(E449*F449,2)</f>
        <v>2.85</v>
      </c>
      <c r="I449" s="23"/>
    </row>
    <row r="450" spans="1:9" s="10" customFormat="1" ht="18.75">
      <c r="A450" s="16"/>
      <c r="B450" s="230"/>
      <c r="C450" s="253"/>
      <c r="D450"/>
      <c r="E450" t="s">
        <v>62</v>
      </c>
      <c r="F450"/>
      <c r="G450">
        <f>TRUNC(SUM(G448:G449),2)</f>
        <v>4.91</v>
      </c>
      <c r="I450" s="23"/>
    </row>
    <row r="451" spans="1:9" s="10" customFormat="1" ht="18.75">
      <c r="A451" s="16"/>
      <c r="B451" s="230"/>
      <c r="C451" s="253"/>
      <c r="D451"/>
      <c r="E451"/>
      <c r="F451"/>
      <c r="G451"/>
      <c r="I451" s="23"/>
    </row>
    <row r="452" spans="1:9" s="10" customFormat="1" ht="25.5">
      <c r="A452" s="276" t="s">
        <v>1028</v>
      </c>
      <c r="B452" s="372" t="s">
        <v>768</v>
      </c>
      <c r="C452" s="373" t="s">
        <v>618</v>
      </c>
      <c r="D452" s="374" t="s">
        <v>19</v>
      </c>
      <c r="E452" s="374">
        <v>1</v>
      </c>
      <c r="F452" s="374">
        <f>G455</f>
        <v>11.86</v>
      </c>
      <c r="G452" s="374">
        <f>TRUNC(E452*F452,2)</f>
        <v>11.86</v>
      </c>
      <c r="I452" s="23"/>
    </row>
    <row r="453" spans="1:9" s="10" customFormat="1" ht="18.75">
      <c r="A453" s="16"/>
      <c r="B453" s="230" t="s">
        <v>668</v>
      </c>
      <c r="C453" s="253" t="s">
        <v>70</v>
      </c>
      <c r="D453" t="s">
        <v>61</v>
      </c>
      <c r="E453">
        <v>0.449</v>
      </c>
      <c r="F453">
        <f>TRUNC(23.56,2)</f>
        <v>23.56</v>
      </c>
      <c r="G453">
        <f>TRUNC(E453*F453,2)</f>
        <v>10.57</v>
      </c>
      <c r="I453" s="23"/>
    </row>
    <row r="454" spans="1:9" s="10" customFormat="1" ht="18.75">
      <c r="A454" s="16"/>
      <c r="B454" s="230" t="s">
        <v>766</v>
      </c>
      <c r="C454" s="253" t="s">
        <v>71</v>
      </c>
      <c r="D454" t="s">
        <v>61</v>
      </c>
      <c r="E454">
        <v>0.07</v>
      </c>
      <c r="F454">
        <f>TRUNC(18.46,2)</f>
        <v>18.46</v>
      </c>
      <c r="G454">
        <f>TRUNC(E454*F454,2)</f>
        <v>1.29</v>
      </c>
      <c r="I454" s="23"/>
    </row>
    <row r="455" spans="1:9" s="10" customFormat="1" ht="18.75">
      <c r="A455" s="16"/>
      <c r="B455" s="230"/>
      <c r="C455" s="253"/>
      <c r="D455"/>
      <c r="E455" t="s">
        <v>62</v>
      </c>
      <c r="F455"/>
      <c r="G455">
        <f>TRUNC(SUM(G453:G454),2)</f>
        <v>11.86</v>
      </c>
      <c r="I455" s="23"/>
    </row>
    <row r="456" spans="1:9" s="10" customFormat="1" ht="18.75">
      <c r="A456" s="16"/>
      <c r="B456" s="267"/>
      <c r="C456" s="245"/>
      <c r="D456" s="24"/>
      <c r="E456" s="24"/>
      <c r="F456" s="24"/>
      <c r="I456" s="23"/>
    </row>
    <row r="457" spans="1:9" s="10" customFormat="1" ht="18.75">
      <c r="A457" s="278"/>
      <c r="B457" s="279"/>
      <c r="C457" s="280" t="s">
        <v>604</v>
      </c>
      <c r="D457" s="370"/>
      <c r="E457" s="370"/>
      <c r="F457" s="370"/>
      <c r="G457" s="281"/>
      <c r="I457" s="23"/>
    </row>
    <row r="458" spans="1:9" s="10" customFormat="1" ht="30">
      <c r="A458" s="276" t="s">
        <v>1029</v>
      </c>
      <c r="B458" s="372" t="s">
        <v>769</v>
      </c>
      <c r="C458" s="376" t="s">
        <v>576</v>
      </c>
      <c r="D458" s="377" t="s">
        <v>19</v>
      </c>
      <c r="E458" s="377">
        <v>1</v>
      </c>
      <c r="F458" s="377">
        <f>TRUNC(18.88782,2)</f>
        <v>18.88</v>
      </c>
      <c r="G458" s="377">
        <f>TRUNC(E458*F458,2)</f>
        <v>18.88</v>
      </c>
      <c r="I458" s="23"/>
    </row>
    <row r="459" spans="1:9" s="10" customFormat="1" ht="27.75" customHeight="1">
      <c r="A459" s="16"/>
      <c r="B459" s="230" t="s">
        <v>577</v>
      </c>
      <c r="C459" s="375" t="s">
        <v>578</v>
      </c>
      <c r="D459" s="63" t="s">
        <v>26</v>
      </c>
      <c r="E459" s="63">
        <v>0.175</v>
      </c>
      <c r="F459" s="63">
        <f>TRUNC(41.54,2)</f>
        <v>41.54</v>
      </c>
      <c r="G459" s="63">
        <f>TRUNC(E459*F459,2)</f>
        <v>7.26</v>
      </c>
      <c r="I459" s="23"/>
    </row>
    <row r="460" spans="1:9" s="10" customFormat="1" ht="27.75" customHeight="1">
      <c r="A460" s="16"/>
      <c r="B460" s="230" t="s">
        <v>128</v>
      </c>
      <c r="C460" s="375" t="s">
        <v>129</v>
      </c>
      <c r="D460" s="63" t="s">
        <v>26</v>
      </c>
      <c r="E460" s="63">
        <v>0.3</v>
      </c>
      <c r="F460" s="63">
        <f>TRUNC(2.87,2)</f>
        <v>2.87</v>
      </c>
      <c r="G460" s="63">
        <f>TRUNC(E460*F460,2)</f>
        <v>0.86</v>
      </c>
      <c r="I460" s="23"/>
    </row>
    <row r="461" spans="1:9" s="10" customFormat="1" ht="27.75" customHeight="1">
      <c r="A461" s="16"/>
      <c r="B461" s="230" t="s">
        <v>243</v>
      </c>
      <c r="C461" s="375" t="s">
        <v>244</v>
      </c>
      <c r="D461" s="63" t="s">
        <v>61</v>
      </c>
      <c r="E461" s="63">
        <v>0.3605</v>
      </c>
      <c r="F461" s="63">
        <f>TRUNC(12.54,2)</f>
        <v>12.54</v>
      </c>
      <c r="G461" s="63">
        <f>TRUNC(E461*F461,2)</f>
        <v>4.52</v>
      </c>
      <c r="I461" s="23"/>
    </row>
    <row r="462" spans="1:9" s="10" customFormat="1" ht="27.75" customHeight="1">
      <c r="A462" s="16"/>
      <c r="B462" s="230" t="s">
        <v>761</v>
      </c>
      <c r="C462" s="375" t="s">
        <v>762</v>
      </c>
      <c r="D462" s="63" t="s">
        <v>61</v>
      </c>
      <c r="E462" s="63">
        <v>0.3605</v>
      </c>
      <c r="F462" s="63">
        <f>TRUNC(17.3,2)</f>
        <v>17.3</v>
      </c>
      <c r="G462" s="63">
        <f>TRUNC(E462*F462,2)</f>
        <v>6.23</v>
      </c>
      <c r="I462" s="23"/>
    </row>
    <row r="463" spans="1:9" s="10" customFormat="1" ht="27.75" customHeight="1">
      <c r="A463" s="16"/>
      <c r="B463" s="230"/>
      <c r="C463" s="375"/>
      <c r="D463" s="63"/>
      <c r="E463" s="63" t="s">
        <v>62</v>
      </c>
      <c r="F463" s="63"/>
      <c r="G463" s="63">
        <f>TRUNC(SUM(G459:G462),2)</f>
        <v>18.87</v>
      </c>
      <c r="I463" s="23"/>
    </row>
    <row r="464" spans="1:9" s="10" customFormat="1" ht="27.75" customHeight="1">
      <c r="A464" s="16"/>
      <c r="B464" s="230"/>
      <c r="C464" s="254"/>
      <c r="D464"/>
      <c r="E464"/>
      <c r="F464"/>
      <c r="G464"/>
      <c r="I464" s="23"/>
    </row>
    <row r="465" spans="1:9" s="10" customFormat="1" ht="27.75" customHeight="1">
      <c r="A465" s="290" t="s">
        <v>1030</v>
      </c>
      <c r="B465" s="378" t="s">
        <v>776</v>
      </c>
      <c r="C465" s="379" t="s">
        <v>579</v>
      </c>
      <c r="D465" s="381" t="s">
        <v>19</v>
      </c>
      <c r="E465" s="381">
        <v>1</v>
      </c>
      <c r="F465" s="381">
        <f>G470</f>
        <v>12.08</v>
      </c>
      <c r="G465" s="381">
        <f>TRUNC(E465*F465,2)</f>
        <v>12.08</v>
      </c>
      <c r="I465" s="23"/>
    </row>
    <row r="466" spans="1:9" s="10" customFormat="1" ht="27.75" customHeight="1">
      <c r="A466" s="16"/>
      <c r="B466" s="230" t="s">
        <v>580</v>
      </c>
      <c r="C466" s="375" t="s">
        <v>581</v>
      </c>
      <c r="D466" t="s">
        <v>26</v>
      </c>
      <c r="E466">
        <v>0.175</v>
      </c>
      <c r="F466">
        <v>27.51</v>
      </c>
      <c r="G466">
        <f>TRUNC(E466*F466,2)</f>
        <v>4.81</v>
      </c>
      <c r="I466" s="23"/>
    </row>
    <row r="467" spans="1:9" s="10" customFormat="1" ht="27.75" customHeight="1">
      <c r="A467" s="16"/>
      <c r="B467" s="230" t="s">
        <v>128</v>
      </c>
      <c r="C467" s="375" t="s">
        <v>129</v>
      </c>
      <c r="D467" t="s">
        <v>26</v>
      </c>
      <c r="E467">
        <v>0.18</v>
      </c>
      <c r="F467">
        <v>2.87</v>
      </c>
      <c r="G467">
        <f>TRUNC(E467*F467,2)</f>
        <v>0.51</v>
      </c>
      <c r="I467" s="23"/>
    </row>
    <row r="468" spans="1:9" s="10" customFormat="1" ht="27.75" customHeight="1">
      <c r="A468" s="16"/>
      <c r="B468" s="230" t="s">
        <v>243</v>
      </c>
      <c r="C468" s="375" t="s">
        <v>60</v>
      </c>
      <c r="D468" t="s">
        <v>61</v>
      </c>
      <c r="E468">
        <v>0.2266</v>
      </c>
      <c r="F468">
        <f>TRUNC(12.54,2)</f>
        <v>12.54</v>
      </c>
      <c r="G468">
        <f>TRUNC(E468*F468,2)</f>
        <v>2.84</v>
      </c>
      <c r="I468" s="23"/>
    </row>
    <row r="469" spans="1:9" s="10" customFormat="1" ht="27.75" customHeight="1">
      <c r="A469" s="16"/>
      <c r="B469" s="230" t="s">
        <v>761</v>
      </c>
      <c r="C469" s="375" t="s">
        <v>539</v>
      </c>
      <c r="D469" t="s">
        <v>61</v>
      </c>
      <c r="E469">
        <v>0.2266</v>
      </c>
      <c r="F469">
        <f>TRUNC(17.3,2)</f>
        <v>17.3</v>
      </c>
      <c r="G469">
        <f>TRUNC(E469*F469,2)</f>
        <v>3.92</v>
      </c>
      <c r="I469" s="23"/>
    </row>
    <row r="470" spans="1:9" s="10" customFormat="1" ht="27.75" customHeight="1">
      <c r="A470" s="16"/>
      <c r="B470" s="230"/>
      <c r="C470" s="254"/>
      <c r="D470"/>
      <c r="E470" t="s">
        <v>62</v>
      </c>
      <c r="F470"/>
      <c r="G470">
        <f>TRUNC(SUM(G466:G469),2)</f>
        <v>12.08</v>
      </c>
      <c r="I470" s="23"/>
    </row>
    <row r="471" spans="1:9" s="10" customFormat="1" ht="18.75">
      <c r="A471" s="16"/>
      <c r="B471" s="230"/>
      <c r="C471" s="254"/>
      <c r="D471"/>
      <c r="E471"/>
      <c r="F471"/>
      <c r="G471"/>
      <c r="I471" s="23"/>
    </row>
    <row r="472" spans="1:9" s="10" customFormat="1" ht="30">
      <c r="A472" s="290" t="s">
        <v>1031</v>
      </c>
      <c r="B472" s="378" t="s">
        <v>775</v>
      </c>
      <c r="C472" s="379" t="s">
        <v>582</v>
      </c>
      <c r="D472" s="380" t="s">
        <v>19</v>
      </c>
      <c r="E472" s="380">
        <v>1</v>
      </c>
      <c r="F472" s="380">
        <f>G477</f>
        <v>8.68</v>
      </c>
      <c r="G472" s="380">
        <f>TRUNC(E472*F472,2)</f>
        <v>8.68</v>
      </c>
      <c r="I472" s="23"/>
    </row>
    <row r="473" spans="1:9" s="10" customFormat="1" ht="18.75">
      <c r="A473" s="16"/>
      <c r="B473" s="230" t="s">
        <v>583</v>
      </c>
      <c r="C473" s="375" t="s">
        <v>584</v>
      </c>
      <c r="D473" s="63" t="s">
        <v>26</v>
      </c>
      <c r="E473" s="63">
        <v>0.175</v>
      </c>
      <c r="F473" s="63">
        <v>15.81</v>
      </c>
      <c r="G473" s="63">
        <f>TRUNC(E473*F473,2)</f>
        <v>2.76</v>
      </c>
      <c r="I473" s="23"/>
    </row>
    <row r="474" spans="1:9" s="10" customFormat="1" ht="18.75">
      <c r="A474" s="16"/>
      <c r="B474" s="230" t="s">
        <v>128</v>
      </c>
      <c r="C474" s="375" t="s">
        <v>129</v>
      </c>
      <c r="D474" s="63" t="s">
        <v>26</v>
      </c>
      <c r="E474" s="63">
        <v>0.14</v>
      </c>
      <c r="F474" s="63">
        <v>2.87</v>
      </c>
      <c r="G474" s="63">
        <f>TRUNC(E474*F474,2)</f>
        <v>0.4</v>
      </c>
      <c r="I474" s="23"/>
    </row>
    <row r="475" spans="1:9" s="10" customFormat="1" ht="18.75">
      <c r="A475" s="16"/>
      <c r="B475" s="230" t="s">
        <v>243</v>
      </c>
      <c r="C475" s="375" t="s">
        <v>60</v>
      </c>
      <c r="D475" s="63" t="s">
        <v>61</v>
      </c>
      <c r="E475" s="63">
        <v>0.1854</v>
      </c>
      <c r="F475" s="63">
        <f>TRUNC(12.54,2)</f>
        <v>12.54</v>
      </c>
      <c r="G475" s="63">
        <f>TRUNC(E475*F475,2)</f>
        <v>2.32</v>
      </c>
      <c r="I475" s="23"/>
    </row>
    <row r="476" spans="1:9" s="10" customFormat="1" ht="18.75">
      <c r="A476" s="16"/>
      <c r="B476" s="230" t="s">
        <v>761</v>
      </c>
      <c r="C476" s="375" t="s">
        <v>539</v>
      </c>
      <c r="D476" s="63" t="s">
        <v>61</v>
      </c>
      <c r="E476" s="63">
        <v>0.1854</v>
      </c>
      <c r="F476" s="63">
        <f>TRUNC(17.3,2)</f>
        <v>17.3</v>
      </c>
      <c r="G476" s="63">
        <f>TRUNC(E476*F476,2)</f>
        <v>3.2</v>
      </c>
      <c r="I476" s="23"/>
    </row>
    <row r="477" spans="1:9" s="10" customFormat="1" ht="18.75">
      <c r="A477" s="16"/>
      <c r="B477" s="230"/>
      <c r="C477" s="375"/>
      <c r="D477" s="63"/>
      <c r="E477" s="63" t="s">
        <v>62</v>
      </c>
      <c r="F477" s="63"/>
      <c r="G477" s="63">
        <f>TRUNC(SUM(G473:G476),2)</f>
        <v>8.68</v>
      </c>
      <c r="I477" s="23"/>
    </row>
    <row r="478" spans="1:9" s="10" customFormat="1" ht="18.75">
      <c r="A478" s="16"/>
      <c r="B478" s="230"/>
      <c r="C478" s="375"/>
      <c r="D478" s="63"/>
      <c r="E478" s="63"/>
      <c r="F478" s="63"/>
      <c r="G478" s="63"/>
      <c r="I478" s="23"/>
    </row>
    <row r="479" spans="1:9" s="10" customFormat="1" ht="18.75">
      <c r="A479" s="276" t="s">
        <v>1032</v>
      </c>
      <c r="B479" s="372" t="s">
        <v>774</v>
      </c>
      <c r="C479" s="376" t="s">
        <v>585</v>
      </c>
      <c r="D479" s="377" t="s">
        <v>26</v>
      </c>
      <c r="E479" s="377">
        <v>1</v>
      </c>
      <c r="F479" s="377">
        <f>TRUNC(3.83,2)</f>
        <v>3.83</v>
      </c>
      <c r="G479" s="377">
        <f>TRUNC(E479*F479,2)</f>
        <v>3.83</v>
      </c>
      <c r="I479" s="23"/>
    </row>
    <row r="480" spans="1:9" s="10" customFormat="1" ht="18.75">
      <c r="A480" s="16"/>
      <c r="B480" s="230" t="s">
        <v>586</v>
      </c>
      <c r="C480" s="375" t="s">
        <v>587</v>
      </c>
      <c r="D480" s="63" t="s">
        <v>26</v>
      </c>
      <c r="E480" s="63">
        <v>1</v>
      </c>
      <c r="F480" s="63">
        <v>3.83</v>
      </c>
      <c r="G480" s="63">
        <f>TRUNC(E480*F480,2)</f>
        <v>3.83</v>
      </c>
      <c r="I480" s="23"/>
    </row>
    <row r="481" spans="1:9" s="10" customFormat="1" ht="18.75">
      <c r="A481" s="16"/>
      <c r="B481" s="230"/>
      <c r="C481" s="375"/>
      <c r="D481" s="63"/>
      <c r="E481" s="63" t="s">
        <v>62</v>
      </c>
      <c r="F481" s="63"/>
      <c r="G481" s="63">
        <f>TRUNC(SUM(G480:G480),2)</f>
        <v>3.83</v>
      </c>
      <c r="I481" s="23"/>
    </row>
    <row r="482" spans="1:9" s="10" customFormat="1" ht="18.75">
      <c r="A482" s="16"/>
      <c r="B482" s="230"/>
      <c r="C482" s="254"/>
      <c r="D482"/>
      <c r="E482"/>
      <c r="F482"/>
      <c r="G482"/>
      <c r="I482" s="23"/>
    </row>
    <row r="483" spans="1:9" s="10" customFormat="1" ht="18.75">
      <c r="A483" s="276" t="s">
        <v>1033</v>
      </c>
      <c r="B483" s="372" t="s">
        <v>773</v>
      </c>
      <c r="C483" s="376" t="s">
        <v>588</v>
      </c>
      <c r="D483" s="374" t="s">
        <v>26</v>
      </c>
      <c r="E483" s="374">
        <v>1</v>
      </c>
      <c r="F483" s="374">
        <f>G485</f>
        <v>3.24</v>
      </c>
      <c r="G483" s="374">
        <f>TRUNC(E483*F483,2)</f>
        <v>3.24</v>
      </c>
      <c r="I483" s="23"/>
    </row>
    <row r="484" spans="1:9" s="10" customFormat="1" ht="18.75">
      <c r="A484" s="16"/>
      <c r="B484" s="230" t="s">
        <v>589</v>
      </c>
      <c r="C484" s="375" t="s">
        <v>590</v>
      </c>
      <c r="D484" t="s">
        <v>26</v>
      </c>
      <c r="E484">
        <v>1</v>
      </c>
      <c r="F484">
        <v>3.24</v>
      </c>
      <c r="G484">
        <f>TRUNC(E484*F484,2)</f>
        <v>3.24</v>
      </c>
      <c r="I484" s="23"/>
    </row>
    <row r="485" spans="1:9" s="10" customFormat="1" ht="18.75">
      <c r="A485" s="16"/>
      <c r="B485" s="230"/>
      <c r="C485" s="375"/>
      <c r="D485"/>
      <c r="E485" t="s">
        <v>62</v>
      </c>
      <c r="F485"/>
      <c r="G485">
        <f>TRUNC(SUM(G484:G484),2)</f>
        <v>3.24</v>
      </c>
      <c r="I485" s="23"/>
    </row>
    <row r="486" spans="1:9" s="10" customFormat="1" ht="18.75">
      <c r="A486" s="16"/>
      <c r="B486" s="230"/>
      <c r="C486" s="375"/>
      <c r="D486"/>
      <c r="E486"/>
      <c r="F486"/>
      <c r="G486"/>
      <c r="I486" s="23"/>
    </row>
    <row r="487" spans="1:9" s="10" customFormat="1" ht="90" customHeight="1">
      <c r="A487" s="276" t="s">
        <v>1034</v>
      </c>
      <c r="B487" s="372" t="s">
        <v>772</v>
      </c>
      <c r="C487" s="376" t="s">
        <v>591</v>
      </c>
      <c r="D487" s="374" t="s">
        <v>26</v>
      </c>
      <c r="E487" s="374">
        <v>1</v>
      </c>
      <c r="F487" s="374">
        <f>G495</f>
        <v>52.57</v>
      </c>
      <c r="G487" s="374">
        <f aca="true" t="shared" si="13" ref="G487:G494">TRUNC(E487*F487,2)</f>
        <v>52.57</v>
      </c>
      <c r="I487" s="23"/>
    </row>
    <row r="488" spans="1:9" s="10" customFormat="1" ht="36" customHeight="1">
      <c r="A488" s="16"/>
      <c r="B488" s="230" t="s">
        <v>592</v>
      </c>
      <c r="C488" s="375" t="s">
        <v>593</v>
      </c>
      <c r="D488" t="s">
        <v>26</v>
      </c>
      <c r="E488">
        <v>1</v>
      </c>
      <c r="F488">
        <v>7.05</v>
      </c>
      <c r="G488">
        <f t="shared" si="13"/>
        <v>7.05</v>
      </c>
      <c r="I488" s="23"/>
    </row>
    <row r="489" spans="1:9" s="10" customFormat="1" ht="36" customHeight="1">
      <c r="A489" s="16"/>
      <c r="B489" s="230" t="s">
        <v>594</v>
      </c>
      <c r="C489" s="375" t="s">
        <v>595</v>
      </c>
      <c r="D489" t="s">
        <v>26</v>
      </c>
      <c r="E489">
        <v>1</v>
      </c>
      <c r="F489">
        <v>0.94</v>
      </c>
      <c r="G489">
        <f t="shared" si="13"/>
        <v>0.94</v>
      </c>
      <c r="I489" s="23"/>
    </row>
    <row r="490" spans="1:9" s="10" customFormat="1" ht="36" customHeight="1">
      <c r="A490" s="16"/>
      <c r="B490" s="230" t="s">
        <v>596</v>
      </c>
      <c r="C490" s="375" t="s">
        <v>597</v>
      </c>
      <c r="D490" t="s">
        <v>26</v>
      </c>
      <c r="E490">
        <v>2</v>
      </c>
      <c r="F490">
        <v>0.77</v>
      </c>
      <c r="G490">
        <f t="shared" si="13"/>
        <v>1.54</v>
      </c>
      <c r="I490" s="23"/>
    </row>
    <row r="491" spans="1:9" s="10" customFormat="1" ht="36" customHeight="1">
      <c r="A491" s="16"/>
      <c r="B491" s="230" t="s">
        <v>580</v>
      </c>
      <c r="C491" s="375" t="s">
        <v>581</v>
      </c>
      <c r="D491" t="s">
        <v>26</v>
      </c>
      <c r="E491">
        <v>0.333</v>
      </c>
      <c r="F491">
        <v>27.51</v>
      </c>
      <c r="G491">
        <f t="shared" si="13"/>
        <v>9.16</v>
      </c>
      <c r="I491" s="23"/>
    </row>
    <row r="492" spans="1:9" s="10" customFormat="1" ht="36" customHeight="1">
      <c r="A492" s="16"/>
      <c r="B492" s="230" t="s">
        <v>583</v>
      </c>
      <c r="C492" s="375" t="s">
        <v>584</v>
      </c>
      <c r="D492" t="s">
        <v>26</v>
      </c>
      <c r="E492">
        <v>0.2</v>
      </c>
      <c r="F492">
        <v>15.81</v>
      </c>
      <c r="G492">
        <f t="shared" si="13"/>
        <v>3.16</v>
      </c>
      <c r="I492" s="23"/>
    </row>
    <row r="493" spans="1:9" s="10" customFormat="1" ht="36" customHeight="1">
      <c r="A493" s="16"/>
      <c r="B493" s="230" t="s">
        <v>243</v>
      </c>
      <c r="C493" s="375" t="s">
        <v>60</v>
      </c>
      <c r="D493" t="s">
        <v>61</v>
      </c>
      <c r="E493">
        <v>1.03</v>
      </c>
      <c r="F493">
        <f>TRUNC(12.54,2)</f>
        <v>12.54</v>
      </c>
      <c r="G493">
        <f t="shared" si="13"/>
        <v>12.91</v>
      </c>
      <c r="I493" s="23"/>
    </row>
    <row r="494" spans="1:9" s="10" customFormat="1" ht="36" customHeight="1">
      <c r="A494" s="16"/>
      <c r="B494" s="230" t="s">
        <v>761</v>
      </c>
      <c r="C494" s="375" t="s">
        <v>539</v>
      </c>
      <c r="D494" t="s">
        <v>61</v>
      </c>
      <c r="E494">
        <v>1.03</v>
      </c>
      <c r="F494">
        <f>TRUNC(17.3,2)</f>
        <v>17.3</v>
      </c>
      <c r="G494">
        <f t="shared" si="13"/>
        <v>17.81</v>
      </c>
      <c r="I494" s="23"/>
    </row>
    <row r="495" spans="1:9" s="10" customFormat="1" ht="18.75">
      <c r="A495" s="16"/>
      <c r="B495" s="230"/>
      <c r="C495" s="254"/>
      <c r="D495"/>
      <c r="E495" t="s">
        <v>62</v>
      </c>
      <c r="F495"/>
      <c r="G495">
        <f>TRUNC(SUM(G488:G494),2)</f>
        <v>52.57</v>
      </c>
      <c r="I495" s="23"/>
    </row>
    <row r="496" spans="1:9" s="10" customFormat="1" ht="18.75">
      <c r="A496" s="16"/>
      <c r="B496" s="230"/>
      <c r="C496" s="254"/>
      <c r="D496"/>
      <c r="E496"/>
      <c r="F496"/>
      <c r="G496"/>
      <c r="I496" s="23"/>
    </row>
    <row r="497" spans="1:9" s="10" customFormat="1" ht="25.5">
      <c r="A497" s="276" t="s">
        <v>1035</v>
      </c>
      <c r="B497" s="372" t="s">
        <v>770</v>
      </c>
      <c r="C497" s="373" t="s">
        <v>598</v>
      </c>
      <c r="D497" s="374" t="s">
        <v>26</v>
      </c>
      <c r="E497" s="374">
        <v>1</v>
      </c>
      <c r="F497" s="374">
        <f>G500</f>
        <v>1.22</v>
      </c>
      <c r="G497" s="374">
        <f>TRUNC(E497*F497,2)</f>
        <v>1.22</v>
      </c>
      <c r="I497" s="23"/>
    </row>
    <row r="498" spans="1:9" s="10" customFormat="1" ht="18.75">
      <c r="A498" s="16"/>
      <c r="B498" s="230" t="s">
        <v>243</v>
      </c>
      <c r="C498" s="253" t="s">
        <v>60</v>
      </c>
      <c r="D498" t="s">
        <v>61</v>
      </c>
      <c r="E498">
        <v>0.0412</v>
      </c>
      <c r="F498">
        <f>TRUNC(12.54,2)</f>
        <v>12.54</v>
      </c>
      <c r="G498">
        <f>TRUNC(E498*F498,2)</f>
        <v>0.51</v>
      </c>
      <c r="I498" s="23"/>
    </row>
    <row r="499" spans="1:9" s="10" customFormat="1" ht="18.75">
      <c r="A499" s="16"/>
      <c r="B499" s="230" t="s">
        <v>761</v>
      </c>
      <c r="C499" s="253" t="s">
        <v>539</v>
      </c>
      <c r="D499" t="s">
        <v>61</v>
      </c>
      <c r="E499">
        <v>0.0412</v>
      </c>
      <c r="F499">
        <f>TRUNC(17.3,2)</f>
        <v>17.3</v>
      </c>
      <c r="G499">
        <f>TRUNC(E499*F499,2)</f>
        <v>0.71</v>
      </c>
      <c r="I499" s="23"/>
    </row>
    <row r="500" spans="1:9" s="10" customFormat="1" ht="18.75">
      <c r="A500" s="16"/>
      <c r="B500" s="230"/>
      <c r="C500" s="253"/>
      <c r="D500"/>
      <c r="E500" t="s">
        <v>62</v>
      </c>
      <c r="F500"/>
      <c r="G500">
        <f>TRUNC(SUM(G498:G499),2)</f>
        <v>1.22</v>
      </c>
      <c r="I500" s="23"/>
    </row>
    <row r="501" spans="1:9" s="10" customFormat="1" ht="18.75">
      <c r="A501" s="16"/>
      <c r="B501" s="230"/>
      <c r="C501" s="253"/>
      <c r="D501"/>
      <c r="E501"/>
      <c r="F501"/>
      <c r="G501"/>
      <c r="I501" s="23"/>
    </row>
    <row r="502" spans="1:9" s="10" customFormat="1" ht="25.5">
      <c r="A502" s="276" t="s">
        <v>1036</v>
      </c>
      <c r="B502" s="372" t="s">
        <v>771</v>
      </c>
      <c r="C502" s="373" t="s">
        <v>599</v>
      </c>
      <c r="D502" s="374" t="s">
        <v>26</v>
      </c>
      <c r="E502" s="374">
        <v>1</v>
      </c>
      <c r="F502" s="374">
        <f>G505</f>
        <v>1.53</v>
      </c>
      <c r="G502" s="374">
        <f>TRUNC(E502*F502,2)</f>
        <v>1.53</v>
      </c>
      <c r="I502" s="23"/>
    </row>
    <row r="503" spans="1:9" s="10" customFormat="1" ht="18.75">
      <c r="A503" s="16"/>
      <c r="B503" s="230" t="s">
        <v>243</v>
      </c>
      <c r="C503" s="253" t="s">
        <v>60</v>
      </c>
      <c r="D503" t="s">
        <v>61</v>
      </c>
      <c r="E503">
        <v>0.051500000000000004</v>
      </c>
      <c r="F503">
        <f>TRUNC(12.54,2)</f>
        <v>12.54</v>
      </c>
      <c r="G503">
        <f>TRUNC(E503*F503,2)</f>
        <v>0.64</v>
      </c>
      <c r="I503" s="23"/>
    </row>
    <row r="504" spans="1:9" s="10" customFormat="1" ht="18.75">
      <c r="A504" s="16"/>
      <c r="B504" s="230" t="s">
        <v>761</v>
      </c>
      <c r="C504" s="253" t="s">
        <v>539</v>
      </c>
      <c r="D504" t="s">
        <v>61</v>
      </c>
      <c r="E504">
        <v>0.051500000000000004</v>
      </c>
      <c r="F504">
        <f>TRUNC(17.3,2)</f>
        <v>17.3</v>
      </c>
      <c r="G504">
        <f>TRUNC(E504*F504,2)</f>
        <v>0.89</v>
      </c>
      <c r="I504" s="23"/>
    </row>
    <row r="505" spans="1:9" s="10" customFormat="1" ht="18.75">
      <c r="A505" s="16"/>
      <c r="B505" s="230"/>
      <c r="C505" s="253"/>
      <c r="D505"/>
      <c r="E505" t="s">
        <v>62</v>
      </c>
      <c r="F505"/>
      <c r="G505">
        <f>TRUNC(SUM(G503:G504),2)</f>
        <v>1.53</v>
      </c>
      <c r="I505" s="23"/>
    </row>
    <row r="506" spans="1:9" s="10" customFormat="1" ht="18.75">
      <c r="A506" s="16"/>
      <c r="B506" s="230"/>
      <c r="C506" s="253"/>
      <c r="D506"/>
      <c r="E506"/>
      <c r="F506"/>
      <c r="G506"/>
      <c r="I506" s="23"/>
    </row>
    <row r="507" spans="1:7" s="10" customFormat="1" ht="30">
      <c r="A507" s="33" t="s">
        <v>1037</v>
      </c>
      <c r="B507" s="169" t="s">
        <v>430</v>
      </c>
      <c r="C507" s="331" t="s">
        <v>647</v>
      </c>
      <c r="D507" s="15" t="s">
        <v>20</v>
      </c>
      <c r="E507" s="15">
        <v>1</v>
      </c>
      <c r="F507" s="15">
        <f>TRUNC(176.3772,2)</f>
        <v>176.37</v>
      </c>
      <c r="G507" s="15">
        <f>TRUNC(E507*F507,2)</f>
        <v>176.37</v>
      </c>
    </row>
    <row r="508" spans="1:7" s="10" customFormat="1" ht="30">
      <c r="A508" s="30"/>
      <c r="B508" s="110" t="s">
        <v>243</v>
      </c>
      <c r="C508" s="246" t="s">
        <v>244</v>
      </c>
      <c r="D508" s="10" t="s">
        <v>61</v>
      </c>
      <c r="E508" s="10">
        <v>12.36</v>
      </c>
      <c r="F508" s="10">
        <f>TRUNC(12.54,2)</f>
        <v>12.54</v>
      </c>
      <c r="G508" s="10">
        <f>TRUNC(E508*F508,2)</f>
        <v>154.99</v>
      </c>
    </row>
    <row r="509" spans="1:7" s="10" customFormat="1" ht="18.75">
      <c r="A509" s="30"/>
      <c r="B509" s="110" t="s">
        <v>251</v>
      </c>
      <c r="C509" s="246" t="s">
        <v>252</v>
      </c>
      <c r="D509" s="10" t="s">
        <v>61</v>
      </c>
      <c r="E509" s="10">
        <v>1.236</v>
      </c>
      <c r="F509" s="10">
        <f>TRUNC(17.3,2)</f>
        <v>17.3</v>
      </c>
      <c r="G509" s="10">
        <f>TRUNC(E509*F509,2)</f>
        <v>21.38</v>
      </c>
    </row>
    <row r="510" spans="1:7" s="10" customFormat="1" ht="18.75">
      <c r="A510" s="30"/>
      <c r="B510" s="110"/>
      <c r="C510" s="246"/>
      <c r="E510" s="10" t="s">
        <v>62</v>
      </c>
      <c r="G510" s="10">
        <f>TRUNC(SUM(G508:G509),2)</f>
        <v>176.37</v>
      </c>
    </row>
    <row r="511" spans="1:3" s="10" customFormat="1" ht="18.75">
      <c r="A511" s="30"/>
      <c r="B511" s="110"/>
      <c r="C511" s="246"/>
    </row>
    <row r="512" spans="1:9" s="10" customFormat="1" ht="44.25" customHeight="1">
      <c r="A512" s="276" t="s">
        <v>1038</v>
      </c>
      <c r="B512" s="372" t="s">
        <v>777</v>
      </c>
      <c r="C512" s="373" t="s">
        <v>606</v>
      </c>
      <c r="D512" s="374" t="s">
        <v>20</v>
      </c>
      <c r="E512" s="374">
        <v>1</v>
      </c>
      <c r="F512" s="374">
        <f>G520</f>
        <v>293.8</v>
      </c>
      <c r="G512" s="374">
        <f aca="true" t="shared" si="14" ref="G512:G519">TRUNC(E512*F512,2)</f>
        <v>293.8</v>
      </c>
      <c r="I512" s="23"/>
    </row>
    <row r="513" spans="1:9" s="10" customFormat="1" ht="18.75">
      <c r="A513" s="16"/>
      <c r="B513" s="272" t="s">
        <v>778</v>
      </c>
      <c r="C513" s="255" t="s">
        <v>489</v>
      </c>
      <c r="D513" s="53" t="s">
        <v>20</v>
      </c>
      <c r="E513" s="53">
        <v>0.587</v>
      </c>
      <c r="F513" s="53">
        <f>TRUNC(60,2)</f>
        <v>60</v>
      </c>
      <c r="G513" s="54">
        <f t="shared" si="14"/>
        <v>35.22</v>
      </c>
      <c r="I513" s="23"/>
    </row>
    <row r="514" spans="1:9" s="10" customFormat="1" ht="18.75">
      <c r="A514" s="16"/>
      <c r="B514" s="272" t="s">
        <v>779</v>
      </c>
      <c r="C514" s="255" t="s">
        <v>490</v>
      </c>
      <c r="D514" s="53" t="s">
        <v>30</v>
      </c>
      <c r="E514" s="53">
        <v>322.98</v>
      </c>
      <c r="F514" s="53">
        <f>TRUNC(0.42,2)</f>
        <v>0.42</v>
      </c>
      <c r="G514" s="54">
        <f t="shared" si="14"/>
        <v>135.65</v>
      </c>
      <c r="I514" s="23"/>
    </row>
    <row r="515" spans="1:9" s="10" customFormat="1" ht="18.75">
      <c r="A515" s="16"/>
      <c r="B515" s="272" t="s">
        <v>780</v>
      </c>
      <c r="C515" s="255" t="s">
        <v>491</v>
      </c>
      <c r="D515" s="53" t="s">
        <v>20</v>
      </c>
      <c r="E515" s="53">
        <v>0.785</v>
      </c>
      <c r="F515" s="53">
        <f>TRUNC(54.64,2)</f>
        <v>54.64</v>
      </c>
      <c r="G515" s="54">
        <f t="shared" si="14"/>
        <v>42.89</v>
      </c>
      <c r="I515" s="23"/>
    </row>
    <row r="516" spans="1:9" s="10" customFormat="1" ht="18.75">
      <c r="A516" s="16"/>
      <c r="B516" s="272" t="s">
        <v>781</v>
      </c>
      <c r="C516" s="255" t="s">
        <v>492</v>
      </c>
      <c r="D516" s="53" t="s">
        <v>61</v>
      </c>
      <c r="E516" s="53">
        <v>1.6</v>
      </c>
      <c r="F516" s="53">
        <f>TRUNC(19.63,2)</f>
        <v>19.63</v>
      </c>
      <c r="G516" s="54">
        <f t="shared" si="14"/>
        <v>31.4</v>
      </c>
      <c r="I516" s="23"/>
    </row>
    <row r="517" spans="1:9" s="10" customFormat="1" ht="18.75">
      <c r="A517" s="16"/>
      <c r="B517" s="272" t="s">
        <v>254</v>
      </c>
      <c r="C517" s="255" t="s">
        <v>65</v>
      </c>
      <c r="D517" s="53" t="s">
        <v>61</v>
      </c>
      <c r="E517" s="53">
        <v>2.53</v>
      </c>
      <c r="F517" s="53">
        <f>TRUNC(18.78,2)</f>
        <v>18.78</v>
      </c>
      <c r="G517" s="54">
        <f t="shared" si="14"/>
        <v>47.51</v>
      </c>
      <c r="I517" s="23"/>
    </row>
    <row r="518" spans="1:9" s="10" customFormat="1" ht="25.5">
      <c r="A518" s="16"/>
      <c r="B518" s="272" t="s">
        <v>782</v>
      </c>
      <c r="C518" s="255" t="s">
        <v>493</v>
      </c>
      <c r="D518" s="53" t="s">
        <v>67</v>
      </c>
      <c r="E518" s="53">
        <v>0.78</v>
      </c>
      <c r="F518" s="53">
        <f>TRUNC(0.27,2)</f>
        <v>0.27</v>
      </c>
      <c r="G518" s="54">
        <f t="shared" si="14"/>
        <v>0.21</v>
      </c>
      <c r="I518" s="23"/>
    </row>
    <row r="519" spans="1:9" s="10" customFormat="1" ht="25.5">
      <c r="A519" s="16"/>
      <c r="B519" s="272" t="s">
        <v>783</v>
      </c>
      <c r="C519" s="255" t="s">
        <v>494</v>
      </c>
      <c r="D519" s="53" t="s">
        <v>68</v>
      </c>
      <c r="E519" s="53">
        <v>0.83</v>
      </c>
      <c r="F519" s="53">
        <f>TRUNC(1.11,2)</f>
        <v>1.11</v>
      </c>
      <c r="G519" s="54">
        <f t="shared" si="14"/>
        <v>0.92</v>
      </c>
      <c r="I519" s="23"/>
    </row>
    <row r="520" spans="1:9" s="10" customFormat="1" ht="18.75">
      <c r="A520" s="16"/>
      <c r="B520" s="272"/>
      <c r="C520" s="255"/>
      <c r="D520" s="53"/>
      <c r="E520" s="53" t="s">
        <v>62</v>
      </c>
      <c r="F520" s="53"/>
      <c r="G520" s="54">
        <f>TRUNC(SUM(G513:G519),2)</f>
        <v>293.8</v>
      </c>
      <c r="I520" s="23"/>
    </row>
    <row r="521" spans="1:9" s="10" customFormat="1" ht="18.75">
      <c r="A521" s="16"/>
      <c r="B521" s="272"/>
      <c r="C521" s="255"/>
      <c r="D521" s="53"/>
      <c r="E521" s="53"/>
      <c r="F521" s="53"/>
      <c r="G521" s="54"/>
      <c r="I521" s="23"/>
    </row>
    <row r="522" spans="1:9" s="10" customFormat="1" ht="18.75">
      <c r="A522" s="16"/>
      <c r="B522" s="272" t="s">
        <v>784</v>
      </c>
      <c r="C522" s="255" t="s">
        <v>495</v>
      </c>
      <c r="D522" s="53" t="s">
        <v>20</v>
      </c>
      <c r="E522" s="53">
        <v>1</v>
      </c>
      <c r="F522" s="53">
        <f>G526</f>
        <v>123.81</v>
      </c>
      <c r="G522" s="54">
        <f>TRUNC(E522*F522,2)</f>
        <v>123.81</v>
      </c>
      <c r="I522" s="23"/>
    </row>
    <row r="523" spans="1:9" s="10" customFormat="1" ht="18.75">
      <c r="A523" s="16"/>
      <c r="B523" s="272" t="s">
        <v>254</v>
      </c>
      <c r="C523" s="255" t="s">
        <v>65</v>
      </c>
      <c r="D523" s="53" t="s">
        <v>61</v>
      </c>
      <c r="E523" s="53">
        <v>4.5</v>
      </c>
      <c r="F523" s="53">
        <f>TRUNC(18.78,2)</f>
        <v>18.78</v>
      </c>
      <c r="G523" s="54">
        <f>TRUNC(E523*F523,2)</f>
        <v>84.51</v>
      </c>
      <c r="I523" s="23"/>
    </row>
    <row r="524" spans="1:9" s="10" customFormat="1" ht="18.75">
      <c r="A524" s="16"/>
      <c r="B524" s="272" t="s">
        <v>255</v>
      </c>
      <c r="C524" s="255" t="s">
        <v>131</v>
      </c>
      <c r="D524" s="53" t="s">
        <v>61</v>
      </c>
      <c r="E524" s="53">
        <v>1.65</v>
      </c>
      <c r="F524" s="53">
        <f>TRUNC(23.61,2)</f>
        <v>23.61</v>
      </c>
      <c r="G524" s="54">
        <f>TRUNC(E524*F524,2)</f>
        <v>38.95</v>
      </c>
      <c r="I524" s="23"/>
    </row>
    <row r="525" spans="1:9" s="10" customFormat="1" ht="25.5">
      <c r="A525" s="16"/>
      <c r="B525" s="272" t="s">
        <v>678</v>
      </c>
      <c r="C525" s="255" t="s">
        <v>408</v>
      </c>
      <c r="D525" s="53" t="s">
        <v>68</v>
      </c>
      <c r="E525" s="53">
        <v>0.3</v>
      </c>
      <c r="F525" s="53">
        <f>TRUNC(1.19,2)</f>
        <v>1.19</v>
      </c>
      <c r="G525" s="54">
        <f>TRUNC(E525*F525,2)</f>
        <v>0.35</v>
      </c>
      <c r="I525" s="23"/>
    </row>
    <row r="526" spans="1:9" s="10" customFormat="1" ht="18.75">
      <c r="A526" s="16"/>
      <c r="B526" s="272"/>
      <c r="C526" s="255"/>
      <c r="D526" s="53"/>
      <c r="E526" s="53" t="s">
        <v>62</v>
      </c>
      <c r="F526" s="53"/>
      <c r="G526" s="54">
        <f>TRUNC(SUM(G523:G525),2)</f>
        <v>123.81</v>
      </c>
      <c r="I526" s="23"/>
    </row>
    <row r="527" spans="1:9" s="10" customFormat="1" ht="18.75">
      <c r="A527" s="16"/>
      <c r="B527" s="272"/>
      <c r="C527" s="255"/>
      <c r="D527" s="53"/>
      <c r="E527" s="53"/>
      <c r="F527" s="53"/>
      <c r="G527" s="54"/>
      <c r="I527" s="23"/>
    </row>
    <row r="528" spans="1:9" s="10" customFormat="1" ht="19.5" thickBot="1">
      <c r="A528" s="286"/>
      <c r="B528" s="454"/>
      <c r="C528" s="455"/>
      <c r="D528" s="456" t="s">
        <v>607</v>
      </c>
      <c r="E528" s="456"/>
      <c r="F528" s="456">
        <f>G520+G526</f>
        <v>417.61</v>
      </c>
      <c r="G528" s="457" t="s">
        <v>497</v>
      </c>
      <c r="I528" s="23"/>
    </row>
    <row r="529" spans="1:9" s="10" customFormat="1" ht="18.75">
      <c r="A529" s="16"/>
      <c r="B529" s="267"/>
      <c r="C529" s="245"/>
      <c r="D529" s="24"/>
      <c r="E529" s="24"/>
      <c r="F529" s="24"/>
      <c r="I529" s="23"/>
    </row>
    <row r="530" spans="1:9" s="10" customFormat="1" ht="18.75">
      <c r="A530" s="278" t="s">
        <v>1039</v>
      </c>
      <c r="B530" s="382"/>
      <c r="C530" s="280" t="s">
        <v>350</v>
      </c>
      <c r="D530" s="383"/>
      <c r="E530" s="383"/>
      <c r="F530" s="383"/>
      <c r="G530" s="383"/>
      <c r="I530" s="23"/>
    </row>
    <row r="531" spans="1:9" s="10" customFormat="1" ht="45">
      <c r="A531" s="290" t="s">
        <v>1040</v>
      </c>
      <c r="B531" s="159" t="s">
        <v>33</v>
      </c>
      <c r="C531" s="299" t="s">
        <v>34</v>
      </c>
      <c r="D531" s="300" t="s">
        <v>26</v>
      </c>
      <c r="E531" s="72">
        <v>1</v>
      </c>
      <c r="F531" s="72">
        <f>G539</f>
        <v>1065.59</v>
      </c>
      <c r="G531" s="72">
        <f>TRUNC(E531*F531,2)</f>
        <v>1065.59</v>
      </c>
      <c r="I531" s="23"/>
    </row>
    <row r="532" spans="1:9" s="10" customFormat="1" ht="18.75">
      <c r="A532" s="16"/>
      <c r="B532" s="165" t="s">
        <v>134</v>
      </c>
      <c r="C532" s="296" t="s">
        <v>135</v>
      </c>
      <c r="D532" s="57" t="s">
        <v>30</v>
      </c>
      <c r="E532" s="384">
        <v>0.1469</v>
      </c>
      <c r="F532" s="384">
        <v>42.53</v>
      </c>
      <c r="G532" s="384">
        <f>TRUNC(E532*F532,2)</f>
        <v>6.24</v>
      </c>
      <c r="I532" s="23"/>
    </row>
    <row r="533" spans="1:9" s="10" customFormat="1" ht="30">
      <c r="A533" s="28"/>
      <c r="B533" s="346" t="s">
        <v>136</v>
      </c>
      <c r="C533" s="385" t="s">
        <v>137</v>
      </c>
      <c r="D533" s="348" t="s">
        <v>26</v>
      </c>
      <c r="E533" s="386">
        <v>1</v>
      </c>
      <c r="F533" s="386">
        <f>TRUNC(660.13,2)</f>
        <v>660.13</v>
      </c>
      <c r="G533" s="384"/>
      <c r="I533" s="23"/>
    </row>
    <row r="534" spans="1:9" s="4" customFormat="1" ht="18.75">
      <c r="A534" s="17"/>
      <c r="B534" s="409" t="s">
        <v>133</v>
      </c>
      <c r="C534" s="410" t="s">
        <v>138</v>
      </c>
      <c r="D534" s="411" t="s">
        <v>26</v>
      </c>
      <c r="E534" s="466">
        <v>1</v>
      </c>
      <c r="F534" s="466">
        <v>1009.15</v>
      </c>
      <c r="G534" s="466">
        <f>TRUNC(E534*F534,2)</f>
        <v>1009.15</v>
      </c>
      <c r="I534" s="467"/>
    </row>
    <row r="535" spans="1:9" ht="18.75">
      <c r="A535" s="17"/>
      <c r="B535" s="165" t="s">
        <v>139</v>
      </c>
      <c r="C535" s="296" t="s">
        <v>140</v>
      </c>
      <c r="D535" s="57" t="s">
        <v>26</v>
      </c>
      <c r="E535" s="384">
        <v>1</v>
      </c>
      <c r="F535" s="384">
        <v>2.17</v>
      </c>
      <c r="G535" s="384">
        <f>TRUNC(E535*F535,2)</f>
        <v>2.17</v>
      </c>
      <c r="I535" s="23"/>
    </row>
    <row r="536" spans="1:9" ht="30">
      <c r="A536" s="17"/>
      <c r="B536" s="165" t="s">
        <v>141</v>
      </c>
      <c r="C536" s="296" t="s">
        <v>142</v>
      </c>
      <c r="D536" s="57" t="s">
        <v>26</v>
      </c>
      <c r="E536" s="384">
        <v>2</v>
      </c>
      <c r="F536" s="384">
        <v>10.7</v>
      </c>
      <c r="G536" s="384">
        <f>TRUNC(E536*F536,2)</f>
        <v>21.4</v>
      </c>
      <c r="I536" s="23"/>
    </row>
    <row r="537" spans="1:9" ht="18.75">
      <c r="A537" s="17"/>
      <c r="B537" s="165" t="s">
        <v>64</v>
      </c>
      <c r="C537" s="296" t="s">
        <v>65</v>
      </c>
      <c r="D537" s="57" t="s">
        <v>61</v>
      </c>
      <c r="E537" s="384">
        <v>0.44</v>
      </c>
      <c r="F537" s="384">
        <v>18.78</v>
      </c>
      <c r="G537" s="384">
        <f>TRUNC(E537*F537,2)</f>
        <v>8.26</v>
      </c>
      <c r="I537" s="23"/>
    </row>
    <row r="538" spans="1:9" ht="18.75">
      <c r="A538" s="17"/>
      <c r="B538" s="165" t="s">
        <v>143</v>
      </c>
      <c r="C538" s="296" t="s">
        <v>70</v>
      </c>
      <c r="D538" s="57" t="s">
        <v>61</v>
      </c>
      <c r="E538" s="384">
        <v>0.78</v>
      </c>
      <c r="F538" s="384">
        <v>23.56</v>
      </c>
      <c r="G538" s="384">
        <f>TRUNC(E538*F538,2)</f>
        <v>18.37</v>
      </c>
      <c r="I538" s="23"/>
    </row>
    <row r="539" spans="1:9" ht="18.75">
      <c r="A539" s="17"/>
      <c r="B539" s="165"/>
      <c r="C539" s="296"/>
      <c r="D539" s="57"/>
      <c r="E539" s="384" t="s">
        <v>62</v>
      </c>
      <c r="F539" s="384"/>
      <c r="G539" s="384">
        <f>SUM(G532:G538)</f>
        <v>1065.59</v>
      </c>
      <c r="I539" s="14"/>
    </row>
    <row r="540" spans="1:7" ht="18.75">
      <c r="A540" s="17"/>
      <c r="E540" s="1"/>
      <c r="F540" s="1"/>
      <c r="G540" s="1"/>
    </row>
    <row r="541" spans="1:7" ht="60">
      <c r="A541" s="297" t="s">
        <v>1041</v>
      </c>
      <c r="B541" s="298" t="s">
        <v>785</v>
      </c>
      <c r="C541" s="299" t="s">
        <v>161</v>
      </c>
      <c r="D541" s="300" t="s">
        <v>26</v>
      </c>
      <c r="E541" s="300">
        <v>1</v>
      </c>
      <c r="F541" s="300">
        <f>G545</f>
        <v>101.5</v>
      </c>
      <c r="G541" s="300">
        <f>TRUNC(E541*F541,2)</f>
        <v>101.5</v>
      </c>
    </row>
    <row r="542" spans="1:7" ht="18.75">
      <c r="A542" s="17"/>
      <c r="B542" s="165" t="s">
        <v>162</v>
      </c>
      <c r="C542" s="296" t="s">
        <v>163</v>
      </c>
      <c r="D542" s="57" t="s">
        <v>26</v>
      </c>
      <c r="E542" s="57">
        <v>1</v>
      </c>
      <c r="F542" s="57">
        <f>TRUNC(70.78,2)</f>
        <v>70.78</v>
      </c>
      <c r="G542" s="57">
        <f>TRUNC(E542*F542,2)</f>
        <v>70.78</v>
      </c>
    </row>
    <row r="543" spans="1:7" ht="30">
      <c r="A543" s="17"/>
      <c r="B543" s="165" t="s">
        <v>243</v>
      </c>
      <c r="C543" s="296" t="s">
        <v>244</v>
      </c>
      <c r="D543" s="57" t="s">
        <v>61</v>
      </c>
      <c r="E543" s="57">
        <v>1.03</v>
      </c>
      <c r="F543" s="57">
        <f>TRUNC(12.54,2)</f>
        <v>12.54</v>
      </c>
      <c r="G543" s="57">
        <f>TRUNC(E543*F543,2)</f>
        <v>12.91</v>
      </c>
    </row>
    <row r="544" spans="1:7" ht="18.75">
      <c r="A544" s="17"/>
      <c r="B544" s="165" t="s">
        <v>251</v>
      </c>
      <c r="C544" s="296" t="s">
        <v>252</v>
      </c>
      <c r="D544" s="57" t="s">
        <v>61</v>
      </c>
      <c r="E544" s="57">
        <v>1.03</v>
      </c>
      <c r="F544" s="57">
        <f>TRUNC(17.3,2)</f>
        <v>17.3</v>
      </c>
      <c r="G544" s="57">
        <f>TRUNC(E544*F544,2)</f>
        <v>17.81</v>
      </c>
    </row>
    <row r="545" spans="1:7" ht="18.75">
      <c r="A545" s="17"/>
      <c r="B545" s="165"/>
      <c r="C545" s="296"/>
      <c r="D545" s="57"/>
      <c r="E545" s="57" t="s">
        <v>62</v>
      </c>
      <c r="F545" s="57"/>
      <c r="G545" s="57">
        <f>TRUNC(SUM(G542:G544),2)</f>
        <v>101.5</v>
      </c>
    </row>
    <row r="546" spans="1:7" ht="18.75">
      <c r="A546" s="17"/>
      <c r="B546" s="165"/>
      <c r="C546" s="296"/>
      <c r="D546" s="57"/>
      <c r="E546" s="57"/>
      <c r="F546" s="57"/>
      <c r="G546" s="57"/>
    </row>
    <row r="547" spans="1:7" ht="60">
      <c r="A547" s="297" t="s">
        <v>1042</v>
      </c>
      <c r="B547" s="298" t="s">
        <v>786</v>
      </c>
      <c r="C547" s="299" t="s">
        <v>164</v>
      </c>
      <c r="D547" s="300" t="s">
        <v>26</v>
      </c>
      <c r="E547" s="300">
        <v>1</v>
      </c>
      <c r="F547" s="300">
        <f>G551</f>
        <v>124.14</v>
      </c>
      <c r="G547" s="300">
        <f>TRUNC(E547*F547,2)</f>
        <v>124.14</v>
      </c>
    </row>
    <row r="548" spans="1:7" ht="18.75">
      <c r="A548" s="17"/>
      <c r="B548" s="165" t="s">
        <v>165</v>
      </c>
      <c r="C548" s="296" t="s">
        <v>166</v>
      </c>
      <c r="D548" s="57" t="s">
        <v>26</v>
      </c>
      <c r="E548" s="57">
        <v>1</v>
      </c>
      <c r="F548" s="57">
        <f>TRUNC(93.42,2)</f>
        <v>93.42</v>
      </c>
      <c r="G548" s="57">
        <f>TRUNC(E548*F548,2)</f>
        <v>93.42</v>
      </c>
    </row>
    <row r="549" spans="1:7" ht="30">
      <c r="A549" s="17"/>
      <c r="B549" s="165" t="s">
        <v>243</v>
      </c>
      <c r="C549" s="296" t="s">
        <v>244</v>
      </c>
      <c r="D549" s="57" t="s">
        <v>61</v>
      </c>
      <c r="E549" s="57">
        <v>1.03</v>
      </c>
      <c r="F549" s="57">
        <f>TRUNC(12.54,2)</f>
        <v>12.54</v>
      </c>
      <c r="G549" s="57">
        <f>TRUNC(E549*F549,2)</f>
        <v>12.91</v>
      </c>
    </row>
    <row r="550" spans="1:7" ht="18.75">
      <c r="A550" s="17"/>
      <c r="B550" s="165" t="s">
        <v>251</v>
      </c>
      <c r="C550" s="296" t="s">
        <v>252</v>
      </c>
      <c r="D550" s="57" t="s">
        <v>61</v>
      </c>
      <c r="E550" s="57">
        <v>1.03</v>
      </c>
      <c r="F550" s="57">
        <f>TRUNC(17.3,2)</f>
        <v>17.3</v>
      </c>
      <c r="G550" s="57">
        <f>TRUNC(E550*F550,2)</f>
        <v>17.81</v>
      </c>
    </row>
    <row r="551" spans="1:7" ht="18.75">
      <c r="A551" s="17"/>
      <c r="B551" s="165"/>
      <c r="C551" s="296"/>
      <c r="D551" s="57"/>
      <c r="E551" s="57" t="s">
        <v>62</v>
      </c>
      <c r="F551" s="57"/>
      <c r="G551" s="57">
        <f>TRUNC(SUM(G548:G550),2)</f>
        <v>124.14</v>
      </c>
    </row>
    <row r="552" spans="1:7" ht="60">
      <c r="A552" s="33" t="s">
        <v>1043</v>
      </c>
      <c r="B552" s="169" t="s">
        <v>787</v>
      </c>
      <c r="C552" s="331" t="s">
        <v>638</v>
      </c>
      <c r="D552" s="15" t="s">
        <v>26</v>
      </c>
      <c r="E552" s="32">
        <v>1</v>
      </c>
      <c r="F552" s="32">
        <f>TRUNC(211.93,2)</f>
        <v>211.93</v>
      </c>
      <c r="G552" s="32">
        <f aca="true" t="shared" si="15" ref="G552:G557">TRUNC(E552*F552,2)</f>
        <v>211.93</v>
      </c>
    </row>
    <row r="553" spans="1:7" ht="30">
      <c r="A553" s="17"/>
      <c r="B553" s="55" t="s">
        <v>260</v>
      </c>
      <c r="C553" s="244" t="s">
        <v>261</v>
      </c>
      <c r="D553" s="2" t="s">
        <v>26</v>
      </c>
      <c r="E553" s="1">
        <v>1</v>
      </c>
      <c r="F553" s="1">
        <f>TRUNC(73.38,2)</f>
        <v>73.38</v>
      </c>
      <c r="G553" s="1">
        <f t="shared" si="15"/>
        <v>73.38</v>
      </c>
    </row>
    <row r="554" spans="1:7" ht="18.75">
      <c r="A554" s="17"/>
      <c r="B554" s="55" t="s">
        <v>262</v>
      </c>
      <c r="C554" s="244" t="s">
        <v>263</v>
      </c>
      <c r="D554" s="2" t="s">
        <v>26</v>
      </c>
      <c r="E554" s="1">
        <v>1</v>
      </c>
      <c r="F554" s="1">
        <f>TRUNC(24.24,2)</f>
        <v>24.24</v>
      </c>
      <c r="G554" s="1">
        <f t="shared" si="15"/>
        <v>24.24</v>
      </c>
    </row>
    <row r="555" spans="1:7" ht="18.75">
      <c r="A555" s="17"/>
      <c r="B555" s="55" t="s">
        <v>264</v>
      </c>
      <c r="C555" s="244" t="s">
        <v>265</v>
      </c>
      <c r="D555" s="2" t="s">
        <v>26</v>
      </c>
      <c r="E555" s="1">
        <v>1</v>
      </c>
      <c r="F555" s="1">
        <f>TRUNC(97.87,2)</f>
        <v>97.87</v>
      </c>
      <c r="G555" s="1">
        <f t="shared" si="15"/>
        <v>97.87</v>
      </c>
    </row>
    <row r="556" spans="1:7" ht="18.75">
      <c r="A556" s="17"/>
      <c r="B556" s="55" t="s">
        <v>144</v>
      </c>
      <c r="C556" s="244" t="s">
        <v>145</v>
      </c>
      <c r="D556" s="2" t="s">
        <v>26</v>
      </c>
      <c r="E556" s="1">
        <v>1</v>
      </c>
      <c r="F556" s="1">
        <f>TRUNC(2.17,2)</f>
        <v>2.17</v>
      </c>
      <c r="G556" s="1">
        <f t="shared" si="15"/>
        <v>2.17</v>
      </c>
    </row>
    <row r="557" spans="1:7" ht="18.75">
      <c r="A557" s="17"/>
      <c r="B557" s="55" t="s">
        <v>266</v>
      </c>
      <c r="C557" s="244" t="s">
        <v>267</v>
      </c>
      <c r="D557" s="2" t="s">
        <v>26</v>
      </c>
      <c r="E557" s="1">
        <v>1</v>
      </c>
      <c r="F557" s="1">
        <f>TRUNC(14.27,2)</f>
        <v>14.27</v>
      </c>
      <c r="G557" s="1">
        <f t="shared" si="15"/>
        <v>14.27</v>
      </c>
    </row>
    <row r="558" spans="1:7" ht="18.75">
      <c r="A558" s="17"/>
      <c r="E558" s="1" t="s">
        <v>62</v>
      </c>
      <c r="F558" s="1"/>
      <c r="G558" s="1">
        <f>TRUNC(SUM(G553:G557),2)</f>
        <v>211.93</v>
      </c>
    </row>
    <row r="559" spans="1:7" ht="18.75">
      <c r="A559" s="17"/>
      <c r="E559" s="1"/>
      <c r="F559" s="1"/>
      <c r="G559" s="1"/>
    </row>
    <row r="560" spans="1:7" ht="31.5">
      <c r="A560" s="297" t="s">
        <v>1044</v>
      </c>
      <c r="B560" s="159" t="s">
        <v>788</v>
      </c>
      <c r="C560" s="299" t="s">
        <v>35</v>
      </c>
      <c r="D560" s="300" t="s">
        <v>26</v>
      </c>
      <c r="E560" s="300">
        <v>1</v>
      </c>
      <c r="F560" s="300">
        <f>G566</f>
        <v>219.3</v>
      </c>
      <c r="G560" s="300">
        <f>TRUNC(E560*F560,2)</f>
        <v>219.3</v>
      </c>
    </row>
    <row r="561" spans="1:7" ht="30">
      <c r="A561" s="17"/>
      <c r="B561" s="390" t="s">
        <v>150</v>
      </c>
      <c r="C561" s="385" t="s">
        <v>151</v>
      </c>
      <c r="D561" s="391" t="s">
        <v>26</v>
      </c>
      <c r="E561" s="391">
        <v>1</v>
      </c>
      <c r="F561" s="391">
        <v>34.7</v>
      </c>
      <c r="G561" s="391"/>
    </row>
    <row r="562" spans="2:7" ht="15.75">
      <c r="B562" s="392" t="s">
        <v>133</v>
      </c>
      <c r="C562" s="393" t="s">
        <v>152</v>
      </c>
      <c r="D562" s="394" t="s">
        <v>26</v>
      </c>
      <c r="E562" s="395">
        <v>1</v>
      </c>
      <c r="F562" s="395">
        <v>215.65</v>
      </c>
      <c r="G562" s="396">
        <f>E562*F562</f>
        <v>215.65</v>
      </c>
    </row>
    <row r="563" spans="1:7" ht="18.75">
      <c r="A563" s="17"/>
      <c r="B563" s="165" t="s">
        <v>789</v>
      </c>
      <c r="C563" s="296" t="s">
        <v>69</v>
      </c>
      <c r="D563" s="57" t="s">
        <v>26</v>
      </c>
      <c r="E563" s="57">
        <v>0.0304</v>
      </c>
      <c r="F563" s="57">
        <v>2.72</v>
      </c>
      <c r="G563" s="57">
        <f>TRUNC(E563*F563,2)</f>
        <v>0.08</v>
      </c>
    </row>
    <row r="564" spans="1:7" ht="18.75">
      <c r="A564" s="17"/>
      <c r="B564" s="165" t="s">
        <v>254</v>
      </c>
      <c r="C564" s="296" t="s">
        <v>65</v>
      </c>
      <c r="D564" s="57" t="s">
        <v>61</v>
      </c>
      <c r="E564" s="57">
        <v>0.04</v>
      </c>
      <c r="F564" s="57">
        <v>18.78</v>
      </c>
      <c r="G564" s="57">
        <f>TRUNC(E564*F564,2)</f>
        <v>0.75</v>
      </c>
    </row>
    <row r="565" spans="1:9" s="10" customFormat="1" ht="18.75">
      <c r="A565" s="16"/>
      <c r="B565" s="165" t="s">
        <v>668</v>
      </c>
      <c r="C565" s="296" t="s">
        <v>70</v>
      </c>
      <c r="D565" s="57" t="s">
        <v>61</v>
      </c>
      <c r="E565" s="57">
        <v>0.12</v>
      </c>
      <c r="F565" s="57">
        <v>23.56</v>
      </c>
      <c r="G565" s="57">
        <f>TRUNC(E565*F565,2)</f>
        <v>2.82</v>
      </c>
      <c r="I565" s="2"/>
    </row>
    <row r="566" spans="1:7" ht="18.75">
      <c r="A566" s="17"/>
      <c r="B566" s="165"/>
      <c r="C566" s="296"/>
      <c r="D566" s="57"/>
      <c r="E566" s="57" t="s">
        <v>62</v>
      </c>
      <c r="F566" s="57"/>
      <c r="G566" s="57">
        <f>SUM(G561:G565)</f>
        <v>219.3</v>
      </c>
    </row>
    <row r="567" ht="18.75">
      <c r="A567" s="17"/>
    </row>
    <row r="568" spans="1:7" ht="45">
      <c r="A568" s="297" t="s">
        <v>1045</v>
      </c>
      <c r="B568" s="387" t="s">
        <v>36</v>
      </c>
      <c r="C568" s="388" t="s">
        <v>268</v>
      </c>
      <c r="D568" s="371" t="s">
        <v>26</v>
      </c>
      <c r="E568" s="389">
        <v>1</v>
      </c>
      <c r="F568" s="389">
        <f>G577</f>
        <v>2257.7</v>
      </c>
      <c r="G568" s="72">
        <f>TRUNC(E568*F568,2)</f>
        <v>2257.7</v>
      </c>
    </row>
    <row r="569" spans="1:7" ht="18.75">
      <c r="A569" s="17"/>
      <c r="B569" s="397" t="s">
        <v>146</v>
      </c>
      <c r="C569" s="398" t="s">
        <v>147</v>
      </c>
      <c r="D569" s="399" t="s">
        <v>26</v>
      </c>
      <c r="E569" s="400">
        <v>1</v>
      </c>
      <c r="F569" s="400">
        <v>27.77</v>
      </c>
      <c r="G569" s="67">
        <f>TRUNC(E569*F569,2)</f>
        <v>27.77</v>
      </c>
    </row>
    <row r="570" spans="1:7" ht="30">
      <c r="A570" s="17"/>
      <c r="B570" s="401" t="s">
        <v>153</v>
      </c>
      <c r="C570" s="402" t="s">
        <v>154</v>
      </c>
      <c r="D570" s="403" t="s">
        <v>26</v>
      </c>
      <c r="E570" s="404">
        <v>1</v>
      </c>
      <c r="F570" s="404">
        <v>1605</v>
      </c>
      <c r="G570" s="405"/>
    </row>
    <row r="571" spans="1:9" s="10" customFormat="1" ht="28.5">
      <c r="A571" s="16"/>
      <c r="B571" s="392" t="s">
        <v>133</v>
      </c>
      <c r="C571" s="393" t="s">
        <v>269</v>
      </c>
      <c r="D571" s="394" t="s">
        <v>26</v>
      </c>
      <c r="E571" s="395">
        <v>1</v>
      </c>
      <c r="F571" s="395">
        <v>2128.86</v>
      </c>
      <c r="G571" s="396">
        <f>TRUNC(E571*F571,2)</f>
        <v>2128.86</v>
      </c>
      <c r="I571" s="14"/>
    </row>
    <row r="572" spans="1:9" s="10" customFormat="1" ht="18.75">
      <c r="A572" s="16"/>
      <c r="B572" s="397" t="s">
        <v>148</v>
      </c>
      <c r="C572" s="398" t="s">
        <v>149</v>
      </c>
      <c r="D572" s="399" t="s">
        <v>26</v>
      </c>
      <c r="E572" s="400">
        <v>1</v>
      </c>
      <c r="F572" s="400">
        <v>70.35</v>
      </c>
      <c r="G572" s="67">
        <f>TRUNC(E572*F572,2)</f>
        <v>70.35</v>
      </c>
      <c r="I572" s="2"/>
    </row>
    <row r="573" spans="1:9" s="10" customFormat="1" ht="18.75">
      <c r="A573" s="16"/>
      <c r="B573" s="397" t="s">
        <v>243</v>
      </c>
      <c r="C573" s="398" t="s">
        <v>60</v>
      </c>
      <c r="D573" s="399" t="s">
        <v>61</v>
      </c>
      <c r="E573" s="400">
        <v>1.03</v>
      </c>
      <c r="F573" s="400">
        <v>12.54</v>
      </c>
      <c r="G573" s="67">
        <f>TRUNC(E573*F573,2)</f>
        <v>12.91</v>
      </c>
      <c r="I573" s="2"/>
    </row>
    <row r="574" spans="1:9" s="10" customFormat="1" ht="18.75">
      <c r="A574" s="16"/>
      <c r="B574" s="397" t="s">
        <v>251</v>
      </c>
      <c r="C574" s="398" t="s">
        <v>63</v>
      </c>
      <c r="D574" s="399" t="s">
        <v>61</v>
      </c>
      <c r="E574" s="400">
        <v>1.03</v>
      </c>
      <c r="F574" s="400">
        <v>17.3</v>
      </c>
      <c r="G574" s="67">
        <f>TRUNC(E574*F574,2)</f>
        <v>17.81</v>
      </c>
      <c r="I574" s="2"/>
    </row>
    <row r="575" spans="1:9" s="10" customFormat="1" ht="18.75">
      <c r="A575" s="16"/>
      <c r="B575" s="401" t="s">
        <v>155</v>
      </c>
      <c r="C575" s="402" t="s">
        <v>156</v>
      </c>
      <c r="D575" s="403" t="s">
        <v>20</v>
      </c>
      <c r="E575" s="404">
        <v>0.04</v>
      </c>
      <c r="F575" s="404">
        <v>1470.6078</v>
      </c>
      <c r="G575" s="405"/>
      <c r="I575" s="2"/>
    </row>
    <row r="576" spans="1:9" s="10" customFormat="1" ht="18.75">
      <c r="A576" s="16"/>
      <c r="B576" s="401" t="s">
        <v>157</v>
      </c>
      <c r="C576" s="402" t="s">
        <v>158</v>
      </c>
      <c r="D576" s="403" t="s">
        <v>16</v>
      </c>
      <c r="E576" s="404">
        <v>1.2</v>
      </c>
      <c r="F576" s="404">
        <v>48.1852</v>
      </c>
      <c r="G576" s="405"/>
      <c r="I576" s="2"/>
    </row>
    <row r="577" spans="1:9" s="10" customFormat="1" ht="18.75">
      <c r="A577" s="16"/>
      <c r="B577" s="397"/>
      <c r="C577" s="398"/>
      <c r="D577" s="399"/>
      <c r="E577" s="400" t="s">
        <v>62</v>
      </c>
      <c r="F577" s="400"/>
      <c r="G577" s="67">
        <f>SUM(G569:G576)</f>
        <v>2257.7</v>
      </c>
      <c r="I577" s="14"/>
    </row>
    <row r="578" spans="1:9" s="10" customFormat="1" ht="18.75">
      <c r="A578" s="16"/>
      <c r="B578" s="267"/>
      <c r="C578" s="64"/>
      <c r="D578" s="24"/>
      <c r="E578" s="29"/>
      <c r="F578" s="29"/>
      <c r="G578" s="3"/>
      <c r="I578" s="14"/>
    </row>
    <row r="579" spans="1:9" s="10" customFormat="1" ht="45">
      <c r="A579" s="290" t="s">
        <v>1046</v>
      </c>
      <c r="B579" s="387" t="s">
        <v>37</v>
      </c>
      <c r="C579" s="388" t="s">
        <v>270</v>
      </c>
      <c r="D579" s="371" t="s">
        <v>26</v>
      </c>
      <c r="E579" s="389">
        <v>1</v>
      </c>
      <c r="F579" s="389">
        <f>G588</f>
        <v>2704.8399999999997</v>
      </c>
      <c r="G579" s="72">
        <f>TRUNC(E579*F579,2)</f>
        <v>2704.84</v>
      </c>
      <c r="I579" s="14"/>
    </row>
    <row r="580" spans="1:9" s="10" customFormat="1" ht="18.75">
      <c r="A580" s="16"/>
      <c r="B580" s="397" t="s">
        <v>146</v>
      </c>
      <c r="C580" s="398" t="s">
        <v>147</v>
      </c>
      <c r="D580" s="399" t="s">
        <v>26</v>
      </c>
      <c r="E580" s="400">
        <v>1</v>
      </c>
      <c r="F580" s="400">
        <v>27.77</v>
      </c>
      <c r="G580" s="67">
        <f>TRUNC(E580*F580,2)</f>
        <v>27.77</v>
      </c>
      <c r="I580" s="14"/>
    </row>
    <row r="581" spans="1:9" s="10" customFormat="1" ht="30">
      <c r="A581" s="16"/>
      <c r="B581" s="401" t="s">
        <v>153</v>
      </c>
      <c r="C581" s="402" t="s">
        <v>154</v>
      </c>
      <c r="D581" s="403" t="s">
        <v>26</v>
      </c>
      <c r="E581" s="404">
        <v>1</v>
      </c>
      <c r="F581" s="404">
        <v>1605</v>
      </c>
      <c r="G581" s="67"/>
      <c r="I581" s="14"/>
    </row>
    <row r="582" spans="1:9" s="10" customFormat="1" ht="28.5">
      <c r="A582" s="16"/>
      <c r="B582" s="392" t="s">
        <v>133</v>
      </c>
      <c r="C582" s="393" t="s">
        <v>271</v>
      </c>
      <c r="D582" s="394" t="s">
        <v>26</v>
      </c>
      <c r="E582" s="395">
        <v>1</v>
      </c>
      <c r="F582" s="395">
        <v>2576</v>
      </c>
      <c r="G582" s="396">
        <f>TRUNC(E582*F582,2)</f>
        <v>2576</v>
      </c>
      <c r="I582" s="14"/>
    </row>
    <row r="583" spans="1:9" s="10" customFormat="1" ht="18.75">
      <c r="A583" s="16"/>
      <c r="B583" s="397" t="s">
        <v>148</v>
      </c>
      <c r="C583" s="398" t="s">
        <v>149</v>
      </c>
      <c r="D583" s="399" t="s">
        <v>26</v>
      </c>
      <c r="E583" s="400">
        <v>1</v>
      </c>
      <c r="F583" s="400">
        <v>70.35</v>
      </c>
      <c r="G583" s="67">
        <f>TRUNC(E583*F583,2)</f>
        <v>70.35</v>
      </c>
      <c r="I583" s="14"/>
    </row>
    <row r="584" spans="1:9" s="10" customFormat="1" ht="30">
      <c r="A584" s="16"/>
      <c r="B584" s="408" t="s">
        <v>243</v>
      </c>
      <c r="C584" s="398" t="s">
        <v>244</v>
      </c>
      <c r="D584" s="399" t="s">
        <v>61</v>
      </c>
      <c r="E584" s="400">
        <v>1.03</v>
      </c>
      <c r="F584" s="400">
        <v>12.54</v>
      </c>
      <c r="G584" s="67">
        <f>TRUNC(E584*F584,2)</f>
        <v>12.91</v>
      </c>
      <c r="I584" s="14"/>
    </row>
    <row r="585" spans="1:9" s="10" customFormat="1" ht="18.75">
      <c r="A585" s="16"/>
      <c r="B585" s="408" t="s">
        <v>251</v>
      </c>
      <c r="C585" s="398" t="s">
        <v>252</v>
      </c>
      <c r="D585" s="399" t="s">
        <v>61</v>
      </c>
      <c r="E585" s="400">
        <v>1.03</v>
      </c>
      <c r="F585" s="400">
        <v>17.3</v>
      </c>
      <c r="G585" s="67">
        <f>TRUNC(E585*F585,2)</f>
        <v>17.81</v>
      </c>
      <c r="I585" s="14"/>
    </row>
    <row r="586" spans="1:9" s="10" customFormat="1" ht="18.75">
      <c r="A586" s="16"/>
      <c r="B586" s="401" t="s">
        <v>155</v>
      </c>
      <c r="C586" s="402" t="s">
        <v>156</v>
      </c>
      <c r="D586" s="403" t="s">
        <v>20</v>
      </c>
      <c r="E586" s="404">
        <v>0.04</v>
      </c>
      <c r="F586" s="404">
        <v>1470.6078</v>
      </c>
      <c r="G586" s="405"/>
      <c r="I586" s="14"/>
    </row>
    <row r="587" spans="1:9" s="10" customFormat="1" ht="18.75">
      <c r="A587" s="16"/>
      <c r="B587" s="401" t="s">
        <v>157</v>
      </c>
      <c r="C587" s="402" t="s">
        <v>158</v>
      </c>
      <c r="D587" s="403" t="s">
        <v>16</v>
      </c>
      <c r="E587" s="404">
        <v>1.2</v>
      </c>
      <c r="F587" s="404">
        <v>48.1852</v>
      </c>
      <c r="G587" s="405"/>
      <c r="I587" s="14"/>
    </row>
    <row r="588" spans="1:9" s="10" customFormat="1" ht="18.75">
      <c r="A588" s="16"/>
      <c r="B588" s="397"/>
      <c r="C588" s="398"/>
      <c r="D588" s="399"/>
      <c r="E588" s="400" t="s">
        <v>62</v>
      </c>
      <c r="F588" s="400"/>
      <c r="G588" s="67">
        <f>SUM(G580:G587)</f>
        <v>2704.8399999999997</v>
      </c>
      <c r="I588" s="14"/>
    </row>
    <row r="589" spans="1:9" s="10" customFormat="1" ht="18.75">
      <c r="A589" s="16"/>
      <c r="B589" s="267"/>
      <c r="C589" s="64"/>
      <c r="D589" s="24"/>
      <c r="E589" s="29"/>
      <c r="F589" s="29"/>
      <c r="G589" s="3"/>
      <c r="I589" s="14"/>
    </row>
    <row r="590" spans="1:9" s="10" customFormat="1" ht="31.5">
      <c r="A590" s="290" t="s">
        <v>1047</v>
      </c>
      <c r="B590" s="159" t="s">
        <v>790</v>
      </c>
      <c r="C590" s="299" t="s">
        <v>511</v>
      </c>
      <c r="D590" s="300" t="s">
        <v>26</v>
      </c>
      <c r="E590" s="300">
        <v>1</v>
      </c>
      <c r="F590" s="300">
        <f>G596</f>
        <v>260.45</v>
      </c>
      <c r="G590" s="300">
        <f>TRUNC(E590*F590,2)</f>
        <v>260.45</v>
      </c>
      <c r="I590" s="14"/>
    </row>
    <row r="591" spans="1:9" s="10" customFormat="1" ht="30">
      <c r="A591" s="16"/>
      <c r="B591" s="390" t="s">
        <v>150</v>
      </c>
      <c r="C591" s="385" t="s">
        <v>151</v>
      </c>
      <c r="D591" s="391" t="s">
        <v>26</v>
      </c>
      <c r="E591" s="391">
        <v>1</v>
      </c>
      <c r="F591" s="391">
        <v>34.7</v>
      </c>
      <c r="G591" s="391"/>
      <c r="I591" s="14"/>
    </row>
    <row r="592" spans="1:9" s="10" customFormat="1" ht="28.5">
      <c r="A592" s="16"/>
      <c r="B592" s="392" t="s">
        <v>133</v>
      </c>
      <c r="C592" s="393" t="s">
        <v>510</v>
      </c>
      <c r="D592" s="394" t="s">
        <v>26</v>
      </c>
      <c r="E592" s="395">
        <v>1</v>
      </c>
      <c r="F592" s="395">
        <v>256.8</v>
      </c>
      <c r="G592" s="396">
        <f>E592*F592</f>
        <v>256.8</v>
      </c>
      <c r="I592" s="14"/>
    </row>
    <row r="593" spans="1:9" ht="18.75">
      <c r="A593" s="17"/>
      <c r="B593" s="165" t="s">
        <v>789</v>
      </c>
      <c r="C593" s="296" t="s">
        <v>69</v>
      </c>
      <c r="D593" s="57" t="s">
        <v>26</v>
      </c>
      <c r="E593" s="57">
        <v>0.0304</v>
      </c>
      <c r="F593" s="57">
        <v>2.72</v>
      </c>
      <c r="G593" s="57">
        <f>TRUNC(E593*F593,2)</f>
        <v>0.08</v>
      </c>
      <c r="I593" s="14"/>
    </row>
    <row r="594" spans="1:9" ht="18.75">
      <c r="A594" s="17"/>
      <c r="B594" s="165" t="s">
        <v>254</v>
      </c>
      <c r="C594" s="296" t="s">
        <v>65</v>
      </c>
      <c r="D594" s="57" t="s">
        <v>61</v>
      </c>
      <c r="E594" s="57">
        <v>0.04</v>
      </c>
      <c r="F594" s="57">
        <v>18.78</v>
      </c>
      <c r="G594" s="57">
        <f>TRUNC(E594*F594,2)</f>
        <v>0.75</v>
      </c>
      <c r="I594" s="14"/>
    </row>
    <row r="595" spans="1:9" s="10" customFormat="1" ht="18.75">
      <c r="A595" s="16"/>
      <c r="B595" s="165" t="s">
        <v>668</v>
      </c>
      <c r="C595" s="296" t="s">
        <v>70</v>
      </c>
      <c r="D595" s="57" t="s">
        <v>61</v>
      </c>
      <c r="E595" s="57">
        <v>0.12</v>
      </c>
      <c r="F595" s="57">
        <v>23.56</v>
      </c>
      <c r="G595" s="57">
        <f>TRUNC(E595*F595,2)</f>
        <v>2.82</v>
      </c>
      <c r="I595" s="14"/>
    </row>
    <row r="596" spans="1:9" ht="18.75">
      <c r="A596" s="17"/>
      <c r="B596" s="165"/>
      <c r="C596" s="296"/>
      <c r="D596" s="57"/>
      <c r="E596" s="57" t="s">
        <v>62</v>
      </c>
      <c r="F596" s="57"/>
      <c r="G596" s="57">
        <f>SUM(G591:G595)</f>
        <v>260.45</v>
      </c>
      <c r="I596" s="14"/>
    </row>
    <row r="597" spans="1:9" ht="18.75">
      <c r="A597" s="17"/>
      <c r="I597" s="14"/>
    </row>
    <row r="598" spans="1:7" s="59" customFormat="1" ht="45">
      <c r="A598" s="297" t="s">
        <v>1048</v>
      </c>
      <c r="B598" s="158" t="s">
        <v>433</v>
      </c>
      <c r="C598" s="299" t="s">
        <v>434</v>
      </c>
      <c r="D598" s="300" t="s">
        <v>26</v>
      </c>
      <c r="E598" s="72">
        <v>1</v>
      </c>
      <c r="F598" s="72">
        <f>G602</f>
        <v>43.31</v>
      </c>
      <c r="G598" s="72">
        <f>TRUNC(E598*F598,2)</f>
        <v>43.31</v>
      </c>
    </row>
    <row r="599" spans="1:7" s="59" customFormat="1" ht="18.75">
      <c r="A599" s="62"/>
      <c r="B599" s="268" t="s">
        <v>159</v>
      </c>
      <c r="C599" s="260" t="s">
        <v>160</v>
      </c>
      <c r="D599" s="66" t="s">
        <v>26</v>
      </c>
      <c r="E599" s="67">
        <v>1</v>
      </c>
      <c r="F599" s="67">
        <f>TRUNC(39.74,2)</f>
        <v>39.74</v>
      </c>
      <c r="G599" s="67">
        <f>TRUNC(E599*F599,2)</f>
        <v>39.74</v>
      </c>
    </row>
    <row r="600" spans="1:7" s="59" customFormat="1" ht="18.75">
      <c r="A600" s="62"/>
      <c r="B600" s="268" t="s">
        <v>64</v>
      </c>
      <c r="C600" s="260" t="s">
        <v>65</v>
      </c>
      <c r="D600" s="66" t="s">
        <v>61</v>
      </c>
      <c r="E600" s="66">
        <v>0.04</v>
      </c>
      <c r="F600" s="57">
        <v>18.78</v>
      </c>
      <c r="G600" s="66">
        <f>TRUNC(E600*F600,2)</f>
        <v>0.75</v>
      </c>
    </row>
    <row r="601" spans="1:9" ht="18.75">
      <c r="A601" s="58"/>
      <c r="B601" s="268" t="s">
        <v>143</v>
      </c>
      <c r="C601" s="260" t="s">
        <v>70</v>
      </c>
      <c r="D601" s="66" t="s">
        <v>61</v>
      </c>
      <c r="E601" s="66">
        <v>0.12</v>
      </c>
      <c r="F601" s="57">
        <v>23.56</v>
      </c>
      <c r="G601" s="66">
        <f>TRUNC(E601*F601,2)</f>
        <v>2.82</v>
      </c>
      <c r="I601" s="59"/>
    </row>
    <row r="602" spans="1:9" ht="18.75">
      <c r="A602" s="58"/>
      <c r="B602" s="268"/>
      <c r="C602" s="260"/>
      <c r="D602" s="66"/>
      <c r="E602" s="67" t="s">
        <v>62</v>
      </c>
      <c r="F602" s="67"/>
      <c r="G602" s="67">
        <f>SUM(G599:G601)</f>
        <v>43.31</v>
      </c>
      <c r="I602" s="59"/>
    </row>
    <row r="603" spans="1:9" ht="18.75">
      <c r="A603" s="17"/>
      <c r="I603" s="59"/>
    </row>
    <row r="604" spans="1:9" ht="45">
      <c r="A604" s="297" t="s">
        <v>1049</v>
      </c>
      <c r="B604" s="158" t="s">
        <v>309</v>
      </c>
      <c r="C604" s="299" t="s">
        <v>435</v>
      </c>
      <c r="D604" s="300" t="s">
        <v>26</v>
      </c>
      <c r="E604" s="300">
        <v>1</v>
      </c>
      <c r="F604" s="300">
        <f>G612</f>
        <v>63.17</v>
      </c>
      <c r="G604" s="300">
        <f>TRUNC(E604*F604,2)</f>
        <v>63.17</v>
      </c>
      <c r="I604" s="59"/>
    </row>
    <row r="605" spans="1:9" ht="18.75">
      <c r="A605" s="17"/>
      <c r="B605" s="273" t="s">
        <v>300</v>
      </c>
      <c r="C605" s="256" t="s">
        <v>301</v>
      </c>
      <c r="D605" s="2" t="s">
        <v>26</v>
      </c>
      <c r="E605" s="2">
        <v>0.017</v>
      </c>
      <c r="F605" s="2">
        <f>TRUNC(1.53,2)</f>
        <v>1.53</v>
      </c>
      <c r="I605" s="59"/>
    </row>
    <row r="606" spans="2:9" ht="15.75">
      <c r="B606" s="273" t="s">
        <v>302</v>
      </c>
      <c r="C606" s="256" t="s">
        <v>303</v>
      </c>
      <c r="D606" s="2" t="s">
        <v>26</v>
      </c>
      <c r="E606" s="2">
        <v>0.0075</v>
      </c>
      <c r="F606" s="2">
        <f>TRUNC(35.92,2)</f>
        <v>35.92</v>
      </c>
      <c r="I606" s="59"/>
    </row>
    <row r="607" spans="2:6" ht="15.75">
      <c r="B607" s="273" t="s">
        <v>304</v>
      </c>
      <c r="C607" s="256" t="s">
        <v>305</v>
      </c>
      <c r="D607" s="2" t="s">
        <v>26</v>
      </c>
      <c r="E607" s="2">
        <v>1</v>
      </c>
      <c r="F607" s="2">
        <f>TRUNC(7.08,2)</f>
        <v>7.08</v>
      </c>
    </row>
    <row r="608" spans="2:6" ht="15.75">
      <c r="B608" s="273" t="s">
        <v>306</v>
      </c>
      <c r="C608" s="256" t="s">
        <v>307</v>
      </c>
      <c r="D608" s="2" t="s">
        <v>26</v>
      </c>
      <c r="E608" s="2">
        <v>0.0049</v>
      </c>
      <c r="F608" s="2">
        <f>TRUNC(41.37,2)</f>
        <v>41.37</v>
      </c>
    </row>
    <row r="609" spans="2:7" ht="15.75">
      <c r="B609" s="55" t="s">
        <v>143</v>
      </c>
      <c r="C609" s="244" t="s">
        <v>70</v>
      </c>
      <c r="D609" s="2" t="s">
        <v>61</v>
      </c>
      <c r="E609" s="2">
        <v>0.07</v>
      </c>
      <c r="F609" s="2">
        <f>TRUNC(23.56,2)</f>
        <v>23.56</v>
      </c>
      <c r="G609" s="2">
        <f>TRUNC(E609*F609,2)</f>
        <v>1.64</v>
      </c>
    </row>
    <row r="610" spans="2:7" ht="15.75">
      <c r="B610" s="55" t="s">
        <v>308</v>
      </c>
      <c r="C610" s="244" t="s">
        <v>71</v>
      </c>
      <c r="D610" s="2" t="s">
        <v>61</v>
      </c>
      <c r="E610" s="2">
        <v>0.07</v>
      </c>
      <c r="F610" s="2">
        <f>TRUNC(18.46,2)</f>
        <v>18.46</v>
      </c>
      <c r="G610" s="2">
        <f>TRUNC(E610*F610,2)</f>
        <v>1.29</v>
      </c>
    </row>
    <row r="611" spans="1:7" ht="15.75">
      <c r="A611" s="69"/>
      <c r="B611" s="409" t="s">
        <v>133</v>
      </c>
      <c r="C611" s="410" t="s">
        <v>353</v>
      </c>
      <c r="D611" s="411"/>
      <c r="E611" s="411">
        <v>1</v>
      </c>
      <c r="F611" s="411">
        <v>60.24</v>
      </c>
      <c r="G611" s="411">
        <f>TRUNC(E611*F611,2)</f>
        <v>60.24</v>
      </c>
    </row>
    <row r="612" spans="5:7" ht="15.75">
      <c r="E612" s="2" t="s">
        <v>62</v>
      </c>
      <c r="G612" s="2">
        <f>TRUNC(SUM(G605:G611),2)</f>
        <v>63.17</v>
      </c>
    </row>
    <row r="614" spans="1:7" ht="15.75">
      <c r="A614" s="412" t="s">
        <v>1050</v>
      </c>
      <c r="B614" s="298" t="s">
        <v>792</v>
      </c>
      <c r="C614" s="299" t="s">
        <v>793</v>
      </c>
      <c r="D614" s="300" t="s">
        <v>26</v>
      </c>
      <c r="E614" s="300">
        <v>1</v>
      </c>
      <c r="F614" s="300">
        <f>TRUNC(23.97445,2)</f>
        <v>23.97</v>
      </c>
      <c r="G614" s="300">
        <f>TRUNC(E614*F614,2)</f>
        <v>23.97</v>
      </c>
    </row>
    <row r="615" spans="1:7" ht="15.75">
      <c r="A615" s="69"/>
      <c r="B615" s="165" t="s">
        <v>504</v>
      </c>
      <c r="C615" s="296" t="s">
        <v>505</v>
      </c>
      <c r="D615" s="57" t="s">
        <v>26</v>
      </c>
      <c r="E615" s="57">
        <v>1</v>
      </c>
      <c r="F615" s="57">
        <f>TRUNC(14.38,2)</f>
        <v>14.38</v>
      </c>
      <c r="G615" s="57">
        <f>TRUNC(E615*F615,2)</f>
        <v>14.38</v>
      </c>
    </row>
    <row r="616" spans="1:7" ht="15.75">
      <c r="A616" s="69"/>
      <c r="B616" s="165" t="s">
        <v>794</v>
      </c>
      <c r="C616" s="296" t="s">
        <v>795</v>
      </c>
      <c r="D616" s="57" t="s">
        <v>61</v>
      </c>
      <c r="E616" s="57">
        <v>0.515</v>
      </c>
      <c r="F616" s="57">
        <f>TRUNC(18.63,2)</f>
        <v>18.63</v>
      </c>
      <c r="G616" s="57">
        <f>TRUNC(E616*F616,2)</f>
        <v>9.59</v>
      </c>
    </row>
    <row r="617" spans="1:7" ht="18.75">
      <c r="A617" s="58"/>
      <c r="B617" s="165"/>
      <c r="C617" s="296"/>
      <c r="D617" s="57"/>
      <c r="E617" s="57" t="s">
        <v>62</v>
      </c>
      <c r="F617" s="57"/>
      <c r="G617" s="57">
        <f>TRUNC(SUM(G615:G616),2)</f>
        <v>23.97</v>
      </c>
    </row>
    <row r="618" ht="18.75">
      <c r="A618" s="17"/>
    </row>
    <row r="619" spans="1:7" ht="18.75">
      <c r="A619" s="283" t="s">
        <v>1051</v>
      </c>
      <c r="B619" s="284"/>
      <c r="C619" s="280" t="s">
        <v>38</v>
      </c>
      <c r="D619" s="281"/>
      <c r="E619" s="281"/>
      <c r="F619" s="281"/>
      <c r="G619" s="281"/>
    </row>
    <row r="620" spans="1:7" s="57" customFormat="1" ht="18.75">
      <c r="A620" s="297"/>
      <c r="B620" s="298"/>
      <c r="C620" s="388"/>
      <c r="D620" s="300"/>
      <c r="E620" s="300"/>
      <c r="F620" s="300"/>
      <c r="G620" s="300"/>
    </row>
    <row r="621" spans="1:3" ht="18.75">
      <c r="A621" s="17"/>
      <c r="B621" s="110"/>
      <c r="C621" s="64"/>
    </row>
    <row r="622" spans="1:7" ht="30">
      <c r="A622" s="33" t="s">
        <v>1052</v>
      </c>
      <c r="B622" s="169" t="s">
        <v>714</v>
      </c>
      <c r="C622" s="330" t="s">
        <v>217</v>
      </c>
      <c r="D622" s="15" t="s">
        <v>16</v>
      </c>
      <c r="E622" s="15">
        <v>1</v>
      </c>
      <c r="F622" s="15">
        <f>G629</f>
        <v>629.78</v>
      </c>
      <c r="G622" s="15">
        <f aca="true" t="shared" si="16" ref="G622:G628">TRUNC(E622*F622,2)</f>
        <v>629.78</v>
      </c>
    </row>
    <row r="623" spans="1:7" ht="30">
      <c r="A623" s="17"/>
      <c r="B623" s="110" t="s">
        <v>715</v>
      </c>
      <c r="C623" s="64" t="s">
        <v>218</v>
      </c>
      <c r="D623" s="2" t="s">
        <v>26</v>
      </c>
      <c r="E623" s="2">
        <v>0.5473</v>
      </c>
      <c r="F623" s="2">
        <f>TRUNC(972.32,2)</f>
        <v>972.32</v>
      </c>
      <c r="G623" s="2">
        <f t="shared" si="16"/>
        <v>532.15</v>
      </c>
    </row>
    <row r="624" spans="1:7" ht="30">
      <c r="A624" s="17"/>
      <c r="B624" s="110" t="s">
        <v>716</v>
      </c>
      <c r="C624" s="64" t="s">
        <v>219</v>
      </c>
      <c r="D624" s="2" t="s">
        <v>19</v>
      </c>
      <c r="E624" s="2">
        <v>6.8504</v>
      </c>
      <c r="F624" s="2">
        <f>TRUNC(8.13,2)</f>
        <v>8.13</v>
      </c>
      <c r="G624" s="2">
        <f t="shared" si="16"/>
        <v>55.69</v>
      </c>
    </row>
    <row r="625" spans="1:7" ht="30">
      <c r="A625" s="17"/>
      <c r="B625" s="110" t="s">
        <v>717</v>
      </c>
      <c r="C625" s="64" t="s">
        <v>220</v>
      </c>
      <c r="D625" s="2" t="s">
        <v>26</v>
      </c>
      <c r="E625" s="2">
        <v>4.8166</v>
      </c>
      <c r="F625" s="2">
        <f>TRUNC(0.73,2)</f>
        <v>0.73</v>
      </c>
      <c r="G625" s="2">
        <f t="shared" si="16"/>
        <v>3.51</v>
      </c>
    </row>
    <row r="626" spans="1:7" ht="18.75">
      <c r="A626" s="17"/>
      <c r="B626" s="110" t="s">
        <v>718</v>
      </c>
      <c r="C626" s="64" t="s">
        <v>90</v>
      </c>
      <c r="D626" s="2" t="s">
        <v>91</v>
      </c>
      <c r="E626" s="2">
        <v>0.8829</v>
      </c>
      <c r="F626" s="2">
        <f>TRUNC(29.25,2)</f>
        <v>29.25</v>
      </c>
      <c r="G626" s="2">
        <f t="shared" si="16"/>
        <v>25.82</v>
      </c>
    </row>
    <row r="627" spans="1:7" ht="18.75">
      <c r="A627" s="17"/>
      <c r="B627" s="110" t="s">
        <v>254</v>
      </c>
      <c r="C627" s="64" t="s">
        <v>65</v>
      </c>
      <c r="D627" s="2" t="s">
        <v>61</v>
      </c>
      <c r="E627" s="2">
        <v>0.191</v>
      </c>
      <c r="F627" s="2">
        <f>TRUNC(18.78,2)</f>
        <v>18.78</v>
      </c>
      <c r="G627" s="2">
        <f t="shared" si="16"/>
        <v>3.58</v>
      </c>
    </row>
    <row r="628" spans="1:7" ht="18.75">
      <c r="A628" s="17"/>
      <c r="B628" s="110" t="s">
        <v>255</v>
      </c>
      <c r="C628" s="64" t="s">
        <v>131</v>
      </c>
      <c r="D628" s="2" t="s">
        <v>61</v>
      </c>
      <c r="E628" s="2">
        <v>0.3826</v>
      </c>
      <c r="F628" s="2">
        <f>TRUNC(23.61,2)</f>
        <v>23.61</v>
      </c>
      <c r="G628" s="2">
        <f t="shared" si="16"/>
        <v>9.03</v>
      </c>
    </row>
    <row r="629" spans="1:7" ht="18.75">
      <c r="A629" s="17"/>
      <c r="B629" s="110"/>
      <c r="C629" s="64"/>
      <c r="E629" s="2" t="s">
        <v>62</v>
      </c>
      <c r="G629" s="2">
        <f>TRUNC(SUM(G623:G628),2)</f>
        <v>629.78</v>
      </c>
    </row>
    <row r="630" spans="1:7" ht="75">
      <c r="A630" s="297" t="s">
        <v>1053</v>
      </c>
      <c r="B630" s="298" t="s">
        <v>796</v>
      </c>
      <c r="C630" s="388" t="s">
        <v>797</v>
      </c>
      <c r="D630" s="300" t="s">
        <v>26</v>
      </c>
      <c r="E630" s="300">
        <v>1</v>
      </c>
      <c r="F630" s="300">
        <f>G633</f>
        <v>219.12</v>
      </c>
      <c r="G630" s="300">
        <f>TRUNC(E630*F630,2)</f>
        <v>219.12</v>
      </c>
    </row>
    <row r="631" spans="1:7" ht="30">
      <c r="A631" s="58"/>
      <c r="B631" s="268" t="s">
        <v>223</v>
      </c>
      <c r="C631" s="406" t="s">
        <v>224</v>
      </c>
      <c r="D631" s="57" t="s">
        <v>26</v>
      </c>
      <c r="E631" s="57">
        <v>1</v>
      </c>
      <c r="F631" s="57">
        <f>TRUNC(196.8,2)</f>
        <v>196.8</v>
      </c>
      <c r="G631" s="57">
        <f>TRUNC(E631*F631,2)</f>
        <v>196.8</v>
      </c>
    </row>
    <row r="632" spans="1:7" ht="18.75">
      <c r="A632" s="58"/>
      <c r="B632" s="268" t="s">
        <v>221</v>
      </c>
      <c r="C632" s="406" t="s">
        <v>222</v>
      </c>
      <c r="D632" s="57" t="s">
        <v>26</v>
      </c>
      <c r="E632" s="57">
        <v>3</v>
      </c>
      <c r="F632" s="57">
        <f>TRUNC(7.44,2)</f>
        <v>7.44</v>
      </c>
      <c r="G632" s="57">
        <f>TRUNC(E632*F632,2)</f>
        <v>22.32</v>
      </c>
    </row>
    <row r="633" spans="1:8" ht="18.75">
      <c r="A633" s="58"/>
      <c r="B633" s="268"/>
      <c r="C633" s="406"/>
      <c r="D633" s="57"/>
      <c r="E633" s="57" t="s">
        <v>62</v>
      </c>
      <c r="F633" s="57"/>
      <c r="G633" s="57">
        <f>TRUNC(SUM(G631:G632),2)</f>
        <v>219.12</v>
      </c>
      <c r="H633" s="59"/>
    </row>
    <row r="634" spans="1:8" ht="18.75">
      <c r="A634" s="58"/>
      <c r="B634" s="268"/>
      <c r="C634" s="406"/>
      <c r="D634" s="57"/>
      <c r="E634" s="57"/>
      <c r="F634" s="57"/>
      <c r="G634" s="57"/>
      <c r="H634" s="59"/>
    </row>
    <row r="635" spans="1:8" ht="45">
      <c r="A635" s="297" t="s">
        <v>1054</v>
      </c>
      <c r="B635" s="298" t="s">
        <v>798</v>
      </c>
      <c r="C635" s="388" t="s">
        <v>315</v>
      </c>
      <c r="D635" s="300" t="s">
        <v>16</v>
      </c>
      <c r="E635" s="300">
        <v>1</v>
      </c>
      <c r="F635" s="300">
        <f>G639</f>
        <v>273.42</v>
      </c>
      <c r="G635" s="300">
        <f>TRUNC(E635*F635,2)</f>
        <v>273.42</v>
      </c>
      <c r="H635" s="59"/>
    </row>
    <row r="636" spans="1:8" ht="18.75">
      <c r="A636" s="58"/>
      <c r="B636" s="268" t="s">
        <v>316</v>
      </c>
      <c r="C636" s="406" t="s">
        <v>317</v>
      </c>
      <c r="D636" s="57" t="s">
        <v>30</v>
      </c>
      <c r="E636" s="57">
        <v>9.84</v>
      </c>
      <c r="F636" s="57">
        <f>TRUNC(18,2)</f>
        <v>18</v>
      </c>
      <c r="G636" s="57">
        <f>TRUNC(E636*F636,2)</f>
        <v>177.12</v>
      </c>
      <c r="H636" s="59"/>
    </row>
    <row r="637" spans="1:7" ht="30">
      <c r="A637" s="58"/>
      <c r="B637" s="268" t="s">
        <v>243</v>
      </c>
      <c r="C637" s="406" t="s">
        <v>244</v>
      </c>
      <c r="D637" s="57" t="s">
        <v>61</v>
      </c>
      <c r="E637" s="57">
        <v>3.09</v>
      </c>
      <c r="F637" s="57">
        <f>TRUNC(12.54,2)</f>
        <v>12.54</v>
      </c>
      <c r="G637" s="57">
        <f>TRUNC(E637*F637,2)</f>
        <v>38.74</v>
      </c>
    </row>
    <row r="638" spans="1:7" ht="30">
      <c r="A638" s="58"/>
      <c r="B638" s="268" t="s">
        <v>799</v>
      </c>
      <c r="C638" s="406" t="s">
        <v>800</v>
      </c>
      <c r="D638" s="57" t="s">
        <v>61</v>
      </c>
      <c r="E638" s="57">
        <v>3.09</v>
      </c>
      <c r="F638" s="57">
        <f>TRUNC(18.63,2)</f>
        <v>18.63</v>
      </c>
      <c r="G638" s="57">
        <f>TRUNC(E638*F638,2)</f>
        <v>57.56</v>
      </c>
    </row>
    <row r="639" spans="1:7" ht="18.75">
      <c r="A639" s="58"/>
      <c r="B639" s="268"/>
      <c r="C639" s="406"/>
      <c r="D639" s="57"/>
      <c r="E639" s="57" t="s">
        <v>62</v>
      </c>
      <c r="F639" s="57"/>
      <c r="G639" s="57">
        <f>TRUNC(SUM(G636:G638),2)</f>
        <v>273.42</v>
      </c>
    </row>
    <row r="640" spans="1:3" ht="18.75">
      <c r="A640" s="17"/>
      <c r="B640" s="110"/>
      <c r="C640" s="64"/>
    </row>
    <row r="641" spans="1:7" ht="45">
      <c r="A641" s="297" t="s">
        <v>1055</v>
      </c>
      <c r="B641" s="158" t="s">
        <v>801</v>
      </c>
      <c r="C641" s="388" t="s">
        <v>502</v>
      </c>
      <c r="D641" s="300" t="s">
        <v>16</v>
      </c>
      <c r="E641" s="300">
        <v>1</v>
      </c>
      <c r="F641" s="300">
        <f>G649</f>
        <v>32.94</v>
      </c>
      <c r="G641" s="300">
        <f>TRUNC(E641*F641,2)</f>
        <v>32.94</v>
      </c>
    </row>
    <row r="642" spans="1:7" ht="18.75">
      <c r="A642" s="58"/>
      <c r="B642" s="268" t="s">
        <v>802</v>
      </c>
      <c r="C642" s="406" t="s">
        <v>498</v>
      </c>
      <c r="D642" s="57" t="s">
        <v>26</v>
      </c>
      <c r="E642" s="57">
        <v>0.6233</v>
      </c>
      <c r="F642" s="57">
        <v>10.47</v>
      </c>
      <c r="G642" s="57">
        <f>TRUNC(E642*F642,2)</f>
        <v>6.52</v>
      </c>
    </row>
    <row r="643" spans="1:7" ht="45">
      <c r="A643" s="58"/>
      <c r="B643" s="353" t="s">
        <v>803</v>
      </c>
      <c r="C643" s="407" t="s">
        <v>499</v>
      </c>
      <c r="D643" s="348" t="s">
        <v>26</v>
      </c>
      <c r="E643" s="348">
        <v>0.694</v>
      </c>
      <c r="F643" s="348">
        <v>365.42</v>
      </c>
      <c r="G643" s="348"/>
    </row>
    <row r="644" spans="1:7" ht="30">
      <c r="A644" s="58"/>
      <c r="B644" s="268" t="s">
        <v>804</v>
      </c>
      <c r="C644" s="406" t="s">
        <v>500</v>
      </c>
      <c r="D644" s="57" t="s">
        <v>26</v>
      </c>
      <c r="E644" s="57">
        <v>9.2</v>
      </c>
      <c r="F644" s="57">
        <v>0.08</v>
      </c>
      <c r="G644" s="57">
        <f>TRUNC(E644*F644,2)</f>
        <v>0.73</v>
      </c>
    </row>
    <row r="645" spans="1:7" ht="18.75">
      <c r="A645" s="58"/>
      <c r="B645" s="353" t="s">
        <v>254</v>
      </c>
      <c r="C645" s="407" t="s">
        <v>65</v>
      </c>
      <c r="D645" s="348" t="s">
        <v>61</v>
      </c>
      <c r="E645" s="348">
        <v>0.259</v>
      </c>
      <c r="F645" s="348">
        <v>18.78</v>
      </c>
      <c r="G645" s="348"/>
    </row>
    <row r="646" spans="1:7" ht="18.75">
      <c r="A646" s="58"/>
      <c r="B646" s="353" t="s">
        <v>255</v>
      </c>
      <c r="C646" s="407" t="s">
        <v>131</v>
      </c>
      <c r="D646" s="348" t="s">
        <v>61</v>
      </c>
      <c r="E646" s="348">
        <v>0.519</v>
      </c>
      <c r="F646" s="348">
        <v>23.61</v>
      </c>
      <c r="G646" s="348"/>
    </row>
    <row r="647" spans="1:7" ht="18.75">
      <c r="A647" s="58"/>
      <c r="B647" s="268" t="s">
        <v>254</v>
      </c>
      <c r="C647" s="406" t="s">
        <v>65</v>
      </c>
      <c r="D647" s="57" t="s">
        <v>61</v>
      </c>
      <c r="E647" s="57">
        <v>0.389</v>
      </c>
      <c r="F647" s="57">
        <v>18.78</v>
      </c>
      <c r="G647" s="57">
        <f>TRUNC(E647*F647,2)</f>
        <v>7.3</v>
      </c>
    </row>
    <row r="648" spans="1:7" ht="18.75">
      <c r="A648" s="58"/>
      <c r="B648" s="268" t="s">
        <v>255</v>
      </c>
      <c r="C648" s="406" t="s">
        <v>131</v>
      </c>
      <c r="D648" s="57" t="s">
        <v>61</v>
      </c>
      <c r="E648" s="57">
        <v>0.779</v>
      </c>
      <c r="F648" s="57">
        <v>23.61</v>
      </c>
      <c r="G648" s="57">
        <f>TRUNC(E648*F648,2)</f>
        <v>18.39</v>
      </c>
    </row>
    <row r="649" spans="1:7" ht="18.75">
      <c r="A649" s="58"/>
      <c r="B649" s="268"/>
      <c r="C649" s="406" t="s">
        <v>501</v>
      </c>
      <c r="D649" s="57"/>
      <c r="E649" s="57" t="s">
        <v>62</v>
      </c>
      <c r="F649" s="57"/>
      <c r="G649" s="57">
        <f>SUM(G642:G648)</f>
        <v>32.94</v>
      </c>
    </row>
    <row r="650" spans="1:3" ht="18.75">
      <c r="A650" s="17"/>
      <c r="B650" s="110"/>
      <c r="C650" s="64"/>
    </row>
    <row r="651" spans="1:7" ht="45">
      <c r="A651" s="33" t="s">
        <v>1056</v>
      </c>
      <c r="B651" s="169" t="s">
        <v>805</v>
      </c>
      <c r="C651" s="330" t="s">
        <v>439</v>
      </c>
      <c r="D651" s="15" t="s">
        <v>16</v>
      </c>
      <c r="E651" s="15">
        <v>1</v>
      </c>
      <c r="F651" s="15">
        <f>G658</f>
        <v>134.61</v>
      </c>
      <c r="G651" s="15">
        <f aca="true" t="shared" si="17" ref="G651:G657">TRUNC(E651*F651,2)</f>
        <v>134.61</v>
      </c>
    </row>
    <row r="652" spans="1:7" ht="30">
      <c r="A652" s="17"/>
      <c r="B652" s="110" t="s">
        <v>806</v>
      </c>
      <c r="C652" s="64" t="s">
        <v>441</v>
      </c>
      <c r="D652" s="2" t="s">
        <v>16</v>
      </c>
      <c r="E652" s="2">
        <v>1.05</v>
      </c>
      <c r="F652" s="2">
        <f>TRUNC(16.02,2)</f>
        <v>16.02</v>
      </c>
      <c r="G652" s="2">
        <f t="shared" si="17"/>
        <v>16.82</v>
      </c>
    </row>
    <row r="653" spans="1:7" ht="30">
      <c r="A653" s="17"/>
      <c r="B653" s="110" t="s">
        <v>807</v>
      </c>
      <c r="C653" s="64" t="s">
        <v>440</v>
      </c>
      <c r="D653" s="2" t="s">
        <v>19</v>
      </c>
      <c r="E653" s="2">
        <v>1.68</v>
      </c>
      <c r="F653" s="2">
        <f>TRUNC(50.45,2)</f>
        <v>50.45</v>
      </c>
      <c r="G653" s="2">
        <f t="shared" si="17"/>
        <v>84.75</v>
      </c>
    </row>
    <row r="654" spans="1:7" ht="18.75">
      <c r="A654" s="17"/>
      <c r="B654" s="110" t="s">
        <v>808</v>
      </c>
      <c r="C654" s="64" t="s">
        <v>442</v>
      </c>
      <c r="D654" s="2" t="s">
        <v>30</v>
      </c>
      <c r="E654" s="2">
        <v>0.15</v>
      </c>
      <c r="F654" s="2">
        <f>TRUNC(10.97,2)</f>
        <v>10.97</v>
      </c>
      <c r="G654" s="2">
        <f t="shared" si="17"/>
        <v>1.64</v>
      </c>
    </row>
    <row r="655" spans="1:7" ht="18.75">
      <c r="A655" s="17"/>
      <c r="B655" s="110" t="s">
        <v>809</v>
      </c>
      <c r="C655" s="64" t="s">
        <v>443</v>
      </c>
      <c r="D655" s="2" t="s">
        <v>30</v>
      </c>
      <c r="E655" s="2">
        <v>0.07</v>
      </c>
      <c r="F655" s="2">
        <f>TRUNC(12.69,2)</f>
        <v>12.69</v>
      </c>
      <c r="G655" s="2">
        <f t="shared" si="17"/>
        <v>0.88</v>
      </c>
    </row>
    <row r="656" spans="1:7" ht="18.75">
      <c r="A656" s="17"/>
      <c r="B656" s="110" t="s">
        <v>254</v>
      </c>
      <c r="C656" s="64" t="s">
        <v>65</v>
      </c>
      <c r="D656" s="2" t="s">
        <v>61</v>
      </c>
      <c r="E656" s="2">
        <v>1</v>
      </c>
      <c r="F656" s="2">
        <f>TRUNC(18.78,2)</f>
        <v>18.78</v>
      </c>
      <c r="G656" s="2">
        <f t="shared" si="17"/>
        <v>18.78</v>
      </c>
    </row>
    <row r="657" spans="1:7" ht="18.75">
      <c r="A657" s="17"/>
      <c r="B657" s="110" t="s">
        <v>810</v>
      </c>
      <c r="C657" s="64" t="s">
        <v>444</v>
      </c>
      <c r="D657" s="2" t="s">
        <v>61</v>
      </c>
      <c r="E657" s="2">
        <v>0.5</v>
      </c>
      <c r="F657" s="2">
        <f>TRUNC(23.48,2)</f>
        <v>23.48</v>
      </c>
      <c r="G657" s="2">
        <f t="shared" si="17"/>
        <v>11.74</v>
      </c>
    </row>
    <row r="658" spans="1:7" ht="18.75">
      <c r="A658" s="17"/>
      <c r="B658" s="110"/>
      <c r="C658" s="64"/>
      <c r="E658" s="2" t="s">
        <v>62</v>
      </c>
      <c r="G658" s="2">
        <f>TRUNC(SUM(G652:G657),2)</f>
        <v>134.61</v>
      </c>
    </row>
    <row r="659" spans="1:3" ht="18.75">
      <c r="A659" s="17"/>
      <c r="B659" s="110"/>
      <c r="C659" s="64"/>
    </row>
    <row r="660" spans="1:7" ht="18.75">
      <c r="A660" s="33" t="s">
        <v>1057</v>
      </c>
      <c r="B660" s="169" t="s">
        <v>815</v>
      </c>
      <c r="C660" s="330" t="s">
        <v>513</v>
      </c>
      <c r="D660" s="15" t="s">
        <v>16</v>
      </c>
      <c r="E660" s="15">
        <v>1</v>
      </c>
      <c r="F660" s="15">
        <f>G666</f>
        <v>385</v>
      </c>
      <c r="G660" s="15">
        <f aca="true" t="shared" si="18" ref="G660:G665">TRUNC(E660*F660,2)</f>
        <v>385</v>
      </c>
    </row>
    <row r="661" spans="1:7" ht="30">
      <c r="A661" s="17"/>
      <c r="B661" s="110" t="s">
        <v>816</v>
      </c>
      <c r="C661" s="64" t="s">
        <v>514</v>
      </c>
      <c r="D661" s="2" t="s">
        <v>19</v>
      </c>
      <c r="E661" s="2">
        <v>4.1656</v>
      </c>
      <c r="F661" s="2">
        <f>TRUNC(34.98,2)</f>
        <v>34.98</v>
      </c>
      <c r="G661" s="2">
        <f t="shared" si="18"/>
        <v>145.71</v>
      </c>
    </row>
    <row r="662" spans="1:7" ht="18.75">
      <c r="A662" s="17"/>
      <c r="B662" s="110" t="s">
        <v>254</v>
      </c>
      <c r="C662" s="64" t="s">
        <v>65</v>
      </c>
      <c r="D662" s="2" t="s">
        <v>61</v>
      </c>
      <c r="E662" s="2">
        <v>0.1473</v>
      </c>
      <c r="F662" s="2">
        <f>TRUNC(18.78,2)</f>
        <v>18.78</v>
      </c>
      <c r="G662" s="2">
        <f t="shared" si="18"/>
        <v>2.76</v>
      </c>
    </row>
    <row r="663" spans="1:7" ht="18.75">
      <c r="A663" s="17"/>
      <c r="B663" s="110" t="s">
        <v>810</v>
      </c>
      <c r="C663" s="64" t="s">
        <v>444</v>
      </c>
      <c r="D663" s="2" t="s">
        <v>61</v>
      </c>
      <c r="E663" s="2">
        <v>9.8916</v>
      </c>
      <c r="F663" s="2">
        <f>TRUNC(23.48,2)</f>
        <v>23.48</v>
      </c>
      <c r="G663" s="2">
        <f t="shared" si="18"/>
        <v>232.25</v>
      </c>
    </row>
    <row r="664" spans="1:7" ht="18.75">
      <c r="A664" s="17"/>
      <c r="B664" s="110" t="s">
        <v>255</v>
      </c>
      <c r="C664" s="64" t="s">
        <v>131</v>
      </c>
      <c r="D664" s="2" t="s">
        <v>61</v>
      </c>
      <c r="E664" s="2">
        <v>0.1778</v>
      </c>
      <c r="F664" s="2">
        <f>TRUNC(23.61,2)</f>
        <v>23.61</v>
      </c>
      <c r="G664" s="2">
        <f t="shared" si="18"/>
        <v>4.19</v>
      </c>
    </row>
    <row r="665" spans="1:7" ht="18.75">
      <c r="A665" s="17"/>
      <c r="B665" s="110" t="s">
        <v>817</v>
      </c>
      <c r="C665" s="64" t="s">
        <v>515</v>
      </c>
      <c r="D665" s="2" t="s">
        <v>20</v>
      </c>
      <c r="E665" s="2">
        <v>0.00025</v>
      </c>
      <c r="F665" s="2">
        <f>TRUNC(377.63,2)</f>
        <v>377.63</v>
      </c>
      <c r="G665" s="2">
        <f t="shared" si="18"/>
        <v>0.09</v>
      </c>
    </row>
    <row r="666" spans="1:7" ht="18.75">
      <c r="A666" s="17"/>
      <c r="B666" s="110"/>
      <c r="C666" s="64"/>
      <c r="E666" s="2" t="s">
        <v>62</v>
      </c>
      <c r="G666" s="60">
        <f>TRUNC(SUM(G661:G665),2)</f>
        <v>385</v>
      </c>
    </row>
    <row r="667" spans="1:7" ht="18.75">
      <c r="A667" s="17"/>
      <c r="B667" s="110"/>
      <c r="C667" s="247"/>
      <c r="D667" s="10"/>
      <c r="E667" s="10"/>
      <c r="F667" s="10"/>
      <c r="G667" s="10"/>
    </row>
    <row r="668" spans="1:7" ht="18.75">
      <c r="A668" s="283" t="s">
        <v>1058</v>
      </c>
      <c r="B668" s="284"/>
      <c r="C668" s="309" t="s">
        <v>39</v>
      </c>
      <c r="D668" s="281"/>
      <c r="E668" s="281"/>
      <c r="F668" s="281"/>
      <c r="G668" s="281"/>
    </row>
    <row r="669" spans="1:7" ht="18.75">
      <c r="A669" s="33" t="s">
        <v>1059</v>
      </c>
      <c r="B669" s="414" t="s">
        <v>811</v>
      </c>
      <c r="C669" s="415" t="s">
        <v>40</v>
      </c>
      <c r="D669" s="416" t="s">
        <v>16</v>
      </c>
      <c r="E669" s="416">
        <v>1</v>
      </c>
      <c r="F669" s="416">
        <f>G674</f>
        <v>77.43</v>
      </c>
      <c r="G669" s="416">
        <f>TRUNC(E669*F669,2)</f>
        <v>77.43</v>
      </c>
    </row>
    <row r="670" spans="1:7" ht="18.75">
      <c r="A670" s="17"/>
      <c r="B670" s="274" t="s">
        <v>812</v>
      </c>
      <c r="C670" s="257" t="s">
        <v>171</v>
      </c>
      <c r="D670" s="27" t="s">
        <v>16</v>
      </c>
      <c r="E670" s="27">
        <v>1</v>
      </c>
      <c r="F670" s="27">
        <f>TRUNC(52.77,2)</f>
        <v>52.77</v>
      </c>
      <c r="G670" s="27">
        <f>TRUNC(E670*F670,2)</f>
        <v>52.77</v>
      </c>
    </row>
    <row r="671" spans="1:7" ht="18.75">
      <c r="A671" s="17"/>
      <c r="B671" s="274" t="s">
        <v>813</v>
      </c>
      <c r="C671" s="257" t="s">
        <v>167</v>
      </c>
      <c r="D671" s="27" t="s">
        <v>30</v>
      </c>
      <c r="E671" s="27">
        <v>1.5</v>
      </c>
      <c r="F671" s="27">
        <f>TRUNC(4.02,2)</f>
        <v>4.02</v>
      </c>
      <c r="G671" s="27">
        <f>TRUNC(E671*F671,2)</f>
        <v>6.03</v>
      </c>
    </row>
    <row r="672" spans="1:7" ht="18.75">
      <c r="A672" s="17"/>
      <c r="B672" s="274" t="s">
        <v>814</v>
      </c>
      <c r="C672" s="257" t="s">
        <v>168</v>
      </c>
      <c r="D672" s="27" t="s">
        <v>61</v>
      </c>
      <c r="E672" s="27">
        <v>0.45</v>
      </c>
      <c r="F672" s="27">
        <f>TRUNC(22.63,2)</f>
        <v>22.63</v>
      </c>
      <c r="G672" s="27">
        <f>TRUNC(E672*F672,2)</f>
        <v>10.18</v>
      </c>
    </row>
    <row r="673" spans="1:7" ht="18.75">
      <c r="A673" s="17"/>
      <c r="B673" s="274" t="s">
        <v>254</v>
      </c>
      <c r="C673" s="257" t="s">
        <v>65</v>
      </c>
      <c r="D673" s="27" t="s">
        <v>61</v>
      </c>
      <c r="E673" s="27">
        <v>0.45</v>
      </c>
      <c r="F673" s="27">
        <f>TRUNC(18.78,2)</f>
        <v>18.78</v>
      </c>
      <c r="G673" s="27">
        <f>TRUNC(E673*F673,2)</f>
        <v>8.45</v>
      </c>
    </row>
    <row r="674" spans="1:7" ht="18.75">
      <c r="A674" s="17"/>
      <c r="B674" s="274"/>
      <c r="C674" s="257"/>
      <c r="D674" s="27"/>
      <c r="E674" s="27" t="s">
        <v>62</v>
      </c>
      <c r="F674" s="27"/>
      <c r="G674" s="27">
        <f>TRUNC(SUM(G670:G673),2)</f>
        <v>77.43</v>
      </c>
    </row>
    <row r="675" spans="1:7" ht="18.75">
      <c r="A675" s="17"/>
      <c r="B675" s="110"/>
      <c r="C675" s="247"/>
      <c r="D675" s="10"/>
      <c r="E675" s="10"/>
      <c r="F675" s="10"/>
      <c r="G675" s="10"/>
    </row>
    <row r="676" spans="1:7" ht="18.75">
      <c r="A676" s="283" t="s">
        <v>1060</v>
      </c>
      <c r="B676" s="284"/>
      <c r="C676" s="309" t="s">
        <v>41</v>
      </c>
      <c r="D676" s="281"/>
      <c r="E676" s="281"/>
      <c r="F676" s="281"/>
      <c r="G676" s="281"/>
    </row>
    <row r="677" spans="1:7" ht="30">
      <c r="A677" s="297" t="s">
        <v>1061</v>
      </c>
      <c r="B677" s="298" t="s">
        <v>710</v>
      </c>
      <c r="C677" s="320" t="s">
        <v>225</v>
      </c>
      <c r="D677" s="300" t="s">
        <v>16</v>
      </c>
      <c r="E677" s="300">
        <v>1</v>
      </c>
      <c r="F677" s="300">
        <f>G681</f>
        <v>3.18</v>
      </c>
      <c r="G677" s="300">
        <f>TRUNC(E677*F677,2)</f>
        <v>3.18</v>
      </c>
    </row>
    <row r="678" spans="1:7" ht="18.75">
      <c r="A678" s="58"/>
      <c r="B678" s="165" t="s">
        <v>254</v>
      </c>
      <c r="C678" s="321" t="s">
        <v>65</v>
      </c>
      <c r="D678" s="57" t="s">
        <v>61</v>
      </c>
      <c r="E678" s="57">
        <v>0.007</v>
      </c>
      <c r="F678" s="57">
        <f>TRUNC(18.78,2)</f>
        <v>18.78</v>
      </c>
      <c r="G678" s="57">
        <f>TRUNC(E678*F678,2)</f>
        <v>0.13</v>
      </c>
    </row>
    <row r="679" spans="1:7" ht="18.75">
      <c r="A679" s="58"/>
      <c r="B679" s="165" t="s">
        <v>255</v>
      </c>
      <c r="C679" s="321" t="s">
        <v>131</v>
      </c>
      <c r="D679" s="57" t="s">
        <v>61</v>
      </c>
      <c r="E679" s="57">
        <v>0.07</v>
      </c>
      <c r="F679" s="57">
        <f>TRUNC(23.61,2)</f>
        <v>23.61</v>
      </c>
      <c r="G679" s="57">
        <f>TRUNC(E679*F679,2)</f>
        <v>1.65</v>
      </c>
    </row>
    <row r="680" spans="1:7" ht="30">
      <c r="A680" s="58"/>
      <c r="B680" s="165" t="s">
        <v>711</v>
      </c>
      <c r="C680" s="321" t="s">
        <v>226</v>
      </c>
      <c r="D680" s="57" t="s">
        <v>20</v>
      </c>
      <c r="E680" s="57">
        <v>0.0042</v>
      </c>
      <c r="F680" s="57">
        <f>TRUNC(335.38,2)</f>
        <v>335.38</v>
      </c>
      <c r="G680" s="57">
        <f>TRUNC(E680*F680,2)</f>
        <v>1.4</v>
      </c>
    </row>
    <row r="681" spans="1:7" ht="18.75">
      <c r="A681" s="58"/>
      <c r="B681" s="165"/>
      <c r="C681" s="321"/>
      <c r="D681" s="57"/>
      <c r="E681" s="57" t="s">
        <v>62</v>
      </c>
      <c r="F681" s="57"/>
      <c r="G681" s="57">
        <f>TRUNC(SUM(G678:G680),2)</f>
        <v>3.18</v>
      </c>
    </row>
    <row r="682" spans="1:3" ht="18.75">
      <c r="A682" s="17"/>
      <c r="C682" s="250"/>
    </row>
    <row r="683" spans="1:7" ht="45">
      <c r="A683" s="297" t="s">
        <v>1062</v>
      </c>
      <c r="B683" s="158" t="s">
        <v>712</v>
      </c>
      <c r="C683" s="320" t="s">
        <v>1112</v>
      </c>
      <c r="D683" s="300" t="s">
        <v>16</v>
      </c>
      <c r="E683" s="300">
        <v>1</v>
      </c>
      <c r="F683" s="300">
        <f>G687</f>
        <v>28.64</v>
      </c>
      <c r="G683" s="300">
        <f>TRUNC(E683*F683,2)</f>
        <v>28.64</v>
      </c>
    </row>
    <row r="684" spans="1:7" ht="18.75">
      <c r="A684" s="17"/>
      <c r="B684" s="55" t="s">
        <v>254</v>
      </c>
      <c r="C684" s="251" t="s">
        <v>65</v>
      </c>
      <c r="D684" s="2" t="s">
        <v>61</v>
      </c>
      <c r="E684" s="2">
        <v>0.171</v>
      </c>
      <c r="F684" s="2">
        <f>TRUNC(18.78,2)</f>
        <v>18.78</v>
      </c>
      <c r="G684" s="2">
        <f>TRUNC(E684*F684,2)</f>
        <v>3.21</v>
      </c>
    </row>
    <row r="685" spans="1:7" ht="18.75">
      <c r="A685" s="17"/>
      <c r="B685" s="55" t="s">
        <v>255</v>
      </c>
      <c r="C685" s="251" t="s">
        <v>131</v>
      </c>
      <c r="D685" s="2" t="s">
        <v>61</v>
      </c>
      <c r="E685" s="2">
        <v>0.47</v>
      </c>
      <c r="F685" s="2">
        <f>TRUNC(23.61,2)</f>
        <v>23.61</v>
      </c>
      <c r="G685" s="2">
        <f>TRUNC(E685*F685,2)</f>
        <v>11.09</v>
      </c>
    </row>
    <row r="686" spans="1:7" ht="45">
      <c r="A686" s="17"/>
      <c r="B686" s="55" t="s">
        <v>713</v>
      </c>
      <c r="C686" s="251" t="s">
        <v>227</v>
      </c>
      <c r="D686" s="2" t="s">
        <v>20</v>
      </c>
      <c r="E686" s="2">
        <v>0.0376</v>
      </c>
      <c r="F686" s="2">
        <f>TRUNC(381.41,2)</f>
        <v>381.41</v>
      </c>
      <c r="G686" s="2">
        <f>TRUNC(E686*F686,2)</f>
        <v>14.34</v>
      </c>
    </row>
    <row r="687" spans="1:7" ht="18.75">
      <c r="A687" s="17"/>
      <c r="C687" s="250"/>
      <c r="E687" s="2" t="s">
        <v>62</v>
      </c>
      <c r="G687" s="2">
        <f>TRUNC(SUM(G684:G686),2)</f>
        <v>28.64</v>
      </c>
    </row>
    <row r="688" spans="1:3" ht="18.75">
      <c r="A688" s="17"/>
      <c r="C688" s="250"/>
    </row>
    <row r="689" spans="1:7" ht="56.25">
      <c r="A689" s="33" t="s">
        <v>1063</v>
      </c>
      <c r="B689" s="420" t="s">
        <v>818</v>
      </c>
      <c r="C689" s="421" t="s">
        <v>819</v>
      </c>
      <c r="D689" s="420" t="s">
        <v>16</v>
      </c>
      <c r="E689" s="422">
        <v>1</v>
      </c>
      <c r="F689" s="422">
        <f>TRUNC(14.624609,2)</f>
        <v>14.62</v>
      </c>
      <c r="G689" s="422">
        <f>TRUNC(E689*F689,2)</f>
        <v>14.62</v>
      </c>
    </row>
    <row r="690" spans="1:7" ht="37.5">
      <c r="A690" s="17"/>
      <c r="B690" s="417" t="s">
        <v>243</v>
      </c>
      <c r="C690" s="418" t="s">
        <v>244</v>
      </c>
      <c r="D690" s="417" t="s">
        <v>61</v>
      </c>
      <c r="E690" s="419">
        <v>0.4944</v>
      </c>
      <c r="F690" s="419">
        <f>TRUNC(12.54,2)</f>
        <v>12.54</v>
      </c>
      <c r="G690" s="419">
        <f>TRUNC(E690*F690,2)</f>
        <v>6.19</v>
      </c>
    </row>
    <row r="691" spans="1:7" ht="37.5">
      <c r="A691" s="17"/>
      <c r="B691" s="417" t="s">
        <v>820</v>
      </c>
      <c r="C691" s="418" t="s">
        <v>821</v>
      </c>
      <c r="D691" s="417" t="s">
        <v>61</v>
      </c>
      <c r="E691" s="419">
        <v>0.41200000000000003</v>
      </c>
      <c r="F691" s="419">
        <f>TRUNC(17.3,2)</f>
        <v>17.3</v>
      </c>
      <c r="G691" s="419">
        <f>TRUNC(E691*F691,2)</f>
        <v>7.12</v>
      </c>
    </row>
    <row r="692" spans="1:7" ht="37.5">
      <c r="A692" s="17"/>
      <c r="B692" s="417" t="s">
        <v>822</v>
      </c>
      <c r="C692" s="418" t="s">
        <v>823</v>
      </c>
      <c r="D692" s="417" t="s">
        <v>20</v>
      </c>
      <c r="E692" s="419">
        <v>0.0036</v>
      </c>
      <c r="F692" s="419">
        <f>TRUNC(360.3425,2)</f>
        <v>360.34</v>
      </c>
      <c r="G692" s="419">
        <f>TRUNC(E692*F692,2)</f>
        <v>1.29</v>
      </c>
    </row>
    <row r="693" spans="1:7" ht="18.75">
      <c r="A693" s="17"/>
      <c r="B693" s="417"/>
      <c r="C693" s="418"/>
      <c r="D693" s="417"/>
      <c r="E693" s="419" t="s">
        <v>62</v>
      </c>
      <c r="F693" s="419"/>
      <c r="G693" s="419">
        <f>TRUNC(SUM(G690:G692),2)</f>
        <v>14.6</v>
      </c>
    </row>
    <row r="694" ht="18.75">
      <c r="A694" s="17"/>
    </row>
    <row r="695" spans="1:7" ht="45">
      <c r="A695" s="297" t="s">
        <v>1064</v>
      </c>
      <c r="B695" s="298" t="s">
        <v>824</v>
      </c>
      <c r="C695" s="320" t="s">
        <v>825</v>
      </c>
      <c r="D695" s="300" t="s">
        <v>16</v>
      </c>
      <c r="E695" s="300">
        <v>1</v>
      </c>
      <c r="F695" s="300">
        <f>G701</f>
        <v>45.49</v>
      </c>
      <c r="G695" s="300">
        <f aca="true" t="shared" si="19" ref="G695:G700">TRUNC(E695*F695,2)</f>
        <v>45.49</v>
      </c>
    </row>
    <row r="696" spans="1:7" ht="18.75">
      <c r="A696" s="475"/>
      <c r="B696" s="165" t="s">
        <v>172</v>
      </c>
      <c r="C696" s="321" t="s">
        <v>173</v>
      </c>
      <c r="D696" s="57" t="s">
        <v>30</v>
      </c>
      <c r="E696" s="57">
        <v>0.1</v>
      </c>
      <c r="F696" s="57">
        <f>TRUNC(1.84,2)</f>
        <v>1.84</v>
      </c>
      <c r="G696" s="57">
        <f t="shared" si="19"/>
        <v>0.18</v>
      </c>
    </row>
    <row r="697" spans="1:7" ht="18.75">
      <c r="A697" s="58"/>
      <c r="B697" s="165" t="s">
        <v>325</v>
      </c>
      <c r="C697" s="321" t="s">
        <v>326</v>
      </c>
      <c r="D697" s="57" t="s">
        <v>16</v>
      </c>
      <c r="E697" s="57">
        <v>1.1</v>
      </c>
      <c r="F697" s="57">
        <f>TRUNC(10.51,2)</f>
        <v>10.51</v>
      </c>
      <c r="G697" s="57">
        <f t="shared" si="19"/>
        <v>11.56</v>
      </c>
    </row>
    <row r="698" spans="1:7" ht="30">
      <c r="A698" s="58"/>
      <c r="B698" s="165" t="s">
        <v>243</v>
      </c>
      <c r="C698" s="321" t="s">
        <v>244</v>
      </c>
      <c r="D698" s="57" t="s">
        <v>61</v>
      </c>
      <c r="E698" s="57">
        <v>1.03</v>
      </c>
      <c r="F698" s="57">
        <f>TRUNC(12.54,2)</f>
        <v>12.54</v>
      </c>
      <c r="G698" s="57">
        <f t="shared" si="19"/>
        <v>12.91</v>
      </c>
    </row>
    <row r="699" spans="1:7" ht="18.75">
      <c r="A699" s="58"/>
      <c r="B699" s="165" t="s">
        <v>794</v>
      </c>
      <c r="C699" s="321" t="s">
        <v>795</v>
      </c>
      <c r="D699" s="57" t="s">
        <v>61</v>
      </c>
      <c r="E699" s="57">
        <v>1.03</v>
      </c>
      <c r="F699" s="57">
        <f>TRUNC(18.63,2)</f>
        <v>18.63</v>
      </c>
      <c r="G699" s="57">
        <f t="shared" si="19"/>
        <v>19.18</v>
      </c>
    </row>
    <row r="700" spans="1:7" ht="18.75">
      <c r="A700" s="58"/>
      <c r="B700" s="165" t="s">
        <v>826</v>
      </c>
      <c r="C700" s="321" t="s">
        <v>827</v>
      </c>
      <c r="D700" s="57" t="s">
        <v>20</v>
      </c>
      <c r="E700" s="57">
        <v>0.003</v>
      </c>
      <c r="F700" s="57">
        <f>TRUNC(553.7458,2)</f>
        <v>553.74</v>
      </c>
      <c r="G700" s="57">
        <f t="shared" si="19"/>
        <v>1.66</v>
      </c>
    </row>
    <row r="701" spans="1:7" ht="18.75">
      <c r="A701" s="58"/>
      <c r="B701" s="165"/>
      <c r="C701" s="321"/>
      <c r="D701" s="57"/>
      <c r="E701" s="57" t="s">
        <v>62</v>
      </c>
      <c r="F701" s="57"/>
      <c r="G701" s="57">
        <f>TRUNC(SUM(G696:G700),2)</f>
        <v>45.49</v>
      </c>
    </row>
    <row r="702" spans="1:3" ht="18.75">
      <c r="A702" s="17"/>
      <c r="C702" s="250"/>
    </row>
    <row r="703" spans="1:7" ht="18.75">
      <c r="A703" s="297" t="s">
        <v>1065</v>
      </c>
      <c r="B703" s="298" t="s">
        <v>828</v>
      </c>
      <c r="C703" s="320" t="s">
        <v>531</v>
      </c>
      <c r="D703" s="300" t="s">
        <v>19</v>
      </c>
      <c r="E703" s="300">
        <v>1</v>
      </c>
      <c r="F703" s="300">
        <f>G707</f>
        <v>43.11</v>
      </c>
      <c r="G703" s="300">
        <f>TRUNC(E703*F703,2)</f>
        <v>43.11</v>
      </c>
    </row>
    <row r="704" spans="1:7" s="57" customFormat="1" ht="18.75">
      <c r="A704" s="58"/>
      <c r="B704" s="165" t="s">
        <v>829</v>
      </c>
      <c r="C704" s="321" t="s">
        <v>532</v>
      </c>
      <c r="D704" s="57" t="s">
        <v>19</v>
      </c>
      <c r="E704" s="57">
        <v>1</v>
      </c>
      <c r="F704" s="57">
        <f>TRUNC(20.7,2)</f>
        <v>20.7</v>
      </c>
      <c r="G704" s="57">
        <f>TRUNC(E704*F704,2)</f>
        <v>20.7</v>
      </c>
    </row>
    <row r="705" spans="1:7" s="57" customFormat="1" ht="18.75">
      <c r="A705" s="58"/>
      <c r="B705" s="165" t="s">
        <v>254</v>
      </c>
      <c r="C705" s="321" t="s">
        <v>65</v>
      </c>
      <c r="D705" s="57" t="s">
        <v>61</v>
      </c>
      <c r="E705" s="57">
        <v>0.4</v>
      </c>
      <c r="F705" s="57">
        <f>TRUNC(18.78,2)</f>
        <v>18.78</v>
      </c>
      <c r="G705" s="57">
        <f>TRUNC(E705*F705,2)</f>
        <v>7.51</v>
      </c>
    </row>
    <row r="706" spans="1:7" s="57" customFormat="1" ht="18.75">
      <c r="A706" s="58"/>
      <c r="B706" s="165" t="s">
        <v>654</v>
      </c>
      <c r="C706" s="321" t="s">
        <v>194</v>
      </c>
      <c r="D706" s="57" t="s">
        <v>61</v>
      </c>
      <c r="E706" s="57">
        <v>0.6</v>
      </c>
      <c r="F706" s="57">
        <f>TRUNC(24.84,2)</f>
        <v>24.84</v>
      </c>
      <c r="G706" s="57">
        <f>TRUNC(E706*F706,2)</f>
        <v>14.9</v>
      </c>
    </row>
    <row r="707" spans="1:7" s="57" customFormat="1" ht="18.75">
      <c r="A707" s="58"/>
      <c r="B707" s="165"/>
      <c r="C707" s="321"/>
      <c r="E707" s="57" t="s">
        <v>62</v>
      </c>
      <c r="G707" s="57">
        <f>TRUNC(SUM(G704:G706),2)</f>
        <v>43.11</v>
      </c>
    </row>
    <row r="708" spans="1:3" ht="18.75">
      <c r="A708" s="17"/>
      <c r="C708" s="250"/>
    </row>
    <row r="709" spans="1:7" ht="45">
      <c r="A709" s="297" t="s">
        <v>1066</v>
      </c>
      <c r="B709" s="298" t="s">
        <v>318</v>
      </c>
      <c r="C709" s="320" t="s">
        <v>830</v>
      </c>
      <c r="D709" s="300" t="s">
        <v>16</v>
      </c>
      <c r="E709" s="300">
        <v>1</v>
      </c>
      <c r="F709" s="300">
        <f>G715</f>
        <v>66.29</v>
      </c>
      <c r="G709" s="300">
        <f aca="true" t="shared" si="20" ref="G709:G714">TRUNC(E709*F709,2)</f>
        <v>66.29</v>
      </c>
    </row>
    <row r="710" spans="1:7" ht="18.75">
      <c r="A710" s="58"/>
      <c r="B710" s="165" t="s">
        <v>319</v>
      </c>
      <c r="C710" s="321" t="s">
        <v>320</v>
      </c>
      <c r="D710" s="57" t="s">
        <v>26</v>
      </c>
      <c r="E710" s="57">
        <v>0.32</v>
      </c>
      <c r="F710" s="57">
        <f>TRUNC(9.48,2)</f>
        <v>9.48</v>
      </c>
      <c r="G710" s="57">
        <f t="shared" si="20"/>
        <v>3.03</v>
      </c>
    </row>
    <row r="711" spans="1:7" ht="18.75">
      <c r="A711" s="58"/>
      <c r="B711" s="165" t="s">
        <v>321</v>
      </c>
      <c r="C711" s="321" t="s">
        <v>322</v>
      </c>
      <c r="D711" s="57" t="s">
        <v>26</v>
      </c>
      <c r="E711" s="57">
        <v>0.2</v>
      </c>
      <c r="F711" s="57">
        <f>TRUNC(18.44,2)</f>
        <v>18.44</v>
      </c>
      <c r="G711" s="57">
        <f t="shared" si="20"/>
        <v>3.68</v>
      </c>
    </row>
    <row r="712" spans="1:7" ht="18.75">
      <c r="A712" s="58"/>
      <c r="B712" s="165" t="s">
        <v>323</v>
      </c>
      <c r="C712" s="321" t="s">
        <v>324</v>
      </c>
      <c r="D712" s="57" t="s">
        <v>16</v>
      </c>
      <c r="E712" s="57">
        <v>1.1</v>
      </c>
      <c r="F712" s="57">
        <f>TRUNC(27.9,2)</f>
        <v>27.9</v>
      </c>
      <c r="G712" s="57">
        <f t="shared" si="20"/>
        <v>30.69</v>
      </c>
    </row>
    <row r="713" spans="1:7" ht="30">
      <c r="A713" s="58"/>
      <c r="B713" s="165" t="s">
        <v>243</v>
      </c>
      <c r="C713" s="321" t="s">
        <v>244</v>
      </c>
      <c r="D713" s="57" t="s">
        <v>61</v>
      </c>
      <c r="E713" s="57">
        <v>0.927</v>
      </c>
      <c r="F713" s="57">
        <f>TRUNC(12.54,2)</f>
        <v>12.54</v>
      </c>
      <c r="G713" s="57">
        <f t="shared" si="20"/>
        <v>11.62</v>
      </c>
    </row>
    <row r="714" spans="1:7" ht="18.75">
      <c r="A714" s="58"/>
      <c r="B714" s="165" t="s">
        <v>794</v>
      </c>
      <c r="C714" s="321" t="s">
        <v>795</v>
      </c>
      <c r="D714" s="57" t="s">
        <v>61</v>
      </c>
      <c r="E714" s="57">
        <v>0.927</v>
      </c>
      <c r="F714" s="57">
        <f>TRUNC(18.63,2)</f>
        <v>18.63</v>
      </c>
      <c r="G714" s="57">
        <f t="shared" si="20"/>
        <v>17.27</v>
      </c>
    </row>
    <row r="715" spans="1:7" ht="18.75">
      <c r="A715" s="58"/>
      <c r="B715" s="165"/>
      <c r="C715" s="321"/>
      <c r="D715" s="57"/>
      <c r="E715" s="57" t="s">
        <v>62</v>
      </c>
      <c r="F715" s="57"/>
      <c r="G715" s="57">
        <f>TRUNC(SUM(G710:G714),2)</f>
        <v>66.29</v>
      </c>
    </row>
    <row r="716" spans="1:3" ht="18.75">
      <c r="A716" s="17"/>
      <c r="C716" s="250"/>
    </row>
    <row r="717" spans="1:7" ht="60">
      <c r="A717" s="297" t="s">
        <v>1067</v>
      </c>
      <c r="B717" s="158" t="s">
        <v>833</v>
      </c>
      <c r="C717" s="299" t="s">
        <v>42</v>
      </c>
      <c r="D717" s="300" t="s">
        <v>16</v>
      </c>
      <c r="E717" s="300">
        <v>1</v>
      </c>
      <c r="F717" s="300">
        <f>TRUNC(G725,2)</f>
        <v>111.82</v>
      </c>
      <c r="G717" s="300">
        <f>TRUNC(E717*F717,2)</f>
        <v>111.82</v>
      </c>
    </row>
    <row r="718" spans="1:7" ht="30">
      <c r="A718" s="58"/>
      <c r="B718" s="423" t="s">
        <v>327</v>
      </c>
      <c r="C718" s="385" t="s">
        <v>328</v>
      </c>
      <c r="D718" s="424" t="s">
        <v>16</v>
      </c>
      <c r="E718" s="424">
        <v>1.1</v>
      </c>
      <c r="F718" s="424">
        <f>TRUNC(24.5,2)</f>
        <v>24.5</v>
      </c>
      <c r="G718" s="424"/>
    </row>
    <row r="719" spans="1:7" ht="18.75">
      <c r="A719" s="58"/>
      <c r="B719" s="425" t="s">
        <v>133</v>
      </c>
      <c r="C719" s="296" t="s">
        <v>329</v>
      </c>
      <c r="D719" s="426" t="s">
        <v>16</v>
      </c>
      <c r="E719" s="426">
        <v>1.05</v>
      </c>
      <c r="F719" s="426">
        <v>24.3</v>
      </c>
      <c r="G719" s="426">
        <f>E719*F719</f>
        <v>25.515</v>
      </c>
    </row>
    <row r="720" spans="1:8" ht="18.75">
      <c r="A720" s="58"/>
      <c r="B720" s="165" t="s">
        <v>319</v>
      </c>
      <c r="C720" s="296" t="s">
        <v>320</v>
      </c>
      <c r="D720" s="57" t="s">
        <v>26</v>
      </c>
      <c r="E720" s="57">
        <v>0.32</v>
      </c>
      <c r="F720" s="57">
        <v>9.48</v>
      </c>
      <c r="G720" s="57">
        <f>TRUNC(E720*F720,2)</f>
        <v>3.03</v>
      </c>
      <c r="H720" s="2" t="s">
        <v>335</v>
      </c>
    </row>
    <row r="721" spans="1:7" ht="30">
      <c r="A721" s="58"/>
      <c r="B721" s="346" t="s">
        <v>330</v>
      </c>
      <c r="C721" s="385" t="s">
        <v>331</v>
      </c>
      <c r="D721" s="348" t="s">
        <v>30</v>
      </c>
      <c r="E721" s="348">
        <v>0.3</v>
      </c>
      <c r="F721" s="348">
        <v>40.3847</v>
      </c>
      <c r="G721" s="348"/>
    </row>
    <row r="722" spans="1:7" ht="30">
      <c r="A722" s="58"/>
      <c r="B722" s="165" t="s">
        <v>243</v>
      </c>
      <c r="C722" s="296" t="s">
        <v>244</v>
      </c>
      <c r="D722" s="57" t="s">
        <v>61</v>
      </c>
      <c r="E722" s="57">
        <v>2.575</v>
      </c>
      <c r="F722" s="57">
        <v>12.54</v>
      </c>
      <c r="G722" s="57">
        <f>TRUNC(E722*F722,2)</f>
        <v>32.29</v>
      </c>
    </row>
    <row r="723" spans="1:7" ht="30">
      <c r="A723" s="58"/>
      <c r="B723" s="165" t="s">
        <v>831</v>
      </c>
      <c r="C723" s="296" t="s">
        <v>832</v>
      </c>
      <c r="D723" s="57" t="s">
        <v>61</v>
      </c>
      <c r="E723" s="57">
        <v>2.575</v>
      </c>
      <c r="F723" s="57">
        <v>17.3</v>
      </c>
      <c r="G723" s="57">
        <f>TRUNC(E723*F723,2)</f>
        <v>44.54</v>
      </c>
    </row>
    <row r="724" spans="1:7" ht="18.75">
      <c r="A724" s="58"/>
      <c r="B724" s="165" t="s">
        <v>332</v>
      </c>
      <c r="C724" s="296" t="s">
        <v>333</v>
      </c>
      <c r="D724" s="57" t="s">
        <v>20</v>
      </c>
      <c r="E724" s="57">
        <v>0.02</v>
      </c>
      <c r="F724" s="57">
        <v>322.8951</v>
      </c>
      <c r="G724" s="57">
        <f>TRUNC(E724*F724,2)</f>
        <v>6.45</v>
      </c>
    </row>
    <row r="725" spans="1:7" ht="18.75">
      <c r="A725" s="58"/>
      <c r="B725" s="165"/>
      <c r="C725" s="296"/>
      <c r="D725" s="57"/>
      <c r="E725" s="57" t="s">
        <v>62</v>
      </c>
      <c r="F725" s="57"/>
      <c r="G725" s="57">
        <f>SUM(G718:G724)</f>
        <v>111.825</v>
      </c>
    </row>
    <row r="726" spans="1:3" ht="18.75">
      <c r="A726" s="17"/>
      <c r="C726" s="250"/>
    </row>
    <row r="727" spans="1:7" ht="60">
      <c r="A727" s="33" t="s">
        <v>1068</v>
      </c>
      <c r="B727" s="158" t="s">
        <v>834</v>
      </c>
      <c r="C727" s="320" t="s">
        <v>1113</v>
      </c>
      <c r="D727" s="300" t="s">
        <v>19</v>
      </c>
      <c r="E727" s="300">
        <v>1</v>
      </c>
      <c r="F727" s="300">
        <f>G734</f>
        <v>43.47</v>
      </c>
      <c r="G727" s="300">
        <f aca="true" t="shared" si="21" ref="G727:G733">TRUNC(E727*F727,2)</f>
        <v>43.47</v>
      </c>
    </row>
    <row r="728" spans="1:7" ht="18.75">
      <c r="A728" s="17"/>
      <c r="B728" s="341" t="s">
        <v>334</v>
      </c>
      <c r="C728" s="315" t="s">
        <v>1114</v>
      </c>
      <c r="D728" s="66" t="s">
        <v>19</v>
      </c>
      <c r="E728" s="66">
        <v>1.05</v>
      </c>
      <c r="F728" s="66">
        <f>TRUNC(9.04,2)</f>
        <v>9.04</v>
      </c>
      <c r="G728" s="340">
        <f t="shared" si="21"/>
        <v>9.49</v>
      </c>
    </row>
    <row r="729" spans="1:7" ht="18.75">
      <c r="A729" s="17"/>
      <c r="B729" s="341" t="s">
        <v>319</v>
      </c>
      <c r="C729" s="315" t="s">
        <v>320</v>
      </c>
      <c r="D729" s="66" t="s">
        <v>26</v>
      </c>
      <c r="E729" s="66">
        <v>0.2</v>
      </c>
      <c r="F729" s="66">
        <v>9.48</v>
      </c>
      <c r="G729" s="340">
        <f t="shared" si="21"/>
        <v>1.89</v>
      </c>
    </row>
    <row r="730" spans="1:7" ht="30">
      <c r="A730" s="17"/>
      <c r="B730" s="165" t="s">
        <v>243</v>
      </c>
      <c r="C730" s="315" t="s">
        <v>244</v>
      </c>
      <c r="D730" s="66" t="s">
        <v>61</v>
      </c>
      <c r="E730" s="66">
        <v>0.8755</v>
      </c>
      <c r="F730" s="66">
        <v>12.54</v>
      </c>
      <c r="G730" s="340">
        <f t="shared" si="21"/>
        <v>10.97</v>
      </c>
    </row>
    <row r="731" spans="1:7" ht="30">
      <c r="A731" s="17"/>
      <c r="B731" s="165" t="s">
        <v>831</v>
      </c>
      <c r="C731" s="315" t="s">
        <v>832</v>
      </c>
      <c r="D731" s="66" t="s">
        <v>61</v>
      </c>
      <c r="E731" s="66">
        <v>0.8240000000000001</v>
      </c>
      <c r="F731" s="66">
        <v>17.3</v>
      </c>
      <c r="G731" s="340">
        <f t="shared" si="21"/>
        <v>14.25</v>
      </c>
    </row>
    <row r="732" spans="1:7" ht="18.75">
      <c r="A732" s="17"/>
      <c r="B732" s="341" t="s">
        <v>835</v>
      </c>
      <c r="C732" s="315" t="s">
        <v>836</v>
      </c>
      <c r="D732" s="66" t="s">
        <v>20</v>
      </c>
      <c r="E732" s="66">
        <v>0.001</v>
      </c>
      <c r="F732" s="66">
        <v>237.77</v>
      </c>
      <c r="G732" s="340">
        <f t="shared" si="21"/>
        <v>0.23</v>
      </c>
    </row>
    <row r="733" spans="1:7" ht="18.75">
      <c r="A733" s="17"/>
      <c r="B733" s="341" t="s">
        <v>826</v>
      </c>
      <c r="C733" s="315" t="s">
        <v>827</v>
      </c>
      <c r="D733" s="66" t="s">
        <v>20</v>
      </c>
      <c r="E733" s="66">
        <v>0.012</v>
      </c>
      <c r="F733" s="66">
        <v>553.74</v>
      </c>
      <c r="G733" s="340">
        <f t="shared" si="21"/>
        <v>6.64</v>
      </c>
    </row>
    <row r="734" spans="1:7" ht="18.75">
      <c r="A734" s="17"/>
      <c r="B734" s="341"/>
      <c r="C734" s="315"/>
      <c r="D734" s="66"/>
      <c r="E734" s="66" t="s">
        <v>62</v>
      </c>
      <c r="F734" s="66"/>
      <c r="G734" s="427">
        <f>TRUNC(SUM(G728:G733),2)</f>
        <v>43.47</v>
      </c>
    </row>
    <row r="735" spans="1:7" ht="18.75">
      <c r="A735" s="17"/>
      <c r="B735" s="341"/>
      <c r="C735" s="315"/>
      <c r="D735" s="66"/>
      <c r="E735" s="66"/>
      <c r="F735" s="66"/>
      <c r="G735" s="340"/>
    </row>
    <row r="736" spans="1:7" ht="18.75">
      <c r="A736" s="17"/>
      <c r="B736" s="458"/>
      <c r="C736" s="459" t="s">
        <v>837</v>
      </c>
      <c r="D736" s="460"/>
      <c r="E736" s="460"/>
      <c r="F736" s="460"/>
      <c r="G736" s="461">
        <f>G734/0.3</f>
        <v>144.9</v>
      </c>
    </row>
    <row r="737" spans="1:7" ht="19.5" thickBot="1">
      <c r="A737" s="17"/>
      <c r="B737" s="342"/>
      <c r="C737" s="343"/>
      <c r="D737" s="344"/>
      <c r="E737" s="344"/>
      <c r="F737" s="344"/>
      <c r="G737" s="345"/>
    </row>
    <row r="738" spans="1:7" s="57" customFormat="1" ht="18.75">
      <c r="A738" s="58"/>
      <c r="B738" s="268"/>
      <c r="C738" s="413"/>
      <c r="D738" s="66"/>
      <c r="E738" s="66"/>
      <c r="F738" s="66"/>
      <c r="G738" s="66"/>
    </row>
    <row r="739" spans="1:8" ht="18.75">
      <c r="A739" s="297" t="s">
        <v>1069</v>
      </c>
      <c r="B739" s="298" t="s">
        <v>838</v>
      </c>
      <c r="C739" s="299" t="s">
        <v>639</v>
      </c>
      <c r="D739" s="300" t="s">
        <v>16</v>
      </c>
      <c r="E739" s="300">
        <v>1</v>
      </c>
      <c r="F739" s="300">
        <f>G747</f>
        <v>33.93</v>
      </c>
      <c r="G739" s="300">
        <f aca="true" t="shared" si="22" ref="G739:G746">TRUNC(E739*F739,2)</f>
        <v>33.93</v>
      </c>
      <c r="H739" s="57"/>
    </row>
    <row r="740" spans="1:8" ht="18.75">
      <c r="A740" s="58"/>
      <c r="B740" s="165" t="s">
        <v>839</v>
      </c>
      <c r="C740" s="296" t="s">
        <v>640</v>
      </c>
      <c r="D740" s="57" t="s">
        <v>641</v>
      </c>
      <c r="E740" s="57">
        <v>0.0308</v>
      </c>
      <c r="F740" s="57">
        <f>TRUNC(13,2)</f>
        <v>13</v>
      </c>
      <c r="G740" s="57">
        <f t="shared" si="22"/>
        <v>0.4</v>
      </c>
      <c r="H740" s="57"/>
    </row>
    <row r="741" spans="1:8" ht="18.75">
      <c r="A741" s="58"/>
      <c r="B741" s="165" t="s">
        <v>840</v>
      </c>
      <c r="C741" s="296" t="s">
        <v>642</v>
      </c>
      <c r="D741" s="57" t="s">
        <v>30</v>
      </c>
      <c r="E741" s="57">
        <v>0.0078</v>
      </c>
      <c r="F741" s="57">
        <f>TRUNC(12.9,2)</f>
        <v>12.9</v>
      </c>
      <c r="G741" s="57">
        <f t="shared" si="22"/>
        <v>0.1</v>
      </c>
      <c r="H741" s="57"/>
    </row>
    <row r="742" spans="1:8" ht="30">
      <c r="A742" s="69"/>
      <c r="B742" s="165" t="s">
        <v>841</v>
      </c>
      <c r="C742" s="296" t="s">
        <v>643</v>
      </c>
      <c r="D742" s="57" t="s">
        <v>16</v>
      </c>
      <c r="E742" s="57">
        <v>1.074</v>
      </c>
      <c r="F742" s="57">
        <f>TRUNC(11,2)</f>
        <v>11</v>
      </c>
      <c r="G742" s="57">
        <f t="shared" si="22"/>
        <v>11.81</v>
      </c>
      <c r="H742" s="57"/>
    </row>
    <row r="743" spans="1:8" ht="15.75">
      <c r="A743" s="69"/>
      <c r="B743" s="165" t="s">
        <v>842</v>
      </c>
      <c r="C743" s="296" t="s">
        <v>644</v>
      </c>
      <c r="D743" s="57" t="s">
        <v>30</v>
      </c>
      <c r="E743" s="57">
        <v>0.9964</v>
      </c>
      <c r="F743" s="57">
        <f>TRUNC(0.48,2)</f>
        <v>0.48</v>
      </c>
      <c r="G743" s="57">
        <f t="shared" si="22"/>
        <v>0.47</v>
      </c>
      <c r="H743" s="57"/>
    </row>
    <row r="744" spans="1:8" ht="15.75">
      <c r="A744" s="69"/>
      <c r="B744" s="165" t="s">
        <v>843</v>
      </c>
      <c r="C744" s="296" t="s">
        <v>645</v>
      </c>
      <c r="D744" s="57" t="s">
        <v>30</v>
      </c>
      <c r="E744" s="57">
        <v>0.025</v>
      </c>
      <c r="F744" s="57">
        <f>TRUNC(16.77,2)</f>
        <v>16.77</v>
      </c>
      <c r="G744" s="57">
        <f t="shared" si="22"/>
        <v>0.41</v>
      </c>
      <c r="H744" s="57"/>
    </row>
    <row r="745" spans="1:8" ht="15.75">
      <c r="A745" s="69"/>
      <c r="B745" s="165" t="s">
        <v>254</v>
      </c>
      <c r="C745" s="296" t="s">
        <v>65</v>
      </c>
      <c r="D745" s="57" t="s">
        <v>61</v>
      </c>
      <c r="E745" s="57">
        <v>0.3156</v>
      </c>
      <c r="F745" s="57">
        <f>TRUNC(18.78,2)</f>
        <v>18.78</v>
      </c>
      <c r="G745" s="57">
        <f t="shared" si="22"/>
        <v>5.92</v>
      </c>
      <c r="H745" s="57"/>
    </row>
    <row r="746" spans="1:8" ht="15.75">
      <c r="A746" s="69"/>
      <c r="B746" s="165" t="s">
        <v>657</v>
      </c>
      <c r="C746" s="296" t="s">
        <v>472</v>
      </c>
      <c r="D746" s="57" t="s">
        <v>61</v>
      </c>
      <c r="E746" s="57">
        <v>0.6313</v>
      </c>
      <c r="F746" s="57">
        <f>TRUNC(23.48,2)</f>
        <v>23.48</v>
      </c>
      <c r="G746" s="57">
        <f t="shared" si="22"/>
        <v>14.82</v>
      </c>
      <c r="H746" s="57"/>
    </row>
    <row r="747" spans="1:8" ht="15.75">
      <c r="A747" s="69"/>
      <c r="B747" s="165"/>
      <c r="C747" s="296"/>
      <c r="D747" s="57"/>
      <c r="E747" s="57" t="s">
        <v>62</v>
      </c>
      <c r="F747" s="57"/>
      <c r="G747" s="57">
        <f>TRUNC(SUM(G740:G746),2)</f>
        <v>33.93</v>
      </c>
      <c r="H747" s="57"/>
    </row>
    <row r="748" ht="15.75">
      <c r="C748" s="250"/>
    </row>
    <row r="749" spans="1:7" ht="15.75">
      <c r="A749" s="428" t="s">
        <v>1070</v>
      </c>
      <c r="B749" s="429"/>
      <c r="C749" s="280" t="s">
        <v>43</v>
      </c>
      <c r="D749" s="281"/>
      <c r="E749" s="281"/>
      <c r="F749" s="281"/>
      <c r="G749" s="281"/>
    </row>
    <row r="750" spans="1:7" ht="15.75">
      <c r="A750" s="428"/>
      <c r="B750" s="429"/>
      <c r="C750" s="280" t="s">
        <v>357</v>
      </c>
      <c r="D750" s="281"/>
      <c r="E750" s="281"/>
      <c r="F750" s="281"/>
      <c r="G750" s="281"/>
    </row>
    <row r="751" spans="1:8" ht="84" customHeight="1">
      <c r="A751" s="297" t="s">
        <v>1071</v>
      </c>
      <c r="B751" s="158" t="s">
        <v>1133</v>
      </c>
      <c r="C751" s="388" t="s">
        <v>1137</v>
      </c>
      <c r="D751" s="300" t="s">
        <v>16</v>
      </c>
      <c r="E751" s="300">
        <v>1</v>
      </c>
      <c r="F751" s="300">
        <f>TRUNC((F752+G764),2)</f>
        <v>67.85</v>
      </c>
      <c r="G751" s="300">
        <f>TRUNC(E751*F751,2)</f>
        <v>67.85</v>
      </c>
      <c r="H751" s="477">
        <f>TRUNC((F751*1.2882),2)</f>
        <v>87.4</v>
      </c>
    </row>
    <row r="752" spans="1:9" ht="75">
      <c r="A752" s="283" t="s">
        <v>1134</v>
      </c>
      <c r="B752" s="480" t="s">
        <v>1133</v>
      </c>
      <c r="C752" s="479" t="s">
        <v>1132</v>
      </c>
      <c r="D752" s="281" t="s">
        <v>16</v>
      </c>
      <c r="E752" s="281">
        <v>1</v>
      </c>
      <c r="F752" s="481">
        <f>G763</f>
        <v>52.02</v>
      </c>
      <c r="G752" s="482">
        <f>TRUNC(E752*F752,2)</f>
        <v>52.02</v>
      </c>
      <c r="I752" s="17"/>
    </row>
    <row r="753" spans="1:7" ht="75">
      <c r="A753" s="17"/>
      <c r="B753" s="188" t="s">
        <v>1120</v>
      </c>
      <c r="C753" s="64" t="s">
        <v>1121</v>
      </c>
      <c r="D753" s="2" t="s">
        <v>16</v>
      </c>
      <c r="E753" s="2">
        <v>1</v>
      </c>
      <c r="F753" s="2">
        <f>G763</f>
        <v>52.02</v>
      </c>
      <c r="G753" s="2">
        <f>TRUNC(E753*F753,2)</f>
        <v>52.02</v>
      </c>
    </row>
    <row r="754" spans="1:7" ht="18.75">
      <c r="A754" s="17"/>
      <c r="B754" s="188" t="s">
        <v>229</v>
      </c>
      <c r="C754" s="64" t="s">
        <v>230</v>
      </c>
      <c r="D754" s="2" t="s">
        <v>30</v>
      </c>
      <c r="E754" s="2">
        <v>14</v>
      </c>
      <c r="F754" s="2">
        <f>TRUNC(0.52,2)</f>
        <v>0.52</v>
      </c>
      <c r="G754" s="2">
        <f>TRUNC(E754*F754,2)</f>
        <v>7.28</v>
      </c>
    </row>
    <row r="755" spans="1:7" ht="18.75">
      <c r="A755" s="17"/>
      <c r="B755" s="188" t="s">
        <v>176</v>
      </c>
      <c r="C755" s="64" t="s">
        <v>177</v>
      </c>
      <c r="D755" s="2" t="s">
        <v>30</v>
      </c>
      <c r="E755" s="2">
        <v>25.2</v>
      </c>
      <c r="F755" s="2">
        <f>TRUNC(0.35,2)</f>
        <v>0.35</v>
      </c>
      <c r="G755" s="2">
        <f>TRUNC(E755*F755,2)</f>
        <v>8.82</v>
      </c>
    </row>
    <row r="756" spans="1:7" s="4" customFormat="1" ht="39.75" customHeight="1">
      <c r="A756" s="17"/>
      <c r="B756" s="476" t="s">
        <v>178</v>
      </c>
      <c r="C756" s="245" t="s">
        <v>179</v>
      </c>
      <c r="D756" s="4" t="s">
        <v>20</v>
      </c>
      <c r="E756" s="4">
        <v>0</v>
      </c>
      <c r="F756" s="4">
        <f>TRUNC(50,2)</f>
        <v>50</v>
      </c>
      <c r="G756" s="4">
        <f>TRUNC(E756*F756,2)</f>
        <v>0</v>
      </c>
    </row>
    <row r="757" spans="1:7" ht="30">
      <c r="A757" s="17"/>
      <c r="B757" s="188" t="s">
        <v>243</v>
      </c>
      <c r="C757" s="64" t="s">
        <v>244</v>
      </c>
      <c r="D757" s="2" t="s">
        <v>61</v>
      </c>
      <c r="E757" s="2">
        <v>0.7725</v>
      </c>
      <c r="F757" s="2">
        <f>TRUNC(12.54,2)</f>
        <v>12.54</v>
      </c>
      <c r="G757" s="2">
        <f>TRUNC(E757*F757,2)</f>
        <v>9.68</v>
      </c>
    </row>
    <row r="758" spans="1:7" ht="30">
      <c r="A758" s="17"/>
      <c r="B758" s="188" t="s">
        <v>844</v>
      </c>
      <c r="C758" s="64" t="s">
        <v>845</v>
      </c>
      <c r="D758" s="2" t="s">
        <v>61</v>
      </c>
      <c r="E758" s="2">
        <v>1.1844999999999999</v>
      </c>
      <c r="F758" s="2">
        <f>TRUNC(17.3,2)</f>
        <v>17.3</v>
      </c>
      <c r="G758" s="2">
        <f>TRUNC(E758*F758,2)</f>
        <v>20.49</v>
      </c>
    </row>
    <row r="759" spans="1:7" ht="18.75">
      <c r="A759" s="17"/>
      <c r="B759" s="188" t="s">
        <v>231</v>
      </c>
      <c r="C759" s="64" t="s">
        <v>232</v>
      </c>
      <c r="D759" s="2" t="s">
        <v>26</v>
      </c>
      <c r="E759" s="2">
        <v>0.08</v>
      </c>
      <c r="F759" s="2">
        <f>TRUNC(18,2)</f>
        <v>18</v>
      </c>
      <c r="G759" s="2">
        <f>TRUNC(E759*F759,2)</f>
        <v>1.44</v>
      </c>
    </row>
    <row r="760" spans="1:7" ht="18.75">
      <c r="A760" s="17"/>
      <c r="B760" s="188" t="s">
        <v>233</v>
      </c>
      <c r="C760" s="64" t="s">
        <v>234</v>
      </c>
      <c r="D760" s="2" t="s">
        <v>26</v>
      </c>
      <c r="E760" s="2">
        <v>0.1</v>
      </c>
      <c r="F760" s="2">
        <f>TRUNC(18,2)</f>
        <v>18</v>
      </c>
      <c r="G760" s="2">
        <f>TRUNC(E760*F760,2)</f>
        <v>1.8</v>
      </c>
    </row>
    <row r="761" spans="1:7" ht="18.75">
      <c r="A761" s="17"/>
      <c r="B761" s="188" t="s">
        <v>1122</v>
      </c>
      <c r="C761" s="64" t="s">
        <v>1123</v>
      </c>
      <c r="D761" s="2" t="s">
        <v>61</v>
      </c>
      <c r="E761" s="2">
        <v>0.65</v>
      </c>
      <c r="F761" s="2">
        <f>TRUNC(0.7676,2)</f>
        <v>0.76</v>
      </c>
      <c r="G761" s="2">
        <f>TRUNC(E761*F761,2)</f>
        <v>0.49</v>
      </c>
    </row>
    <row r="762" spans="1:7" ht="18.75">
      <c r="A762" s="17"/>
      <c r="B762" s="188" t="s">
        <v>1124</v>
      </c>
      <c r="C762" s="64" t="s">
        <v>1125</v>
      </c>
      <c r="D762" s="2" t="s">
        <v>61</v>
      </c>
      <c r="E762" s="2">
        <v>0.5</v>
      </c>
      <c r="F762" s="2">
        <f>TRUNC(4.0505,2)</f>
        <v>4.05</v>
      </c>
      <c r="G762" s="2">
        <f>TRUNC(E762*F762,2)</f>
        <v>2.02</v>
      </c>
    </row>
    <row r="763" spans="1:7" ht="18.75">
      <c r="A763" s="17"/>
      <c r="B763" s="188"/>
      <c r="C763" s="64"/>
      <c r="E763" s="2" t="s">
        <v>62</v>
      </c>
      <c r="G763" s="2">
        <f>TRUNC(SUM(G754:G762),2)</f>
        <v>52.02</v>
      </c>
    </row>
    <row r="764" spans="1:9" ht="18.75">
      <c r="A764" s="283" t="s">
        <v>1135</v>
      </c>
      <c r="B764" s="478" t="s">
        <v>1126</v>
      </c>
      <c r="C764" s="479" t="s">
        <v>1127</v>
      </c>
      <c r="D764" s="281" t="s">
        <v>19</v>
      </c>
      <c r="E764" s="281">
        <v>2.6</v>
      </c>
      <c r="F764" s="483">
        <f>G770</f>
        <v>6.09</v>
      </c>
      <c r="G764" s="484">
        <f aca="true" t="shared" si="23" ref="G764:G769">TRUNC(E764*F764,2)</f>
        <v>15.83</v>
      </c>
      <c r="H764" s="575"/>
      <c r="I764" s="477"/>
    </row>
    <row r="765" spans="1:9" ht="18.75">
      <c r="A765" s="17"/>
      <c r="B765" s="188" t="s">
        <v>1128</v>
      </c>
      <c r="C765" s="64" t="s">
        <v>1129</v>
      </c>
      <c r="D765" s="2" t="s">
        <v>19</v>
      </c>
      <c r="E765" s="2">
        <v>1</v>
      </c>
      <c r="F765" s="2">
        <f>TRUNC(0.7,2)</f>
        <v>0.7</v>
      </c>
      <c r="G765" s="2">
        <f t="shared" si="23"/>
        <v>0.7</v>
      </c>
      <c r="I765" s="17"/>
    </row>
    <row r="766" spans="1:9" ht="18.75">
      <c r="A766" s="17"/>
      <c r="B766" s="188" t="s">
        <v>176</v>
      </c>
      <c r="C766" s="64" t="s">
        <v>177</v>
      </c>
      <c r="D766" s="2" t="s">
        <v>30</v>
      </c>
      <c r="E766" s="2">
        <v>1.2</v>
      </c>
      <c r="F766" s="2">
        <f>TRUNC(0.35,2)</f>
        <v>0.35</v>
      </c>
      <c r="G766" s="2">
        <f t="shared" si="23"/>
        <v>0.42</v>
      </c>
      <c r="I766" s="17"/>
    </row>
    <row r="767" spans="1:9" ht="18.75">
      <c r="A767" s="17"/>
      <c r="B767" s="188" t="s">
        <v>178</v>
      </c>
      <c r="C767" s="64" t="s">
        <v>179</v>
      </c>
      <c r="D767" s="2" t="s">
        <v>20</v>
      </c>
      <c r="E767" s="2">
        <v>0.0025</v>
      </c>
      <c r="F767" s="2">
        <f>TRUNC(50,2)</f>
        <v>50</v>
      </c>
      <c r="G767" s="2">
        <f t="shared" si="23"/>
        <v>0.12</v>
      </c>
      <c r="I767" s="17"/>
    </row>
    <row r="768" spans="1:9" ht="30">
      <c r="A768" s="17"/>
      <c r="B768" s="188" t="s">
        <v>243</v>
      </c>
      <c r="C768" s="64" t="s">
        <v>244</v>
      </c>
      <c r="D768" s="2" t="s">
        <v>61</v>
      </c>
      <c r="E768" s="2">
        <v>0.10300000000000001</v>
      </c>
      <c r="F768" s="2">
        <f>TRUNC(12.54,2)</f>
        <v>12.54</v>
      </c>
      <c r="G768" s="2">
        <f t="shared" si="23"/>
        <v>1.29</v>
      </c>
      <c r="I768" s="17"/>
    </row>
    <row r="769" spans="1:9" ht="18.75">
      <c r="A769" s="17"/>
      <c r="B769" s="188" t="s">
        <v>251</v>
      </c>
      <c r="C769" s="64" t="s">
        <v>252</v>
      </c>
      <c r="D769" s="2" t="s">
        <v>61</v>
      </c>
      <c r="E769" s="2">
        <v>0.20600000000000002</v>
      </c>
      <c r="F769" s="2">
        <f>TRUNC(17.3,2)</f>
        <v>17.3</v>
      </c>
      <c r="G769" s="2">
        <f t="shared" si="23"/>
        <v>3.56</v>
      </c>
      <c r="I769" s="17"/>
    </row>
    <row r="770" spans="1:9" ht="18.75">
      <c r="A770" s="17"/>
      <c r="B770" s="188"/>
      <c r="C770" s="64"/>
      <c r="E770" s="2" t="s">
        <v>62</v>
      </c>
      <c r="G770" s="2">
        <f>TRUNC(SUM(G765:G769),2)</f>
        <v>6.09</v>
      </c>
      <c r="I770" s="17"/>
    </row>
    <row r="771" spans="1:9" s="485" customFormat="1" ht="38.25" customHeight="1">
      <c r="A771" s="487" t="s">
        <v>1130</v>
      </c>
      <c r="B771" s="487"/>
      <c r="C771" s="487"/>
      <c r="D771" s="487"/>
      <c r="E771" s="487"/>
      <c r="F771" s="487"/>
      <c r="G771" s="487"/>
      <c r="I771" s="486"/>
    </row>
    <row r="772" spans="1:9" s="485" customFormat="1" ht="38.25" customHeight="1">
      <c r="A772" s="487" t="s">
        <v>1131</v>
      </c>
      <c r="B772" s="487"/>
      <c r="C772" s="487"/>
      <c r="D772" s="487"/>
      <c r="E772" s="487"/>
      <c r="F772" s="487"/>
      <c r="G772" s="487"/>
      <c r="I772" s="486"/>
    </row>
    <row r="773" spans="1:9" s="485" customFormat="1" ht="38.25" customHeight="1">
      <c r="A773" s="487" t="s">
        <v>1138</v>
      </c>
      <c r="B773" s="487"/>
      <c r="C773" s="487"/>
      <c r="D773" s="487"/>
      <c r="E773" s="487"/>
      <c r="F773" s="487"/>
      <c r="G773" s="487"/>
      <c r="I773" s="486"/>
    </row>
    <row r="774" spans="1:9" s="485" customFormat="1" ht="38.25" customHeight="1">
      <c r="A774" s="487" t="s">
        <v>1139</v>
      </c>
      <c r="B774" s="487"/>
      <c r="C774" s="487"/>
      <c r="D774" s="487"/>
      <c r="E774" s="487"/>
      <c r="F774" s="487"/>
      <c r="G774" s="487"/>
      <c r="I774" s="486"/>
    </row>
    <row r="775" spans="1:9" ht="30">
      <c r="A775" s="297" t="s">
        <v>1072</v>
      </c>
      <c r="B775" s="160" t="s">
        <v>846</v>
      </c>
      <c r="C775" s="388" t="s">
        <v>436</v>
      </c>
      <c r="D775" s="300" t="s">
        <v>16</v>
      </c>
      <c r="E775" s="300">
        <v>1</v>
      </c>
      <c r="F775" s="300">
        <f>G781</f>
        <v>119.48</v>
      </c>
      <c r="G775" s="300">
        <f aca="true" t="shared" si="24" ref="G775:G780">TRUNC(E775*F775,2)</f>
        <v>119.48</v>
      </c>
      <c r="I775" s="17"/>
    </row>
    <row r="776" spans="1:7" ht="18.75">
      <c r="A776" s="17"/>
      <c r="B776" s="408" t="s">
        <v>847</v>
      </c>
      <c r="C776" s="406" t="s">
        <v>337</v>
      </c>
      <c r="D776" s="57" t="s">
        <v>30</v>
      </c>
      <c r="E776" s="57">
        <v>8.62</v>
      </c>
      <c r="F776" s="57">
        <f>TRUNC(1.46,2)</f>
        <v>1.46</v>
      </c>
      <c r="G776" s="57">
        <f t="shared" si="24"/>
        <v>12.58</v>
      </c>
    </row>
    <row r="777" spans="1:7" ht="18.75">
      <c r="A777" s="17"/>
      <c r="B777" s="408" t="s">
        <v>848</v>
      </c>
      <c r="C777" s="406" t="s">
        <v>228</v>
      </c>
      <c r="D777" s="57" t="s">
        <v>30</v>
      </c>
      <c r="E777" s="57">
        <v>0.24</v>
      </c>
      <c r="F777" s="57">
        <f>TRUNC(3.05,2)</f>
        <v>3.05</v>
      </c>
      <c r="G777" s="57">
        <f t="shared" si="24"/>
        <v>0.73</v>
      </c>
    </row>
    <row r="778" spans="1:7" ht="18.75">
      <c r="A778" s="17"/>
      <c r="B778" s="408" t="s">
        <v>849</v>
      </c>
      <c r="C778" s="406" t="s">
        <v>336</v>
      </c>
      <c r="D778" s="57" t="s">
        <v>16</v>
      </c>
      <c r="E778" s="57">
        <v>1.1</v>
      </c>
      <c r="F778" s="57">
        <f>TRUNC(69.28,2)</f>
        <v>69.28</v>
      </c>
      <c r="G778" s="57">
        <f t="shared" si="24"/>
        <v>76.2</v>
      </c>
    </row>
    <row r="779" spans="1:7" ht="18.75">
      <c r="A779" s="17"/>
      <c r="B779" s="408" t="s">
        <v>254</v>
      </c>
      <c r="C779" s="406" t="s">
        <v>65</v>
      </c>
      <c r="D779" s="57" t="s">
        <v>61</v>
      </c>
      <c r="E779" s="57">
        <v>0.34</v>
      </c>
      <c r="F779" s="57">
        <f>TRUNC(18.78,2)</f>
        <v>18.78</v>
      </c>
      <c r="G779" s="57">
        <f t="shared" si="24"/>
        <v>6.38</v>
      </c>
    </row>
    <row r="780" spans="1:7" ht="18.75">
      <c r="A780" s="17"/>
      <c r="B780" s="408" t="s">
        <v>654</v>
      </c>
      <c r="C780" s="406" t="s">
        <v>194</v>
      </c>
      <c r="D780" s="57" t="s">
        <v>61</v>
      </c>
      <c r="E780" s="57">
        <v>0.95</v>
      </c>
      <c r="F780" s="57">
        <f>TRUNC(24.84,2)</f>
        <v>24.84</v>
      </c>
      <c r="G780" s="57">
        <f t="shared" si="24"/>
        <v>23.59</v>
      </c>
    </row>
    <row r="781" spans="1:7" ht="18.75">
      <c r="A781" s="17"/>
      <c r="B781" s="408"/>
      <c r="C781" s="406"/>
      <c r="D781" s="57"/>
      <c r="E781" s="57" t="s">
        <v>62</v>
      </c>
      <c r="F781" s="57"/>
      <c r="G781" s="57">
        <f>TRUNC(SUM(G776:G780),2)</f>
        <v>119.48</v>
      </c>
    </row>
    <row r="782" spans="1:3" ht="18.75">
      <c r="A782" s="17"/>
      <c r="B782" s="188"/>
      <c r="C782" s="64"/>
    </row>
    <row r="783" spans="1:7" ht="18.75">
      <c r="A783" s="33"/>
      <c r="B783" s="106"/>
      <c r="C783" s="277" t="s">
        <v>358</v>
      </c>
      <c r="D783" s="15"/>
      <c r="E783" s="15"/>
      <c r="F783" s="15"/>
      <c r="G783" s="15"/>
    </row>
    <row r="784" spans="1:7" ht="30">
      <c r="A784" s="297" t="s">
        <v>1073</v>
      </c>
      <c r="B784" s="160" t="s">
        <v>850</v>
      </c>
      <c r="C784" s="388" t="s">
        <v>359</v>
      </c>
      <c r="D784" s="300" t="s">
        <v>16</v>
      </c>
      <c r="E784" s="300">
        <v>1</v>
      </c>
      <c r="F784" s="300">
        <f>G793</f>
        <v>69.88</v>
      </c>
      <c r="G784" s="300">
        <f aca="true" t="shared" si="25" ref="G784:G792">TRUNC(E784*F784,2)</f>
        <v>69.88</v>
      </c>
    </row>
    <row r="785" spans="1:7" ht="30">
      <c r="A785" s="58"/>
      <c r="B785" s="408" t="s">
        <v>851</v>
      </c>
      <c r="C785" s="406" t="s">
        <v>361</v>
      </c>
      <c r="D785" s="57" t="s">
        <v>16</v>
      </c>
      <c r="E785" s="57">
        <v>1.1224</v>
      </c>
      <c r="F785" s="57">
        <f>TRUNC(15.96,2)</f>
        <v>15.96</v>
      </c>
      <c r="G785" s="57">
        <f t="shared" si="25"/>
        <v>17.91</v>
      </c>
    </row>
    <row r="786" spans="1:7" ht="18.75">
      <c r="A786" s="58"/>
      <c r="B786" s="408" t="s">
        <v>852</v>
      </c>
      <c r="C786" s="406" t="s">
        <v>362</v>
      </c>
      <c r="D786" s="57" t="s">
        <v>19</v>
      </c>
      <c r="E786" s="57">
        <v>0.2</v>
      </c>
      <c r="F786" s="57">
        <f>TRUNC(0.95,2)</f>
        <v>0.95</v>
      </c>
      <c r="G786" s="57">
        <f t="shared" si="25"/>
        <v>0.19</v>
      </c>
    </row>
    <row r="787" spans="1:7" ht="30">
      <c r="A787" s="58"/>
      <c r="B787" s="408" t="s">
        <v>853</v>
      </c>
      <c r="C787" s="406" t="s">
        <v>363</v>
      </c>
      <c r="D787" s="57" t="s">
        <v>19</v>
      </c>
      <c r="E787" s="57">
        <v>0.25</v>
      </c>
      <c r="F787" s="57">
        <f>TRUNC(12.36,2)</f>
        <v>12.36</v>
      </c>
      <c r="G787" s="57">
        <f t="shared" si="25"/>
        <v>3.09</v>
      </c>
    </row>
    <row r="788" spans="1:7" ht="18.75">
      <c r="A788" s="58"/>
      <c r="B788" s="408" t="s">
        <v>854</v>
      </c>
      <c r="C788" s="406" t="s">
        <v>364</v>
      </c>
      <c r="D788" s="57" t="s">
        <v>16</v>
      </c>
      <c r="E788" s="57">
        <v>1.128</v>
      </c>
      <c r="F788" s="57">
        <f>TRUNC(0.77,2)</f>
        <v>0.77</v>
      </c>
      <c r="G788" s="57">
        <f t="shared" si="25"/>
        <v>0.86</v>
      </c>
    </row>
    <row r="789" spans="1:7" ht="18.75">
      <c r="A789" s="58"/>
      <c r="B789" s="408" t="s">
        <v>254</v>
      </c>
      <c r="C789" s="406" t="s">
        <v>65</v>
      </c>
      <c r="D789" s="57" t="s">
        <v>61</v>
      </c>
      <c r="E789" s="57">
        <v>0.4572</v>
      </c>
      <c r="F789" s="57">
        <f>TRUNC(18.78,2)</f>
        <v>18.78</v>
      </c>
      <c r="G789" s="57">
        <f t="shared" si="25"/>
        <v>8.58</v>
      </c>
    </row>
    <row r="790" spans="1:7" ht="18.75">
      <c r="A790" s="58"/>
      <c r="B790" s="408" t="s">
        <v>255</v>
      </c>
      <c r="C790" s="406" t="s">
        <v>131</v>
      </c>
      <c r="D790" s="57" t="s">
        <v>61</v>
      </c>
      <c r="E790" s="57">
        <v>0.2767</v>
      </c>
      <c r="F790" s="57">
        <f>TRUNC(23.61,2)</f>
        <v>23.61</v>
      </c>
      <c r="G790" s="57">
        <f t="shared" si="25"/>
        <v>6.53</v>
      </c>
    </row>
    <row r="791" spans="1:7" ht="18.75">
      <c r="A791" s="58"/>
      <c r="B791" s="408" t="s">
        <v>685</v>
      </c>
      <c r="C791" s="406" t="s">
        <v>365</v>
      </c>
      <c r="D791" s="57" t="s">
        <v>61</v>
      </c>
      <c r="E791" s="57">
        <v>0.1805</v>
      </c>
      <c r="F791" s="57">
        <f>TRUNC(23.48,2)</f>
        <v>23.48</v>
      </c>
      <c r="G791" s="57">
        <f t="shared" si="25"/>
        <v>4.23</v>
      </c>
    </row>
    <row r="792" spans="1:7" ht="30">
      <c r="A792" s="58"/>
      <c r="B792" s="408" t="s">
        <v>777</v>
      </c>
      <c r="C792" s="406" t="s">
        <v>366</v>
      </c>
      <c r="D792" s="57" t="s">
        <v>20</v>
      </c>
      <c r="E792" s="57">
        <v>0.097</v>
      </c>
      <c r="F792" s="57">
        <f>TRUNC(293.8,2)</f>
        <v>293.8</v>
      </c>
      <c r="G792" s="57">
        <f t="shared" si="25"/>
        <v>28.49</v>
      </c>
    </row>
    <row r="793" spans="1:7" ht="18.75">
      <c r="A793" s="58"/>
      <c r="B793" s="408"/>
      <c r="C793" s="406"/>
      <c r="D793" s="57"/>
      <c r="E793" s="57" t="s">
        <v>62</v>
      </c>
      <c r="F793" s="57"/>
      <c r="G793" s="57">
        <f>TRUNC(SUM(G785:G792),2)</f>
        <v>69.88</v>
      </c>
    </row>
    <row r="794" spans="1:3" ht="18.75">
      <c r="A794" s="17"/>
      <c r="B794" s="188"/>
      <c r="C794" s="245"/>
    </row>
    <row r="795" spans="1:7" ht="30">
      <c r="A795" s="297" t="s">
        <v>1074</v>
      </c>
      <c r="B795" s="160" t="s">
        <v>855</v>
      </c>
      <c r="C795" s="388" t="s">
        <v>856</v>
      </c>
      <c r="D795" s="300" t="s">
        <v>19</v>
      </c>
      <c r="E795" s="300">
        <v>1</v>
      </c>
      <c r="F795" s="300">
        <f>G802</f>
        <v>33.37</v>
      </c>
      <c r="G795" s="300">
        <f aca="true" t="shared" si="26" ref="G795:G801">TRUNC(E795*F795,2)</f>
        <v>33.37</v>
      </c>
    </row>
    <row r="796" spans="1:7" ht="30">
      <c r="A796" s="58"/>
      <c r="B796" s="408" t="s">
        <v>243</v>
      </c>
      <c r="C796" s="406" t="s">
        <v>244</v>
      </c>
      <c r="D796" s="57" t="s">
        <v>61</v>
      </c>
      <c r="E796" s="57">
        <v>0.0927</v>
      </c>
      <c r="F796" s="57">
        <f>TRUNC(12.54,2)</f>
        <v>12.54</v>
      </c>
      <c r="G796" s="57">
        <f t="shared" si="26"/>
        <v>1.16</v>
      </c>
    </row>
    <row r="797" spans="1:7" ht="18.75">
      <c r="A797" s="58"/>
      <c r="B797" s="408" t="s">
        <v>857</v>
      </c>
      <c r="C797" s="406" t="s">
        <v>858</v>
      </c>
      <c r="D797" s="57" t="s">
        <v>16</v>
      </c>
      <c r="E797" s="57">
        <v>0.5</v>
      </c>
      <c r="F797" s="57">
        <f>TRUNC(47.5933,2)</f>
        <v>47.59</v>
      </c>
      <c r="G797" s="57">
        <f t="shared" si="26"/>
        <v>23.79</v>
      </c>
    </row>
    <row r="798" spans="1:7" ht="18.75">
      <c r="A798" s="58"/>
      <c r="B798" s="408" t="s">
        <v>859</v>
      </c>
      <c r="C798" s="406" t="s">
        <v>860</v>
      </c>
      <c r="D798" s="57" t="s">
        <v>20</v>
      </c>
      <c r="E798" s="57">
        <v>0.025</v>
      </c>
      <c r="F798" s="57">
        <f>TRUNC(57.1034,2)</f>
        <v>57.1</v>
      </c>
      <c r="G798" s="57">
        <f t="shared" si="26"/>
        <v>1.42</v>
      </c>
    </row>
    <row r="799" spans="1:7" ht="18.75">
      <c r="A799" s="58"/>
      <c r="B799" s="408" t="s">
        <v>861</v>
      </c>
      <c r="C799" s="406" t="s">
        <v>862</v>
      </c>
      <c r="D799" s="57" t="s">
        <v>20</v>
      </c>
      <c r="E799" s="57">
        <v>0.025</v>
      </c>
      <c r="F799" s="57">
        <f>TRUNC(63.5356,2)</f>
        <v>63.53</v>
      </c>
      <c r="G799" s="57">
        <f t="shared" si="26"/>
        <v>1.58</v>
      </c>
    </row>
    <row r="800" spans="1:7" ht="18.75">
      <c r="A800" s="58"/>
      <c r="B800" s="408" t="s">
        <v>863</v>
      </c>
      <c r="C800" s="406" t="s">
        <v>864</v>
      </c>
      <c r="D800" s="57" t="s">
        <v>20</v>
      </c>
      <c r="E800" s="57">
        <v>0.025</v>
      </c>
      <c r="F800" s="57">
        <f>TRUNC(209.5658,2)</f>
        <v>209.56</v>
      </c>
      <c r="G800" s="57">
        <f t="shared" si="26"/>
        <v>5.23</v>
      </c>
    </row>
    <row r="801" spans="1:7" ht="18.75">
      <c r="A801" s="58"/>
      <c r="B801" s="408" t="s">
        <v>865</v>
      </c>
      <c r="C801" s="406" t="s">
        <v>866</v>
      </c>
      <c r="D801" s="57" t="s">
        <v>20</v>
      </c>
      <c r="E801" s="57">
        <v>0.0008</v>
      </c>
      <c r="F801" s="57">
        <f>TRUNC(248.3269,2)</f>
        <v>248.32</v>
      </c>
      <c r="G801" s="57">
        <f t="shared" si="26"/>
        <v>0.19</v>
      </c>
    </row>
    <row r="802" spans="1:7" ht="18.75">
      <c r="A802" s="58"/>
      <c r="B802" s="408"/>
      <c r="C802" s="406"/>
      <c r="D802" s="57"/>
      <c r="E802" s="57" t="s">
        <v>62</v>
      </c>
      <c r="F802" s="57"/>
      <c r="G802" s="57">
        <f>TRUNC(SUM(G796:G801),2)</f>
        <v>33.37</v>
      </c>
    </row>
    <row r="803" spans="1:3" ht="18.75">
      <c r="A803" s="17"/>
      <c r="B803" s="188"/>
      <c r="C803" s="245"/>
    </row>
    <row r="804" spans="1:7" ht="45">
      <c r="A804" s="297" t="s">
        <v>1075</v>
      </c>
      <c r="B804" s="160" t="s">
        <v>870</v>
      </c>
      <c r="C804" s="388" t="s">
        <v>44</v>
      </c>
      <c r="D804" s="300" t="s">
        <v>16</v>
      </c>
      <c r="E804" s="300">
        <v>1</v>
      </c>
      <c r="F804" s="300">
        <f>G812</f>
        <v>112.05</v>
      </c>
      <c r="G804" s="300">
        <f aca="true" t="shared" si="27" ref="G804:G811">TRUNC(E804*F804,2)</f>
        <v>112.05</v>
      </c>
    </row>
    <row r="805" spans="1:7" ht="30">
      <c r="A805" s="17"/>
      <c r="B805" s="408" t="s">
        <v>368</v>
      </c>
      <c r="C805" s="406" t="s">
        <v>369</v>
      </c>
      <c r="D805" s="57" t="s">
        <v>16</v>
      </c>
      <c r="E805" s="57">
        <v>1.05</v>
      </c>
      <c r="F805" s="57">
        <f>TRUNC(58.8,2)</f>
        <v>58.8</v>
      </c>
      <c r="G805" s="57">
        <f t="shared" si="27"/>
        <v>61.74</v>
      </c>
    </row>
    <row r="806" spans="1:7" ht="18.75">
      <c r="A806" s="17"/>
      <c r="B806" s="408" t="s">
        <v>370</v>
      </c>
      <c r="C806" s="406" t="s">
        <v>371</v>
      </c>
      <c r="D806" s="57" t="s">
        <v>30</v>
      </c>
      <c r="E806" s="57">
        <v>0.1</v>
      </c>
      <c r="F806" s="57">
        <f>TRUNC(32,2)</f>
        <v>32</v>
      </c>
      <c r="G806" s="57">
        <f t="shared" si="27"/>
        <v>3.2</v>
      </c>
    </row>
    <row r="807" spans="1:7" ht="18.75">
      <c r="A807" s="17"/>
      <c r="B807" s="408" t="s">
        <v>172</v>
      </c>
      <c r="C807" s="406" t="s">
        <v>173</v>
      </c>
      <c r="D807" s="57" t="s">
        <v>30</v>
      </c>
      <c r="E807" s="57">
        <v>0.1</v>
      </c>
      <c r="F807" s="57">
        <f>TRUNC(1.84,2)</f>
        <v>1.84</v>
      </c>
      <c r="G807" s="57">
        <f t="shared" si="27"/>
        <v>0.18</v>
      </c>
    </row>
    <row r="808" spans="1:7" ht="30">
      <c r="A808" s="17"/>
      <c r="B808" s="408" t="s">
        <v>243</v>
      </c>
      <c r="C808" s="406" t="s">
        <v>244</v>
      </c>
      <c r="D808" s="57" t="s">
        <v>61</v>
      </c>
      <c r="E808" s="57">
        <v>1.1330000000000002</v>
      </c>
      <c r="F808" s="57">
        <f>TRUNC(12.54,2)</f>
        <v>12.54</v>
      </c>
      <c r="G808" s="57">
        <f t="shared" si="27"/>
        <v>14.2</v>
      </c>
    </row>
    <row r="809" spans="1:7" ht="18.75">
      <c r="A809" s="17"/>
      <c r="B809" s="408" t="s">
        <v>794</v>
      </c>
      <c r="C809" s="406" t="s">
        <v>795</v>
      </c>
      <c r="D809" s="57" t="s">
        <v>61</v>
      </c>
      <c r="E809" s="57">
        <v>1.1330000000000002</v>
      </c>
      <c r="F809" s="57">
        <f>TRUNC(18.63,2)</f>
        <v>18.63</v>
      </c>
      <c r="G809" s="57">
        <f t="shared" si="27"/>
        <v>21.1</v>
      </c>
    </row>
    <row r="810" spans="1:7" ht="18.75">
      <c r="A810" s="17"/>
      <c r="B810" s="408" t="s">
        <v>868</v>
      </c>
      <c r="C810" s="406" t="s">
        <v>869</v>
      </c>
      <c r="D810" s="57" t="s">
        <v>20</v>
      </c>
      <c r="E810" s="57">
        <v>0.035</v>
      </c>
      <c r="F810" s="57">
        <f>TRUNC(301.0282,2)</f>
        <v>301.02</v>
      </c>
      <c r="G810" s="57">
        <f t="shared" si="27"/>
        <v>10.53</v>
      </c>
    </row>
    <row r="811" spans="1:7" ht="18.75">
      <c r="A811" s="17"/>
      <c r="B811" s="408" t="s">
        <v>826</v>
      </c>
      <c r="C811" s="406" t="s">
        <v>827</v>
      </c>
      <c r="D811" s="57" t="s">
        <v>20</v>
      </c>
      <c r="E811" s="57">
        <v>0.002</v>
      </c>
      <c r="F811" s="57">
        <f>TRUNC(553.7458,2)</f>
        <v>553.74</v>
      </c>
      <c r="G811" s="57">
        <f t="shared" si="27"/>
        <v>1.1</v>
      </c>
    </row>
    <row r="812" spans="1:7" ht="18.75">
      <c r="A812" s="17"/>
      <c r="B812" s="408"/>
      <c r="C812" s="406"/>
      <c r="D812" s="57"/>
      <c r="E812" s="57" t="s">
        <v>62</v>
      </c>
      <c r="F812" s="57"/>
      <c r="G812" s="57">
        <f>TRUNC(SUM(G805:G811),2)</f>
        <v>112.05</v>
      </c>
    </row>
    <row r="813" spans="1:7" ht="45">
      <c r="A813" s="297" t="s">
        <v>1076</v>
      </c>
      <c r="B813" s="160" t="s">
        <v>867</v>
      </c>
      <c r="C813" s="388" t="s">
        <v>372</v>
      </c>
      <c r="D813" s="300" t="s">
        <v>16</v>
      </c>
      <c r="E813" s="300">
        <v>1</v>
      </c>
      <c r="F813" s="300">
        <f>G821</f>
        <v>112.05</v>
      </c>
      <c r="G813" s="300">
        <f aca="true" t="shared" si="28" ref="G813:G820">TRUNC(E813*F813,2)</f>
        <v>112.05</v>
      </c>
    </row>
    <row r="814" spans="1:7" ht="30">
      <c r="A814" s="58"/>
      <c r="B814" s="408" t="s">
        <v>373</v>
      </c>
      <c r="C814" s="406" t="s">
        <v>374</v>
      </c>
      <c r="D814" s="57" t="s">
        <v>16</v>
      </c>
      <c r="E814" s="57">
        <v>1.05</v>
      </c>
      <c r="F814" s="57">
        <f>TRUNC(58.8,2)</f>
        <v>58.8</v>
      </c>
      <c r="G814" s="57">
        <f t="shared" si="28"/>
        <v>61.74</v>
      </c>
    </row>
    <row r="815" spans="1:7" ht="18.75">
      <c r="A815" s="58"/>
      <c r="B815" s="408" t="s">
        <v>370</v>
      </c>
      <c r="C815" s="406" t="s">
        <v>371</v>
      </c>
      <c r="D815" s="57" t="s">
        <v>30</v>
      </c>
      <c r="E815" s="57">
        <v>0.1</v>
      </c>
      <c r="F815" s="57">
        <f>TRUNC(32,2)</f>
        <v>32</v>
      </c>
      <c r="G815" s="57">
        <f t="shared" si="28"/>
        <v>3.2</v>
      </c>
    </row>
    <row r="816" spans="1:7" ht="18.75">
      <c r="A816" s="58"/>
      <c r="B816" s="408" t="s">
        <v>172</v>
      </c>
      <c r="C816" s="406" t="s">
        <v>173</v>
      </c>
      <c r="D816" s="57" t="s">
        <v>30</v>
      </c>
      <c r="E816" s="57">
        <v>0.1</v>
      </c>
      <c r="F816" s="57">
        <f>TRUNC(1.84,2)</f>
        <v>1.84</v>
      </c>
      <c r="G816" s="57">
        <f t="shared" si="28"/>
        <v>0.18</v>
      </c>
    </row>
    <row r="817" spans="1:7" ht="30">
      <c r="A817" s="58"/>
      <c r="B817" s="408" t="s">
        <v>243</v>
      </c>
      <c r="C817" s="406" t="s">
        <v>244</v>
      </c>
      <c r="D817" s="57" t="s">
        <v>61</v>
      </c>
      <c r="E817" s="57">
        <v>1.1330000000000002</v>
      </c>
      <c r="F817" s="57">
        <f>TRUNC(12.54,2)</f>
        <v>12.54</v>
      </c>
      <c r="G817" s="57">
        <f t="shared" si="28"/>
        <v>14.2</v>
      </c>
    </row>
    <row r="818" spans="1:7" ht="18.75">
      <c r="A818" s="58"/>
      <c r="B818" s="408" t="s">
        <v>794</v>
      </c>
      <c r="C818" s="406" t="s">
        <v>795</v>
      </c>
      <c r="D818" s="57" t="s">
        <v>61</v>
      </c>
      <c r="E818" s="57">
        <v>1.1330000000000002</v>
      </c>
      <c r="F818" s="57">
        <f>TRUNC(18.63,2)</f>
        <v>18.63</v>
      </c>
      <c r="G818" s="57">
        <f t="shared" si="28"/>
        <v>21.1</v>
      </c>
    </row>
    <row r="819" spans="1:7" ht="18.75">
      <c r="A819" s="58"/>
      <c r="B819" s="408" t="s">
        <v>868</v>
      </c>
      <c r="C819" s="406" t="s">
        <v>869</v>
      </c>
      <c r="D819" s="57" t="s">
        <v>20</v>
      </c>
      <c r="E819" s="57">
        <v>0.035</v>
      </c>
      <c r="F819" s="57">
        <f>TRUNC(301.0282,2)</f>
        <v>301.02</v>
      </c>
      <c r="G819" s="57">
        <f t="shared" si="28"/>
        <v>10.53</v>
      </c>
    </row>
    <row r="820" spans="1:7" ht="18.75">
      <c r="A820" s="58"/>
      <c r="B820" s="408" t="s">
        <v>826</v>
      </c>
      <c r="C820" s="406" t="s">
        <v>827</v>
      </c>
      <c r="D820" s="57" t="s">
        <v>20</v>
      </c>
      <c r="E820" s="57">
        <v>0.002</v>
      </c>
      <c r="F820" s="57">
        <f>TRUNC(553.7458,2)</f>
        <v>553.74</v>
      </c>
      <c r="G820" s="57">
        <f t="shared" si="28"/>
        <v>1.1</v>
      </c>
    </row>
    <row r="821" spans="1:7" ht="18.75">
      <c r="A821" s="58"/>
      <c r="B821" s="408"/>
      <c r="C821" s="406"/>
      <c r="D821" s="57"/>
      <c r="E821" s="57" t="s">
        <v>62</v>
      </c>
      <c r="F821" s="57"/>
      <c r="G821" s="57">
        <f>TRUNC(SUM(G814:G820),2)</f>
        <v>112.05</v>
      </c>
    </row>
    <row r="822" spans="1:3" ht="18.75">
      <c r="A822" s="17"/>
      <c r="B822" s="188"/>
      <c r="C822" s="245"/>
    </row>
    <row r="823" spans="1:7" ht="18.75">
      <c r="A823" s="58"/>
      <c r="B823" s="122"/>
      <c r="C823" s="245"/>
      <c r="D823" s="10"/>
      <c r="E823" s="10"/>
      <c r="F823" s="10"/>
      <c r="G823" s="10"/>
    </row>
    <row r="824" spans="1:3" ht="18.75">
      <c r="A824" s="58"/>
      <c r="B824" s="188"/>
      <c r="C824" s="245"/>
    </row>
    <row r="825" spans="1:7" ht="30">
      <c r="A825" s="297" t="s">
        <v>1077</v>
      </c>
      <c r="B825" s="160" t="s">
        <v>871</v>
      </c>
      <c r="C825" s="388" t="s">
        <v>488</v>
      </c>
      <c r="D825" s="300" t="s">
        <v>20</v>
      </c>
      <c r="E825" s="300">
        <v>1</v>
      </c>
      <c r="F825" s="300">
        <f>G833</f>
        <v>301.97</v>
      </c>
      <c r="G825" s="300">
        <f aca="true" t="shared" si="29" ref="G825:G832">TRUNC(E825*F825,2)</f>
        <v>301.97</v>
      </c>
    </row>
    <row r="826" spans="1:7" ht="18.75">
      <c r="A826" s="17"/>
      <c r="B826" s="430" t="s">
        <v>778</v>
      </c>
      <c r="C826" s="406" t="s">
        <v>489</v>
      </c>
      <c r="D826" s="66" t="s">
        <v>20</v>
      </c>
      <c r="E826" s="66">
        <v>0.593</v>
      </c>
      <c r="F826" s="66">
        <f>TRUNC(60,2)</f>
        <v>60</v>
      </c>
      <c r="G826" s="340">
        <f t="shared" si="29"/>
        <v>35.58</v>
      </c>
    </row>
    <row r="827" spans="1:7" ht="18.75">
      <c r="A827" s="17"/>
      <c r="B827" s="430" t="s">
        <v>779</v>
      </c>
      <c r="C827" s="406" t="s">
        <v>490</v>
      </c>
      <c r="D827" s="66" t="s">
        <v>30</v>
      </c>
      <c r="E827" s="66">
        <v>362.66</v>
      </c>
      <c r="F827" s="66">
        <f>TRUNC(0.42,2)</f>
        <v>0.42</v>
      </c>
      <c r="G827" s="340">
        <f t="shared" si="29"/>
        <v>152.31</v>
      </c>
    </row>
    <row r="828" spans="1:7" ht="18.75">
      <c r="A828" s="17"/>
      <c r="B828" s="430" t="s">
        <v>780</v>
      </c>
      <c r="C828" s="406" t="s">
        <v>491</v>
      </c>
      <c r="D828" s="66" t="s">
        <v>20</v>
      </c>
      <c r="E828" s="66">
        <v>0.751</v>
      </c>
      <c r="F828" s="66">
        <f>TRUNC(54.64,2)</f>
        <v>54.64</v>
      </c>
      <c r="G828" s="340">
        <f t="shared" si="29"/>
        <v>41.03</v>
      </c>
    </row>
    <row r="829" spans="1:7" ht="18.75">
      <c r="A829" s="17"/>
      <c r="B829" s="430" t="s">
        <v>781</v>
      </c>
      <c r="C829" s="406" t="s">
        <v>492</v>
      </c>
      <c r="D829" s="66" t="s">
        <v>61</v>
      </c>
      <c r="E829" s="66">
        <v>1.46</v>
      </c>
      <c r="F829" s="66">
        <f>TRUNC(19.63,2)</f>
        <v>19.63</v>
      </c>
      <c r="G829" s="340">
        <f t="shared" si="29"/>
        <v>28.65</v>
      </c>
    </row>
    <row r="830" spans="1:7" ht="18.75">
      <c r="A830" s="17"/>
      <c r="B830" s="430" t="s">
        <v>254</v>
      </c>
      <c r="C830" s="406" t="s">
        <v>65</v>
      </c>
      <c r="D830" s="66" t="s">
        <v>61</v>
      </c>
      <c r="E830" s="66">
        <v>2.31</v>
      </c>
      <c r="F830" s="66">
        <f>TRUNC(18.78,2)</f>
        <v>18.78</v>
      </c>
      <c r="G830" s="340">
        <f t="shared" si="29"/>
        <v>43.38</v>
      </c>
    </row>
    <row r="831" spans="1:7" ht="30">
      <c r="A831" s="17"/>
      <c r="B831" s="430" t="s">
        <v>782</v>
      </c>
      <c r="C831" s="406" t="s">
        <v>493</v>
      </c>
      <c r="D831" s="66" t="s">
        <v>67</v>
      </c>
      <c r="E831" s="66">
        <v>0.71</v>
      </c>
      <c r="F831" s="66">
        <f>TRUNC(0.27,2)</f>
        <v>0.27</v>
      </c>
      <c r="G831" s="340">
        <f t="shared" si="29"/>
        <v>0.19</v>
      </c>
    </row>
    <row r="832" spans="1:7" ht="30">
      <c r="A832" s="17"/>
      <c r="B832" s="430" t="s">
        <v>783</v>
      </c>
      <c r="C832" s="406" t="s">
        <v>494</v>
      </c>
      <c r="D832" s="66" t="s">
        <v>68</v>
      </c>
      <c r="E832" s="66">
        <v>0.75</v>
      </c>
      <c r="F832" s="66">
        <f>TRUNC(1.11,2)</f>
        <v>1.11</v>
      </c>
      <c r="G832" s="340">
        <f t="shared" si="29"/>
        <v>0.83</v>
      </c>
    </row>
    <row r="833" spans="1:7" ht="18.75">
      <c r="A833" s="17"/>
      <c r="B833" s="430"/>
      <c r="C833" s="406"/>
      <c r="D833" s="66"/>
      <c r="E833" s="66" t="s">
        <v>62</v>
      </c>
      <c r="F833" s="66"/>
      <c r="G833" s="340">
        <f>TRUNC(SUM(G826:G832),2)</f>
        <v>301.97</v>
      </c>
    </row>
    <row r="834" spans="1:7" ht="18.75">
      <c r="A834" s="17"/>
      <c r="B834" s="430"/>
      <c r="C834" s="249"/>
      <c r="D834" s="66"/>
      <c r="E834" s="66"/>
      <c r="F834" s="66"/>
      <c r="G834" s="340"/>
    </row>
    <row r="835" spans="1:7" ht="18.75">
      <c r="A835" s="17"/>
      <c r="B835" s="430" t="s">
        <v>784</v>
      </c>
      <c r="C835" s="406" t="s">
        <v>495</v>
      </c>
      <c r="D835" s="66" t="s">
        <v>20</v>
      </c>
      <c r="E835" s="66">
        <v>1</v>
      </c>
      <c r="F835" s="66">
        <f>TRUNC(123.8235,2)</f>
        <v>123.82</v>
      </c>
      <c r="G835" s="340">
        <f>TRUNC(E835*F835,2)</f>
        <v>123.82</v>
      </c>
    </row>
    <row r="836" spans="1:7" ht="18.75">
      <c r="A836" s="17"/>
      <c r="B836" s="430" t="s">
        <v>254</v>
      </c>
      <c r="C836" s="406" t="s">
        <v>65</v>
      </c>
      <c r="D836" s="66" t="s">
        <v>61</v>
      </c>
      <c r="E836" s="66">
        <v>4.5</v>
      </c>
      <c r="F836" s="66">
        <f>TRUNC(18.78,2)</f>
        <v>18.78</v>
      </c>
      <c r="G836" s="340">
        <f>TRUNC(E836*F836,2)</f>
        <v>84.51</v>
      </c>
    </row>
    <row r="837" spans="1:7" ht="18.75">
      <c r="A837" s="17"/>
      <c r="B837" s="430" t="s">
        <v>255</v>
      </c>
      <c r="C837" s="406" t="s">
        <v>131</v>
      </c>
      <c r="D837" s="66" t="s">
        <v>61</v>
      </c>
      <c r="E837" s="66">
        <v>1.65</v>
      </c>
      <c r="F837" s="66">
        <f>TRUNC(23.61,2)</f>
        <v>23.61</v>
      </c>
      <c r="G837" s="340">
        <f>TRUNC(E837*F837,2)</f>
        <v>38.95</v>
      </c>
    </row>
    <row r="838" spans="1:7" ht="30">
      <c r="A838" s="17"/>
      <c r="B838" s="430" t="s">
        <v>678</v>
      </c>
      <c r="C838" s="406" t="s">
        <v>408</v>
      </c>
      <c r="D838" s="66" t="s">
        <v>68</v>
      </c>
      <c r="E838" s="66">
        <v>0.3</v>
      </c>
      <c r="F838" s="66">
        <f>TRUNC(1.19,2)</f>
        <v>1.19</v>
      </c>
      <c r="G838" s="340">
        <f>TRUNC(E838*F838,2)</f>
        <v>0.35</v>
      </c>
    </row>
    <row r="839" spans="1:7" ht="18.75">
      <c r="A839" s="17"/>
      <c r="B839" s="430"/>
      <c r="C839" s="406"/>
      <c r="D839" s="66"/>
      <c r="E839" s="66" t="s">
        <v>62</v>
      </c>
      <c r="F839" s="66"/>
      <c r="G839" s="340">
        <f>TRUNC(SUM(G836:G838),2)</f>
        <v>123.81</v>
      </c>
    </row>
    <row r="840" spans="1:7" ht="18.75">
      <c r="A840" s="17"/>
      <c r="B840" s="464"/>
      <c r="C840" s="462" t="s">
        <v>496</v>
      </c>
      <c r="D840" s="442"/>
      <c r="E840" s="442"/>
      <c r="F840" s="463">
        <f>G833+G839</f>
        <v>425.78000000000003</v>
      </c>
      <c r="G840" s="444" t="s">
        <v>497</v>
      </c>
    </row>
    <row r="841" spans="1:7" ht="30">
      <c r="A841" s="33" t="s">
        <v>1078</v>
      </c>
      <c r="B841" s="160" t="s">
        <v>851</v>
      </c>
      <c r="C841" s="388" t="s">
        <v>361</v>
      </c>
      <c r="D841" s="300" t="s">
        <v>16</v>
      </c>
      <c r="E841" s="300">
        <v>1.1224</v>
      </c>
      <c r="F841" s="300">
        <v>15.96</v>
      </c>
      <c r="G841" s="300">
        <f>TRUNC(E841*F841,2)</f>
        <v>17.91</v>
      </c>
    </row>
    <row r="842" spans="1:3" ht="18.75">
      <c r="A842" s="17"/>
      <c r="B842" s="188"/>
      <c r="C842" s="64"/>
    </row>
    <row r="843" spans="1:9" s="3" customFormat="1" ht="75">
      <c r="A843" s="471" t="s">
        <v>1079</v>
      </c>
      <c r="B843" s="302" t="s">
        <v>695</v>
      </c>
      <c r="C843" s="306" t="s">
        <v>630</v>
      </c>
      <c r="D843" s="303" t="s">
        <v>20</v>
      </c>
      <c r="E843" s="313">
        <v>1</v>
      </c>
      <c r="F843" s="305">
        <f>TRUNC(1695.617888,2)</f>
        <v>1695.61</v>
      </c>
      <c r="G843" s="305">
        <f aca="true" t="shared" si="30" ref="G843:G858">TRUNC(E843*F843,2)</f>
        <v>1695.61</v>
      </c>
      <c r="I843" s="2"/>
    </row>
    <row r="844" spans="1:9" s="3" customFormat="1" ht="18.75">
      <c r="A844" s="19"/>
      <c r="B844" s="270" t="s">
        <v>413</v>
      </c>
      <c r="C844" s="247" t="s">
        <v>414</v>
      </c>
      <c r="D844" s="20" t="s">
        <v>30</v>
      </c>
      <c r="E844" s="56">
        <v>12</v>
      </c>
      <c r="F844" s="22">
        <f>TRUNC(4.18,2)</f>
        <v>4.18</v>
      </c>
      <c r="G844" s="22">
        <f t="shared" si="30"/>
        <v>50.16</v>
      </c>
      <c r="I844" s="2"/>
    </row>
    <row r="845" spans="1:9" s="3" customFormat="1" ht="18.75">
      <c r="A845" s="19"/>
      <c r="B845" s="270" t="s">
        <v>415</v>
      </c>
      <c r="C845" s="247" t="s">
        <v>416</v>
      </c>
      <c r="D845" s="20" t="s">
        <v>30</v>
      </c>
      <c r="E845" s="56">
        <v>10</v>
      </c>
      <c r="F845" s="22">
        <f>TRUNC(4.24,2)</f>
        <v>4.24</v>
      </c>
      <c r="G845" s="22">
        <f t="shared" si="30"/>
        <v>42.4</v>
      </c>
      <c r="I845" s="2"/>
    </row>
    <row r="846" spans="1:9" s="3" customFormat="1" ht="18.75">
      <c r="A846" s="19"/>
      <c r="B846" s="270" t="s">
        <v>417</v>
      </c>
      <c r="C846" s="247" t="s">
        <v>631</v>
      </c>
      <c r="D846" s="20" t="s">
        <v>20</v>
      </c>
      <c r="E846" s="56">
        <v>1</v>
      </c>
      <c r="F846" s="22">
        <f>TRUNC(280,2)</f>
        <v>280</v>
      </c>
      <c r="G846" s="22">
        <f t="shared" si="30"/>
        <v>280</v>
      </c>
      <c r="I846" s="2"/>
    </row>
    <row r="847" spans="1:9" s="3" customFormat="1" ht="18.75">
      <c r="A847" s="19"/>
      <c r="B847" s="270" t="s">
        <v>418</v>
      </c>
      <c r="C847" s="247" t="s">
        <v>419</v>
      </c>
      <c r="D847" s="20" t="s">
        <v>30</v>
      </c>
      <c r="E847" s="56">
        <v>10</v>
      </c>
      <c r="F847" s="22">
        <f>TRUNC(3.4,2)</f>
        <v>3.4</v>
      </c>
      <c r="G847" s="22">
        <f t="shared" si="30"/>
        <v>34</v>
      </c>
      <c r="I847" s="2"/>
    </row>
    <row r="848" spans="1:9" s="3" customFormat="1" ht="18.75">
      <c r="A848" s="19"/>
      <c r="B848" s="270" t="s">
        <v>420</v>
      </c>
      <c r="C848" s="247" t="s">
        <v>421</v>
      </c>
      <c r="D848" s="20" t="s">
        <v>30</v>
      </c>
      <c r="E848" s="56">
        <v>4</v>
      </c>
      <c r="F848" s="22">
        <f>TRUNC(3.44,2)</f>
        <v>3.44</v>
      </c>
      <c r="G848" s="22">
        <f t="shared" si="30"/>
        <v>13.76</v>
      </c>
      <c r="I848" s="2"/>
    </row>
    <row r="849" spans="1:9" s="3" customFormat="1" ht="18.75">
      <c r="A849" s="19"/>
      <c r="B849" s="270" t="s">
        <v>422</v>
      </c>
      <c r="C849" s="247" t="s">
        <v>423</v>
      </c>
      <c r="D849" s="20" t="s">
        <v>30</v>
      </c>
      <c r="E849" s="56">
        <v>12</v>
      </c>
      <c r="F849" s="22">
        <f>TRUNC(3.92,2)</f>
        <v>3.92</v>
      </c>
      <c r="G849" s="22">
        <f t="shared" si="30"/>
        <v>47.04</v>
      </c>
      <c r="I849" s="2"/>
    </row>
    <row r="850" spans="1:9" s="3" customFormat="1" ht="18.75">
      <c r="A850" s="19"/>
      <c r="B850" s="270" t="s">
        <v>424</v>
      </c>
      <c r="C850" s="247" t="s">
        <v>425</v>
      </c>
      <c r="D850" s="20" t="s">
        <v>30</v>
      </c>
      <c r="E850" s="56">
        <v>12</v>
      </c>
      <c r="F850" s="22">
        <f>TRUNC(4.01,2)</f>
        <v>4.01</v>
      </c>
      <c r="G850" s="22">
        <f t="shared" si="30"/>
        <v>48.12</v>
      </c>
      <c r="I850" s="2"/>
    </row>
    <row r="851" spans="1:9" s="3" customFormat="1" ht="18.75">
      <c r="A851" s="19"/>
      <c r="B851" s="270" t="s">
        <v>426</v>
      </c>
      <c r="C851" s="247" t="s">
        <v>427</v>
      </c>
      <c r="D851" s="20" t="s">
        <v>30</v>
      </c>
      <c r="E851" s="56">
        <v>1.8</v>
      </c>
      <c r="F851" s="22">
        <f>TRUNC(5.4325,2)</f>
        <v>5.43</v>
      </c>
      <c r="G851" s="22">
        <f t="shared" si="30"/>
        <v>9.77</v>
      </c>
      <c r="I851" s="2"/>
    </row>
    <row r="852" spans="1:9" s="3" customFormat="1" ht="30">
      <c r="A852" s="19"/>
      <c r="B852" s="270" t="s">
        <v>243</v>
      </c>
      <c r="C852" s="247" t="s">
        <v>244</v>
      </c>
      <c r="D852" s="20" t="s">
        <v>61</v>
      </c>
      <c r="E852" s="56">
        <v>9.4245</v>
      </c>
      <c r="F852" s="22">
        <f>TRUNC(12.54,2)</f>
        <v>12.54</v>
      </c>
      <c r="G852" s="22">
        <f t="shared" si="30"/>
        <v>118.18</v>
      </c>
      <c r="I852" s="2"/>
    </row>
    <row r="853" spans="1:9" s="3" customFormat="1" ht="18.75">
      <c r="A853" s="19"/>
      <c r="B853" s="270" t="s">
        <v>251</v>
      </c>
      <c r="C853" s="247" t="s">
        <v>252</v>
      </c>
      <c r="D853" s="20" t="s">
        <v>61</v>
      </c>
      <c r="E853" s="56">
        <v>0.515</v>
      </c>
      <c r="F853" s="22">
        <f>TRUNC(17.3,2)</f>
        <v>17.3</v>
      </c>
      <c r="G853" s="22">
        <f t="shared" si="30"/>
        <v>8.9</v>
      </c>
      <c r="I853" s="2"/>
    </row>
    <row r="854" spans="1:9" s="3" customFormat="1" ht="30">
      <c r="A854" s="19"/>
      <c r="B854" s="270" t="s">
        <v>696</v>
      </c>
      <c r="C854" s="247" t="s">
        <v>697</v>
      </c>
      <c r="D854" s="20" t="s">
        <v>61</v>
      </c>
      <c r="E854" s="56">
        <v>0.515</v>
      </c>
      <c r="F854" s="22">
        <f>TRUNC(17.3,2)</f>
        <v>17.3</v>
      </c>
      <c r="G854" s="22">
        <f t="shared" si="30"/>
        <v>8.9</v>
      </c>
      <c r="I854" s="2"/>
    </row>
    <row r="855" spans="1:9" s="3" customFormat="1" ht="30">
      <c r="A855" s="19"/>
      <c r="B855" s="270" t="s">
        <v>698</v>
      </c>
      <c r="C855" s="247" t="s">
        <v>699</v>
      </c>
      <c r="D855" s="20" t="s">
        <v>61</v>
      </c>
      <c r="E855" s="56">
        <v>6.3345</v>
      </c>
      <c r="F855" s="22">
        <f>TRUNC(17.3,2)</f>
        <v>17.3</v>
      </c>
      <c r="G855" s="22">
        <f t="shared" si="30"/>
        <v>109.58</v>
      </c>
      <c r="I855" s="2"/>
    </row>
    <row r="856" spans="1:9" s="3" customFormat="1" ht="18.75">
      <c r="A856" s="19"/>
      <c r="B856" s="270" t="s">
        <v>700</v>
      </c>
      <c r="C856" s="247" t="s">
        <v>701</v>
      </c>
      <c r="D856" s="20" t="s">
        <v>16</v>
      </c>
      <c r="E856" s="56">
        <v>14</v>
      </c>
      <c r="F856" s="22">
        <f>TRUNC(66.011,2)</f>
        <v>66.01</v>
      </c>
      <c r="G856" s="22">
        <f t="shared" si="30"/>
        <v>924.14</v>
      </c>
      <c r="I856" s="2"/>
    </row>
    <row r="857" spans="1:9" s="3" customFormat="1" ht="18.75">
      <c r="A857" s="19"/>
      <c r="B857" s="270" t="s">
        <v>702</v>
      </c>
      <c r="C857" s="247" t="s">
        <v>703</v>
      </c>
      <c r="D857" s="20" t="s">
        <v>61</v>
      </c>
      <c r="E857" s="56">
        <v>0.805</v>
      </c>
      <c r="F857" s="22">
        <f>TRUNC(0.2625,2)</f>
        <v>0.26</v>
      </c>
      <c r="G857" s="22">
        <f t="shared" si="30"/>
        <v>0.2</v>
      </c>
      <c r="I857" s="2"/>
    </row>
    <row r="858" spans="1:9" s="3" customFormat="1" ht="18.75">
      <c r="A858" s="19"/>
      <c r="B858" s="270" t="s">
        <v>704</v>
      </c>
      <c r="C858" s="247" t="s">
        <v>705</v>
      </c>
      <c r="D858" s="20" t="s">
        <v>61</v>
      </c>
      <c r="E858" s="56">
        <v>0.345</v>
      </c>
      <c r="F858" s="22">
        <f>TRUNC(1.1739,2)</f>
        <v>1.17</v>
      </c>
      <c r="G858" s="22">
        <f t="shared" si="30"/>
        <v>0.4</v>
      </c>
      <c r="I858" s="2"/>
    </row>
    <row r="859" spans="1:9" s="3" customFormat="1" ht="18.75">
      <c r="A859" s="19"/>
      <c r="B859" s="270"/>
      <c r="C859" s="247"/>
      <c r="D859" s="20"/>
      <c r="E859" s="56" t="s">
        <v>62</v>
      </c>
      <c r="F859" s="22"/>
      <c r="G859" s="22">
        <f>TRUNC(SUM(G844:G858),2)</f>
        <v>1695.55</v>
      </c>
      <c r="I859" s="2"/>
    </row>
    <row r="860" spans="1:9" s="3" customFormat="1" ht="18.75">
      <c r="A860" s="19"/>
      <c r="B860" s="270"/>
      <c r="C860" s="247"/>
      <c r="D860" s="20"/>
      <c r="E860" s="21"/>
      <c r="F860" s="22"/>
      <c r="G860" s="22"/>
      <c r="I860" s="2"/>
    </row>
    <row r="861" spans="1:7" ht="30">
      <c r="A861" s="33" t="s">
        <v>1080</v>
      </c>
      <c r="B861" s="160" t="s">
        <v>872</v>
      </c>
      <c r="C861" s="388" t="s">
        <v>646</v>
      </c>
      <c r="D861" s="300" t="s">
        <v>20</v>
      </c>
      <c r="E861" s="300">
        <v>1</v>
      </c>
      <c r="F861" s="300">
        <f>G866</f>
        <v>2658.19</v>
      </c>
      <c r="G861" s="300">
        <f>TRUNC(E861*F861,2)</f>
        <v>2658.19</v>
      </c>
    </row>
    <row r="862" spans="1:7" ht="18.75">
      <c r="A862" s="17"/>
      <c r="B862" s="408" t="s">
        <v>516</v>
      </c>
      <c r="C862" s="406" t="s">
        <v>517</v>
      </c>
      <c r="D862" s="57" t="s">
        <v>518</v>
      </c>
      <c r="E862" s="57">
        <v>0.781</v>
      </c>
      <c r="F862" s="57">
        <f>TRUNC(46.71,2)</f>
        <v>46.71</v>
      </c>
      <c r="G862" s="57">
        <f>TRUNC(E862*F862,2)</f>
        <v>36.48</v>
      </c>
    </row>
    <row r="863" spans="1:7" ht="18.75">
      <c r="A863" s="17"/>
      <c r="B863" s="408" t="s">
        <v>519</v>
      </c>
      <c r="C863" s="406" t="s">
        <v>520</v>
      </c>
      <c r="D863" s="57" t="s">
        <v>30</v>
      </c>
      <c r="E863" s="57">
        <v>1725</v>
      </c>
      <c r="F863" s="57">
        <f>TRUNC(1.407,2)</f>
        <v>1.4</v>
      </c>
      <c r="G863" s="57">
        <f>TRUNC(E863*F863,2)</f>
        <v>2415</v>
      </c>
    </row>
    <row r="864" spans="1:7" ht="18.75">
      <c r="A864" s="17"/>
      <c r="B864" s="408" t="s">
        <v>873</v>
      </c>
      <c r="C864" s="406" t="s">
        <v>874</v>
      </c>
      <c r="D864" s="57" t="s">
        <v>20</v>
      </c>
      <c r="E864" s="57">
        <v>1</v>
      </c>
      <c r="F864" s="57">
        <f>TRUNC(120.5371,2)</f>
        <v>120.53</v>
      </c>
      <c r="G864" s="57">
        <f>TRUNC(E864*F864,2)</f>
        <v>120.53</v>
      </c>
    </row>
    <row r="865" spans="1:7" ht="18.75">
      <c r="A865" s="17"/>
      <c r="B865" s="408" t="s">
        <v>875</v>
      </c>
      <c r="C865" s="406" t="s">
        <v>876</v>
      </c>
      <c r="D865" s="57" t="s">
        <v>20</v>
      </c>
      <c r="E865" s="57">
        <v>1</v>
      </c>
      <c r="F865" s="57">
        <f>TRUNC(86.1838,2)</f>
        <v>86.18</v>
      </c>
      <c r="G865" s="57">
        <f>TRUNC(E865*F865,2)</f>
        <v>86.18</v>
      </c>
    </row>
    <row r="866" spans="1:7" ht="18.75">
      <c r="A866" s="17"/>
      <c r="B866" s="408"/>
      <c r="C866" s="406"/>
      <c r="D866" s="57"/>
      <c r="E866" s="57" t="s">
        <v>62</v>
      </c>
      <c r="F866" s="57"/>
      <c r="G866" s="57">
        <f>TRUNC(SUM(G862:G865),2)</f>
        <v>2658.19</v>
      </c>
    </row>
    <row r="867" spans="1:3" ht="18.75">
      <c r="A867" s="17"/>
      <c r="B867" s="188"/>
      <c r="C867" s="64"/>
    </row>
    <row r="868" spans="1:7" ht="18.75">
      <c r="A868" s="33" t="s">
        <v>1081</v>
      </c>
      <c r="B868" s="160" t="s">
        <v>877</v>
      </c>
      <c r="C868" s="388" t="s">
        <v>378</v>
      </c>
      <c r="D868" s="300" t="s">
        <v>20</v>
      </c>
      <c r="E868" s="300">
        <v>1</v>
      </c>
      <c r="F868" s="300">
        <f>TRUNC(108,2)</f>
        <v>108</v>
      </c>
      <c r="G868" s="300">
        <f>TRUNC(E868*F868,2)</f>
        <v>108</v>
      </c>
    </row>
    <row r="869" spans="1:7" ht="18.75">
      <c r="A869" s="17"/>
      <c r="B869" s="408" t="s">
        <v>379</v>
      </c>
      <c r="C869" s="406" t="s">
        <v>380</v>
      </c>
      <c r="D869" s="57" t="s">
        <v>20</v>
      </c>
      <c r="E869" s="57">
        <v>1</v>
      </c>
      <c r="F869" s="57">
        <f>TRUNC(108,2)</f>
        <v>108</v>
      </c>
      <c r="G869" s="57">
        <f>TRUNC(E869*F869,2)</f>
        <v>108</v>
      </c>
    </row>
    <row r="870" spans="1:7" ht="18.75">
      <c r="A870" s="17"/>
      <c r="B870" s="408"/>
      <c r="C870" s="406"/>
      <c r="D870" s="57"/>
      <c r="E870" s="57" t="s">
        <v>62</v>
      </c>
      <c r="F870" s="57"/>
      <c r="G870" s="57">
        <f>TRUNC(SUM(G869:G869),2)</f>
        <v>108</v>
      </c>
    </row>
    <row r="871" spans="1:7" ht="18.75">
      <c r="A871" s="17"/>
      <c r="B871" s="408"/>
      <c r="C871" s="249"/>
      <c r="D871" s="57"/>
      <c r="E871" s="57"/>
      <c r="F871" s="57"/>
      <c r="G871" s="57"/>
    </row>
    <row r="872" spans="1:7" ht="30">
      <c r="A872" s="33" t="s">
        <v>1082</v>
      </c>
      <c r="B872" s="160" t="s">
        <v>878</v>
      </c>
      <c r="C872" s="388" t="s">
        <v>879</v>
      </c>
      <c r="D872" s="300" t="s">
        <v>16</v>
      </c>
      <c r="E872" s="300">
        <v>1</v>
      </c>
      <c r="F872" s="300">
        <f>TRUNC(7.009595,2)</f>
        <v>7</v>
      </c>
      <c r="G872" s="300">
        <f>TRUNC(E872*F872,2)</f>
        <v>7</v>
      </c>
    </row>
    <row r="873" spans="1:7" ht="18.75">
      <c r="A873" s="17"/>
      <c r="B873" s="408" t="s">
        <v>376</v>
      </c>
      <c r="C873" s="406" t="s">
        <v>377</v>
      </c>
      <c r="D873" s="57" t="s">
        <v>16</v>
      </c>
      <c r="E873" s="57">
        <v>1.02</v>
      </c>
      <c r="F873" s="57">
        <f>TRUNC(3.2,2)</f>
        <v>3.2</v>
      </c>
      <c r="G873" s="57">
        <f>TRUNC(E873*F873,2)</f>
        <v>3.26</v>
      </c>
    </row>
    <row r="874" spans="1:7" ht="30">
      <c r="A874" s="17"/>
      <c r="B874" s="408" t="s">
        <v>880</v>
      </c>
      <c r="C874" s="406" t="s">
        <v>881</v>
      </c>
      <c r="D874" s="57" t="s">
        <v>61</v>
      </c>
      <c r="E874" s="57">
        <v>0.3605</v>
      </c>
      <c r="F874" s="57">
        <f>TRUNC(10.39,2)</f>
        <v>10.39</v>
      </c>
      <c r="G874" s="57">
        <f>TRUNC(E874*F874,2)</f>
        <v>3.74</v>
      </c>
    </row>
    <row r="875" spans="1:7" ht="18.75">
      <c r="A875" s="17"/>
      <c r="B875" s="408"/>
      <c r="C875" s="406"/>
      <c r="D875" s="57"/>
      <c r="E875" s="57" t="s">
        <v>62</v>
      </c>
      <c r="F875" s="57"/>
      <c r="G875" s="57">
        <f>TRUNC(SUM(G873:G874),2)</f>
        <v>7</v>
      </c>
    </row>
    <row r="876" spans="1:3" ht="18.75">
      <c r="A876" s="17"/>
      <c r="B876" s="188"/>
      <c r="C876" s="64"/>
    </row>
    <row r="877" spans="1:7" ht="18.75">
      <c r="A877" s="33" t="s">
        <v>1083</v>
      </c>
      <c r="B877" s="169"/>
      <c r="C877" s="277" t="s">
        <v>45</v>
      </c>
      <c r="D877" s="15"/>
      <c r="E877" s="15"/>
      <c r="F877" s="15"/>
      <c r="G877" s="15"/>
    </row>
    <row r="878" spans="1:7" ht="60">
      <c r="A878" s="297" t="s">
        <v>1084</v>
      </c>
      <c r="B878" s="298" t="s">
        <v>882</v>
      </c>
      <c r="C878" s="388" t="s">
        <v>883</v>
      </c>
      <c r="D878" s="300" t="s">
        <v>19</v>
      </c>
      <c r="E878" s="71">
        <v>1</v>
      </c>
      <c r="F878" s="71">
        <f>G885</f>
        <v>18.43</v>
      </c>
      <c r="G878" s="71">
        <f aca="true" t="shared" si="31" ref="G878:G884">TRUNC(E878*F878,2)</f>
        <v>18.43</v>
      </c>
    </row>
    <row r="879" spans="1:7" ht="18.75">
      <c r="A879" s="58"/>
      <c r="B879" s="165" t="s">
        <v>229</v>
      </c>
      <c r="C879" s="406" t="s">
        <v>230</v>
      </c>
      <c r="D879" s="57" t="s">
        <v>30</v>
      </c>
      <c r="E879" s="431">
        <v>1.5</v>
      </c>
      <c r="F879" s="431">
        <f>TRUNC(0.52,2)</f>
        <v>0.52</v>
      </c>
      <c r="G879" s="431">
        <f t="shared" si="31"/>
        <v>0.78</v>
      </c>
    </row>
    <row r="880" spans="1:7" ht="18.75">
      <c r="A880" s="58"/>
      <c r="B880" s="165" t="s">
        <v>176</v>
      </c>
      <c r="C880" s="406" t="s">
        <v>177</v>
      </c>
      <c r="D880" s="57" t="s">
        <v>30</v>
      </c>
      <c r="E880" s="431">
        <v>1.5</v>
      </c>
      <c r="F880" s="431">
        <f>TRUNC(0.35,2)</f>
        <v>0.35</v>
      </c>
      <c r="G880" s="431">
        <f t="shared" si="31"/>
        <v>0.52</v>
      </c>
    </row>
    <row r="881" spans="1:7" ht="30">
      <c r="A881" s="58"/>
      <c r="B881" s="165" t="s">
        <v>243</v>
      </c>
      <c r="C881" s="406" t="s">
        <v>244</v>
      </c>
      <c r="D881" s="57" t="s">
        <v>61</v>
      </c>
      <c r="E881" s="431">
        <v>0.41200000000000003</v>
      </c>
      <c r="F881" s="431">
        <f>TRUNC(12.54,2)</f>
        <v>12.54</v>
      </c>
      <c r="G881" s="431">
        <f t="shared" si="31"/>
        <v>5.16</v>
      </c>
    </row>
    <row r="882" spans="1:7" ht="30">
      <c r="A882" s="58"/>
      <c r="B882" s="165" t="s">
        <v>844</v>
      </c>
      <c r="C882" s="406" t="s">
        <v>845</v>
      </c>
      <c r="D882" s="57" t="s">
        <v>61</v>
      </c>
      <c r="E882" s="431">
        <v>0.6695000000000001</v>
      </c>
      <c r="F882" s="431">
        <f>TRUNC(17.3,2)</f>
        <v>17.3</v>
      </c>
      <c r="G882" s="431">
        <f t="shared" si="31"/>
        <v>11.58</v>
      </c>
    </row>
    <row r="883" spans="1:7" ht="18.75">
      <c r="A883" s="58"/>
      <c r="B883" s="165" t="s">
        <v>231</v>
      </c>
      <c r="C883" s="406" t="s">
        <v>232</v>
      </c>
      <c r="D883" s="57" t="s">
        <v>26</v>
      </c>
      <c r="E883" s="431">
        <v>0.01</v>
      </c>
      <c r="F883" s="431">
        <f>TRUNC(18,2)</f>
        <v>18</v>
      </c>
      <c r="G883" s="431">
        <f t="shared" si="31"/>
        <v>0.18</v>
      </c>
    </row>
    <row r="884" spans="1:7" ht="18.75">
      <c r="A884" s="58"/>
      <c r="B884" s="165" t="s">
        <v>233</v>
      </c>
      <c r="C884" s="406" t="s">
        <v>234</v>
      </c>
      <c r="D884" s="57" t="s">
        <v>26</v>
      </c>
      <c r="E884" s="431">
        <v>0.012</v>
      </c>
      <c r="F884" s="431">
        <f>TRUNC(18,2)</f>
        <v>18</v>
      </c>
      <c r="G884" s="431">
        <f t="shared" si="31"/>
        <v>0.21</v>
      </c>
    </row>
    <row r="885" spans="1:7" ht="18.75">
      <c r="A885" s="58"/>
      <c r="B885" s="165"/>
      <c r="C885" s="406"/>
      <c r="D885" s="57"/>
      <c r="E885" s="431" t="s">
        <v>62</v>
      </c>
      <c r="F885" s="431"/>
      <c r="G885" s="431">
        <f>TRUNC(SUM(G879:G884),2)</f>
        <v>18.43</v>
      </c>
    </row>
    <row r="886" spans="1:7" ht="18.75">
      <c r="A886" s="17"/>
      <c r="C886" s="64"/>
      <c r="E886" s="9"/>
      <c r="F886" s="9"/>
      <c r="G886" s="9"/>
    </row>
    <row r="887" spans="1:7" ht="31.5">
      <c r="A887" s="297" t="s">
        <v>1085</v>
      </c>
      <c r="B887" s="159" t="s">
        <v>914</v>
      </c>
      <c r="C887" s="435" t="s">
        <v>437</v>
      </c>
      <c r="D887" s="300" t="s">
        <v>913</v>
      </c>
      <c r="E887" s="71">
        <v>9</v>
      </c>
      <c r="F887" s="71">
        <f>F888</f>
        <v>18.44</v>
      </c>
      <c r="G887" s="71">
        <f>E887*F887</f>
        <v>165.96</v>
      </c>
    </row>
    <row r="888" spans="1:7" ht="72.75" customHeight="1">
      <c r="A888" s="58"/>
      <c r="B888" s="165" t="s">
        <v>882</v>
      </c>
      <c r="C888" s="406" t="s">
        <v>883</v>
      </c>
      <c r="D888" s="57" t="s">
        <v>19</v>
      </c>
      <c r="E888" s="431">
        <v>1</v>
      </c>
      <c r="F888" s="431">
        <f>TRUNC(18.44983,2)</f>
        <v>18.44</v>
      </c>
      <c r="G888" s="431">
        <f aca="true" t="shared" si="32" ref="G888:G894">TRUNC(E888*F888,2)</f>
        <v>18.44</v>
      </c>
    </row>
    <row r="889" spans="1:7" ht="15" customHeight="1">
      <c r="A889" s="58"/>
      <c r="B889" s="165" t="s">
        <v>229</v>
      </c>
      <c r="C889" s="406" t="s">
        <v>230</v>
      </c>
      <c r="D889" s="57" t="s">
        <v>30</v>
      </c>
      <c r="E889" s="431">
        <v>1.5</v>
      </c>
      <c r="F889" s="431">
        <f>TRUNC(0.52,2)</f>
        <v>0.52</v>
      </c>
      <c r="G889" s="431">
        <f t="shared" si="32"/>
        <v>0.78</v>
      </c>
    </row>
    <row r="890" spans="1:7" ht="15" customHeight="1">
      <c r="A890" s="58"/>
      <c r="B890" s="165" t="s">
        <v>176</v>
      </c>
      <c r="C890" s="406" t="s">
        <v>177</v>
      </c>
      <c r="D890" s="57" t="s">
        <v>30</v>
      </c>
      <c r="E890" s="431">
        <v>1.5</v>
      </c>
      <c r="F890" s="431">
        <f>TRUNC(0.35,2)</f>
        <v>0.35</v>
      </c>
      <c r="G890" s="431">
        <f t="shared" si="32"/>
        <v>0.52</v>
      </c>
    </row>
    <row r="891" spans="1:7" ht="15" customHeight="1">
      <c r="A891" s="58"/>
      <c r="B891" s="165" t="s">
        <v>243</v>
      </c>
      <c r="C891" s="406" t="s">
        <v>244</v>
      </c>
      <c r="D891" s="57" t="s">
        <v>61</v>
      </c>
      <c r="E891" s="431">
        <v>0.41200000000000003</v>
      </c>
      <c r="F891" s="431">
        <f>TRUNC(12.54,2)</f>
        <v>12.54</v>
      </c>
      <c r="G891" s="431">
        <f t="shared" si="32"/>
        <v>5.16</v>
      </c>
    </row>
    <row r="892" spans="1:7" ht="15" customHeight="1">
      <c r="A892" s="58"/>
      <c r="B892" s="165" t="s">
        <v>844</v>
      </c>
      <c r="C892" s="406" t="s">
        <v>845</v>
      </c>
      <c r="D892" s="57" t="s">
        <v>61</v>
      </c>
      <c r="E892" s="431">
        <v>0.6695000000000001</v>
      </c>
      <c r="F892" s="431">
        <f>TRUNC(17.3,2)</f>
        <v>17.3</v>
      </c>
      <c r="G892" s="431">
        <f t="shared" si="32"/>
        <v>11.58</v>
      </c>
    </row>
    <row r="893" spans="1:7" ht="15" customHeight="1">
      <c r="A893" s="58"/>
      <c r="B893" s="165" t="s">
        <v>231</v>
      </c>
      <c r="C893" s="406" t="s">
        <v>232</v>
      </c>
      <c r="D893" s="57" t="s">
        <v>26</v>
      </c>
      <c r="E893" s="431">
        <v>0.01</v>
      </c>
      <c r="F893" s="431">
        <f>TRUNC(18,2)</f>
        <v>18</v>
      </c>
      <c r="G893" s="431">
        <f t="shared" si="32"/>
        <v>0.18</v>
      </c>
    </row>
    <row r="894" spans="1:7" ht="15" customHeight="1">
      <c r="A894" s="58"/>
      <c r="B894" s="165" t="s">
        <v>233</v>
      </c>
      <c r="C894" s="406" t="s">
        <v>234</v>
      </c>
      <c r="D894" s="57" t="s">
        <v>26</v>
      </c>
      <c r="E894" s="431">
        <v>0.012</v>
      </c>
      <c r="F894" s="431">
        <f>TRUNC(18,2)</f>
        <v>18</v>
      </c>
      <c r="G894" s="431">
        <f t="shared" si="32"/>
        <v>0.21</v>
      </c>
    </row>
    <row r="895" spans="1:7" ht="15" customHeight="1">
      <c r="A895" s="58"/>
      <c r="B895" s="165"/>
      <c r="C895" s="406"/>
      <c r="D895" s="57"/>
      <c r="E895" s="431" t="s">
        <v>62</v>
      </c>
      <c r="F895" s="431"/>
      <c r="G895" s="431">
        <f>TRUNC(SUM(G889:G894),2)</f>
        <v>18.43</v>
      </c>
    </row>
    <row r="896" spans="1:7" s="57" customFormat="1" ht="18.75">
      <c r="A896" s="58"/>
      <c r="B896" s="432"/>
      <c r="C896" s="433"/>
      <c r="D896" s="61"/>
      <c r="E896" s="434"/>
      <c r="F896" s="434"/>
      <c r="G896" s="434"/>
    </row>
    <row r="897" spans="1:7" ht="31.5">
      <c r="A897" s="33" t="s">
        <v>1086</v>
      </c>
      <c r="B897" s="105" t="s">
        <v>918</v>
      </c>
      <c r="C897" s="330" t="s">
        <v>438</v>
      </c>
      <c r="D897" s="15" t="s">
        <v>913</v>
      </c>
      <c r="E897" s="8"/>
      <c r="F897" s="8">
        <f>G898</f>
        <v>17</v>
      </c>
      <c r="G897" s="8"/>
    </row>
    <row r="898" spans="1:7" ht="45">
      <c r="A898" s="17"/>
      <c r="B898" s="55" t="s">
        <v>917</v>
      </c>
      <c r="C898" s="64" t="s">
        <v>916</v>
      </c>
      <c r="D898" s="2" t="s">
        <v>16</v>
      </c>
      <c r="E898" s="9">
        <v>0.15</v>
      </c>
      <c r="F898" s="9">
        <f>TRUNC(113.397436,2)</f>
        <v>113.39</v>
      </c>
      <c r="G898" s="9">
        <f aca="true" t="shared" si="33" ref="G898:G905">TRUNC(E898*F898,2)</f>
        <v>17</v>
      </c>
    </row>
    <row r="899" spans="1:7" ht="18.75">
      <c r="A899" s="17"/>
      <c r="B899" s="55" t="s">
        <v>229</v>
      </c>
      <c r="C899" s="64" t="s">
        <v>230</v>
      </c>
      <c r="D899" s="2" t="s">
        <v>30</v>
      </c>
      <c r="E899" s="9">
        <v>10</v>
      </c>
      <c r="F899" s="9">
        <f>TRUNC(0.52,2)</f>
        <v>0.52</v>
      </c>
      <c r="G899" s="9">
        <f t="shared" si="33"/>
        <v>5.2</v>
      </c>
    </row>
    <row r="900" spans="1:7" ht="18.75">
      <c r="A900" s="17"/>
      <c r="B900" s="55" t="s">
        <v>176</v>
      </c>
      <c r="C900" s="64" t="s">
        <v>177</v>
      </c>
      <c r="D900" s="2" t="s">
        <v>30</v>
      </c>
      <c r="E900" s="9">
        <v>24.6</v>
      </c>
      <c r="F900" s="9">
        <f>TRUNC(0.35,2)</f>
        <v>0.35</v>
      </c>
      <c r="G900" s="9">
        <f t="shared" si="33"/>
        <v>8.61</v>
      </c>
    </row>
    <row r="901" spans="1:7" ht="18.75">
      <c r="A901" s="17"/>
      <c r="B901" s="55" t="s">
        <v>77</v>
      </c>
      <c r="C901" s="64" t="s">
        <v>78</v>
      </c>
      <c r="D901" s="2" t="s">
        <v>30</v>
      </c>
      <c r="E901" s="9">
        <v>2.4</v>
      </c>
      <c r="F901" s="9">
        <f>TRUNC(3.56,2)</f>
        <v>3.56</v>
      </c>
      <c r="G901" s="9">
        <f t="shared" si="33"/>
        <v>8.54</v>
      </c>
    </row>
    <row r="902" spans="1:7" ht="18.75">
      <c r="A902" s="17"/>
      <c r="B902" s="55" t="s">
        <v>178</v>
      </c>
      <c r="C902" s="64" t="s">
        <v>179</v>
      </c>
      <c r="D902" s="2" t="s">
        <v>20</v>
      </c>
      <c r="E902" s="9">
        <v>0.034</v>
      </c>
      <c r="F902" s="9">
        <f>TRUNC(50,2)</f>
        <v>50</v>
      </c>
      <c r="G902" s="9">
        <f t="shared" si="33"/>
        <v>1.7</v>
      </c>
    </row>
    <row r="903" spans="1:7" ht="30">
      <c r="A903" s="17"/>
      <c r="B903" s="55" t="s">
        <v>243</v>
      </c>
      <c r="C903" s="64" t="s">
        <v>244</v>
      </c>
      <c r="D903" s="2" t="s">
        <v>61</v>
      </c>
      <c r="E903" s="9">
        <v>2.1938999999999997</v>
      </c>
      <c r="F903" s="9">
        <f>TRUNC(12.54,2)</f>
        <v>12.54</v>
      </c>
      <c r="G903" s="9">
        <f t="shared" si="33"/>
        <v>27.51</v>
      </c>
    </row>
    <row r="904" spans="1:7" ht="18.75">
      <c r="A904" s="17"/>
      <c r="B904" s="55" t="s">
        <v>251</v>
      </c>
      <c r="C904" s="64" t="s">
        <v>252</v>
      </c>
      <c r="D904" s="2" t="s">
        <v>61</v>
      </c>
      <c r="E904" s="9">
        <v>1.751</v>
      </c>
      <c r="F904" s="9">
        <f>TRUNC(17.3,2)</f>
        <v>17.3</v>
      </c>
      <c r="G904" s="9">
        <f t="shared" si="33"/>
        <v>30.29</v>
      </c>
    </row>
    <row r="905" spans="1:7" ht="30">
      <c r="A905" s="17"/>
      <c r="B905" s="55" t="s">
        <v>844</v>
      </c>
      <c r="C905" s="64" t="s">
        <v>845</v>
      </c>
      <c r="D905" s="2" t="s">
        <v>61</v>
      </c>
      <c r="E905" s="9">
        <v>1.8231000000000002</v>
      </c>
      <c r="F905" s="9">
        <f>TRUNC(17.3,2)</f>
        <v>17.3</v>
      </c>
      <c r="G905" s="9">
        <f t="shared" si="33"/>
        <v>31.53</v>
      </c>
    </row>
    <row r="906" spans="1:7" ht="18.75">
      <c r="A906" s="17"/>
      <c r="C906" s="64"/>
      <c r="E906" s="9" t="s">
        <v>62</v>
      </c>
      <c r="F906" s="9"/>
      <c r="G906" s="9">
        <f>TRUNC(SUM(G899:G905),2)</f>
        <v>113.38</v>
      </c>
    </row>
    <row r="907" spans="1:7" s="57" customFormat="1" ht="45">
      <c r="A907" s="297" t="s">
        <v>1087</v>
      </c>
      <c r="B907" s="298" t="s">
        <v>884</v>
      </c>
      <c r="C907" s="388" t="s">
        <v>885</v>
      </c>
      <c r="D907" s="300" t="s">
        <v>19</v>
      </c>
      <c r="E907" s="71">
        <v>1</v>
      </c>
      <c r="F907" s="71">
        <f>G914</f>
        <v>47.61</v>
      </c>
      <c r="G907" s="71">
        <f aca="true" t="shared" si="34" ref="G907:G913">TRUNC(E907*F907,2)</f>
        <v>47.61</v>
      </c>
    </row>
    <row r="908" spans="1:7" ht="18.75">
      <c r="A908" s="17"/>
      <c r="B908" s="165" t="s">
        <v>237</v>
      </c>
      <c r="C908" s="406" t="s">
        <v>238</v>
      </c>
      <c r="D908" s="57" t="s">
        <v>19</v>
      </c>
      <c r="E908" s="431">
        <v>1.05</v>
      </c>
      <c r="F908" s="431">
        <f>TRUNC(30.63,2)</f>
        <v>30.63</v>
      </c>
      <c r="G908" s="431">
        <f t="shared" si="34"/>
        <v>32.16</v>
      </c>
    </row>
    <row r="909" spans="1:7" ht="18.75">
      <c r="A909" s="17"/>
      <c r="B909" s="165" t="s">
        <v>180</v>
      </c>
      <c r="C909" s="406" t="s">
        <v>181</v>
      </c>
      <c r="D909" s="57" t="s">
        <v>26</v>
      </c>
      <c r="E909" s="431">
        <v>0.011</v>
      </c>
      <c r="F909" s="431">
        <f>TRUNC(8.25,2)</f>
        <v>8.25</v>
      </c>
      <c r="G909" s="431">
        <f t="shared" si="34"/>
        <v>0.09</v>
      </c>
    </row>
    <row r="910" spans="1:7" ht="18.75">
      <c r="A910" s="17"/>
      <c r="B910" s="165" t="s">
        <v>172</v>
      </c>
      <c r="C910" s="406" t="s">
        <v>173</v>
      </c>
      <c r="D910" s="57" t="s">
        <v>30</v>
      </c>
      <c r="E910" s="431">
        <v>0.58</v>
      </c>
      <c r="F910" s="431">
        <f>TRUNC(1.84,2)</f>
        <v>1.84</v>
      </c>
      <c r="G910" s="431">
        <f t="shared" si="34"/>
        <v>1.06</v>
      </c>
    </row>
    <row r="911" spans="1:7" ht="30">
      <c r="A911" s="17"/>
      <c r="B911" s="165" t="s">
        <v>243</v>
      </c>
      <c r="C911" s="406" t="s">
        <v>244</v>
      </c>
      <c r="D911" s="57" t="s">
        <v>61</v>
      </c>
      <c r="E911" s="431">
        <v>0.4635</v>
      </c>
      <c r="F911" s="431">
        <f>TRUNC(12.54,2)</f>
        <v>12.54</v>
      </c>
      <c r="G911" s="431">
        <f t="shared" si="34"/>
        <v>5.81</v>
      </c>
    </row>
    <row r="912" spans="1:7" ht="30">
      <c r="A912" s="17"/>
      <c r="B912" s="165" t="s">
        <v>831</v>
      </c>
      <c r="C912" s="406" t="s">
        <v>832</v>
      </c>
      <c r="D912" s="57" t="s">
        <v>61</v>
      </c>
      <c r="E912" s="431">
        <v>0.41200000000000003</v>
      </c>
      <c r="F912" s="431">
        <f>TRUNC(17.3,2)</f>
        <v>17.3</v>
      </c>
      <c r="G912" s="431">
        <f t="shared" si="34"/>
        <v>7.12</v>
      </c>
    </row>
    <row r="913" spans="1:7" ht="18.75">
      <c r="A913" s="17"/>
      <c r="B913" s="165" t="s">
        <v>835</v>
      </c>
      <c r="C913" s="406" t="s">
        <v>836</v>
      </c>
      <c r="D913" s="57" t="s">
        <v>20</v>
      </c>
      <c r="E913" s="431">
        <v>0.0058</v>
      </c>
      <c r="F913" s="431">
        <f>TRUNC(237.7769,2)</f>
        <v>237.77</v>
      </c>
      <c r="G913" s="431">
        <f t="shared" si="34"/>
        <v>1.37</v>
      </c>
    </row>
    <row r="914" spans="1:7" ht="18.75">
      <c r="A914" s="17"/>
      <c r="B914" s="165"/>
      <c r="C914" s="406"/>
      <c r="D914" s="57"/>
      <c r="E914" s="431" t="s">
        <v>62</v>
      </c>
      <c r="F914" s="431"/>
      <c r="G914" s="431">
        <f>TRUNC(SUM(G908:G913),2)</f>
        <v>47.61</v>
      </c>
    </row>
    <row r="915" spans="1:3" ht="18.75">
      <c r="A915" s="17"/>
      <c r="C915" s="64"/>
    </row>
    <row r="916" spans="1:7" ht="45">
      <c r="A916" s="33" t="s">
        <v>1088</v>
      </c>
      <c r="B916" s="169" t="s">
        <v>886</v>
      </c>
      <c r="C916" s="330" t="s">
        <v>887</v>
      </c>
      <c r="D916" s="15" t="s">
        <v>19</v>
      </c>
      <c r="E916" s="15">
        <v>1</v>
      </c>
      <c r="F916" s="15">
        <f>G923</f>
        <v>38.38</v>
      </c>
      <c r="G916" s="15">
        <f aca="true" t="shared" si="35" ref="G916:G922">TRUNC(E916*F916,2)</f>
        <v>38.38</v>
      </c>
    </row>
    <row r="917" spans="1:7" ht="18.75">
      <c r="A917" s="17"/>
      <c r="B917" s="55" t="s">
        <v>525</v>
      </c>
      <c r="C917" s="64" t="s">
        <v>526</v>
      </c>
      <c r="D917" s="2" t="s">
        <v>19</v>
      </c>
      <c r="E917" s="2">
        <v>1.05</v>
      </c>
      <c r="F917" s="2">
        <f>TRUNC(19.5,2)</f>
        <v>19.5</v>
      </c>
      <c r="G917" s="2">
        <f t="shared" si="35"/>
        <v>20.47</v>
      </c>
    </row>
    <row r="918" spans="1:7" ht="18.75">
      <c r="A918" s="17"/>
      <c r="B918" s="55" t="s">
        <v>172</v>
      </c>
      <c r="C918" s="64" t="s">
        <v>173</v>
      </c>
      <c r="D918" s="2" t="s">
        <v>30</v>
      </c>
      <c r="E918" s="2">
        <v>0.4</v>
      </c>
      <c r="F918" s="2">
        <f>TRUNC(1.84,2)</f>
        <v>1.84</v>
      </c>
      <c r="G918" s="2">
        <f t="shared" si="35"/>
        <v>0.73</v>
      </c>
    </row>
    <row r="919" spans="1:7" ht="30">
      <c r="A919" s="17"/>
      <c r="B919" s="55" t="s">
        <v>243</v>
      </c>
      <c r="C919" s="64" t="s">
        <v>244</v>
      </c>
      <c r="D919" s="2" t="s">
        <v>61</v>
      </c>
      <c r="E919" s="2">
        <v>0.5665000000000001</v>
      </c>
      <c r="F919" s="2">
        <f>TRUNC(12.54,2)</f>
        <v>12.54</v>
      </c>
      <c r="G919" s="2">
        <f t="shared" si="35"/>
        <v>7.1</v>
      </c>
    </row>
    <row r="920" spans="1:7" ht="30">
      <c r="A920" s="17"/>
      <c r="B920" s="55" t="s">
        <v>831</v>
      </c>
      <c r="C920" s="64" t="s">
        <v>832</v>
      </c>
      <c r="D920" s="2" t="s">
        <v>61</v>
      </c>
      <c r="E920" s="2">
        <v>0.4635</v>
      </c>
      <c r="F920" s="2">
        <f>TRUNC(17.3,2)</f>
        <v>17.3</v>
      </c>
      <c r="G920" s="2">
        <f t="shared" si="35"/>
        <v>8.01</v>
      </c>
    </row>
    <row r="921" spans="1:7" ht="18.75">
      <c r="A921" s="17"/>
      <c r="B921" s="55" t="s">
        <v>868</v>
      </c>
      <c r="C921" s="64" t="s">
        <v>869</v>
      </c>
      <c r="D921" s="2" t="s">
        <v>20</v>
      </c>
      <c r="E921" s="2">
        <v>0.006</v>
      </c>
      <c r="F921" s="2">
        <f>TRUNC(301.0282,2)</f>
        <v>301.02</v>
      </c>
      <c r="G921" s="2">
        <f t="shared" si="35"/>
        <v>1.8</v>
      </c>
    </row>
    <row r="922" spans="1:7" ht="18.75">
      <c r="A922" s="17"/>
      <c r="B922" s="55" t="s">
        <v>826</v>
      </c>
      <c r="C922" s="64" t="s">
        <v>827</v>
      </c>
      <c r="D922" s="2" t="s">
        <v>20</v>
      </c>
      <c r="E922" s="2">
        <v>0.0005</v>
      </c>
      <c r="F922" s="2">
        <f>TRUNC(553.7458,2)</f>
        <v>553.74</v>
      </c>
      <c r="G922" s="2">
        <f t="shared" si="35"/>
        <v>0.27</v>
      </c>
    </row>
    <row r="923" spans="1:7" ht="18.75">
      <c r="A923" s="17"/>
      <c r="C923" s="64"/>
      <c r="E923" s="2" t="s">
        <v>62</v>
      </c>
      <c r="G923" s="2">
        <f>TRUNC(SUM(G917:G922),2)</f>
        <v>38.38</v>
      </c>
    </row>
    <row r="924" spans="1:3" ht="18.75">
      <c r="A924" s="17"/>
      <c r="C924" s="64"/>
    </row>
    <row r="925" spans="1:7" ht="60">
      <c r="A925" s="33" t="s">
        <v>1089</v>
      </c>
      <c r="B925" s="105" t="s">
        <v>888</v>
      </c>
      <c r="C925" s="330" t="s">
        <v>476</v>
      </c>
      <c r="D925" s="15" t="s">
        <v>19</v>
      </c>
      <c r="E925" s="15">
        <v>1</v>
      </c>
      <c r="F925" s="15">
        <f>G935</f>
        <v>26.08</v>
      </c>
      <c r="G925" s="15">
        <f>TRUNC(E925*F925,2)</f>
        <v>26.08</v>
      </c>
    </row>
    <row r="926" spans="1:7" ht="18.75">
      <c r="A926" s="17"/>
      <c r="B926" s="273" t="s">
        <v>473</v>
      </c>
      <c r="C926" s="252" t="s">
        <v>474</v>
      </c>
      <c r="D926" s="50" t="s">
        <v>19</v>
      </c>
      <c r="E926" s="50">
        <v>1.05</v>
      </c>
      <c r="F926" s="50">
        <f>TRUNC(42.68,2)</f>
        <v>42.68</v>
      </c>
      <c r="G926" s="50"/>
    </row>
    <row r="927" spans="1:7" ht="18.75">
      <c r="A927" s="17"/>
      <c r="B927" s="55" t="s">
        <v>172</v>
      </c>
      <c r="C927" s="64" t="s">
        <v>173</v>
      </c>
      <c r="D927" s="2" t="s">
        <v>30</v>
      </c>
      <c r="E927" s="2">
        <v>1</v>
      </c>
      <c r="F927" s="2">
        <f>TRUNC(1.75,2)</f>
        <v>1.75</v>
      </c>
      <c r="G927" s="2">
        <f>TRUNC(E927*F927,2)</f>
        <v>1.75</v>
      </c>
    </row>
    <row r="928" spans="1:7" ht="18.75">
      <c r="A928" s="17"/>
      <c r="B928" s="273" t="s">
        <v>59</v>
      </c>
      <c r="C928" s="252" t="s">
        <v>60</v>
      </c>
      <c r="D928" s="50" t="s">
        <v>61</v>
      </c>
      <c r="E928" s="50">
        <v>0.4635</v>
      </c>
      <c r="F928" s="50">
        <f>TRUNC(14.47,2)</f>
        <v>14.47</v>
      </c>
      <c r="G928" s="50"/>
    </row>
    <row r="929" spans="1:7" ht="18.75">
      <c r="A929" s="17"/>
      <c r="B929" s="273" t="s">
        <v>174</v>
      </c>
      <c r="C929" s="252" t="s">
        <v>175</v>
      </c>
      <c r="D929" s="50" t="s">
        <v>61</v>
      </c>
      <c r="E929" s="50">
        <v>0.41200000000000003</v>
      </c>
      <c r="F929" s="50">
        <f>TRUNC(19.97,2)</f>
        <v>19.97</v>
      </c>
      <c r="G929" s="50"/>
    </row>
    <row r="930" spans="1:3" ht="18.75">
      <c r="A930" s="17"/>
      <c r="C930" s="64" t="s">
        <v>475</v>
      </c>
    </row>
    <row r="931" spans="1:7" ht="30">
      <c r="A931" s="17"/>
      <c r="B931" s="55" t="s">
        <v>243</v>
      </c>
      <c r="C931" s="64" t="s">
        <v>244</v>
      </c>
      <c r="D931" s="2" t="s">
        <v>61</v>
      </c>
      <c r="E931" s="2">
        <v>0.7</v>
      </c>
      <c r="F931" s="2">
        <f>TRUNC(12.54,2)</f>
        <v>12.54</v>
      </c>
      <c r="G931" s="2">
        <f>TRUNC(E931*F931,2)</f>
        <v>8.77</v>
      </c>
    </row>
    <row r="932" spans="1:7" ht="30">
      <c r="A932" s="17"/>
      <c r="B932" s="55" t="s">
        <v>831</v>
      </c>
      <c r="C932" s="64" t="s">
        <v>832</v>
      </c>
      <c r="D932" s="2" t="s">
        <v>61</v>
      </c>
      <c r="E932" s="2">
        <v>0.7</v>
      </c>
      <c r="F932" s="2">
        <f>TRUNC(17.3,2)</f>
        <v>17.3</v>
      </c>
      <c r="G932" s="2">
        <f>TRUNC(E932*F932,2)</f>
        <v>12.11</v>
      </c>
    </row>
    <row r="933" spans="1:7" ht="18.75">
      <c r="A933" s="17"/>
      <c r="B933" s="55" t="s">
        <v>868</v>
      </c>
      <c r="C933" s="64" t="s">
        <v>869</v>
      </c>
      <c r="D933" s="2" t="s">
        <v>20</v>
      </c>
      <c r="E933" s="2">
        <v>0.01</v>
      </c>
      <c r="F933" s="2">
        <f>TRUNC(301.0282,2)</f>
        <v>301.02</v>
      </c>
      <c r="G933" s="2">
        <f>TRUNC(E933*F933,2)</f>
        <v>3.01</v>
      </c>
    </row>
    <row r="934" spans="1:7" ht="18.75">
      <c r="A934" s="17"/>
      <c r="B934" s="55" t="s">
        <v>826</v>
      </c>
      <c r="C934" s="64" t="s">
        <v>827</v>
      </c>
      <c r="D934" s="2" t="s">
        <v>20</v>
      </c>
      <c r="E934" s="2">
        <v>0.0008</v>
      </c>
      <c r="F934" s="2">
        <f>TRUNC(553.7458,2)</f>
        <v>553.74</v>
      </c>
      <c r="G934" s="2">
        <f>TRUNC(E934*F934,2)</f>
        <v>0.44</v>
      </c>
    </row>
    <row r="935" spans="1:7" ht="18.75">
      <c r="A935" s="17"/>
      <c r="C935" s="64"/>
      <c r="E935" s="2" t="s">
        <v>62</v>
      </c>
      <c r="G935" s="2">
        <f>TRUNC(SUM(G926:G934),2)</f>
        <v>26.08</v>
      </c>
    </row>
    <row r="936" spans="1:3" ht="18.75">
      <c r="A936" s="17"/>
      <c r="C936" s="64"/>
    </row>
    <row r="937" spans="1:7" ht="18.75">
      <c r="A937" s="283" t="s">
        <v>1090</v>
      </c>
      <c r="B937" s="284"/>
      <c r="C937" s="280" t="s">
        <v>46</v>
      </c>
      <c r="D937" s="281"/>
      <c r="E937" s="281"/>
      <c r="F937" s="281"/>
      <c r="G937" s="281"/>
    </row>
    <row r="938" spans="1:7" ht="18.75">
      <c r="A938" s="297"/>
      <c r="B938" s="298"/>
      <c r="C938" s="292" t="s">
        <v>383</v>
      </c>
      <c r="D938" s="300"/>
      <c r="E938" s="300"/>
      <c r="F938" s="300"/>
      <c r="G938" s="300"/>
    </row>
    <row r="939" spans="1:7" ht="18.75">
      <c r="A939" s="297" t="s">
        <v>1091</v>
      </c>
      <c r="B939" s="298" t="s">
        <v>889</v>
      </c>
      <c r="C939" s="388" t="s">
        <v>890</v>
      </c>
      <c r="D939" s="300" t="s">
        <v>16</v>
      </c>
      <c r="E939" s="300">
        <v>1</v>
      </c>
      <c r="F939" s="300">
        <f>TRUNC(5.62648,2)</f>
        <v>5.62</v>
      </c>
      <c r="G939" s="300">
        <f>TRUNC(E939*F939,2)</f>
        <v>5.62</v>
      </c>
    </row>
    <row r="940" spans="1:7" ht="18.75">
      <c r="A940" s="17"/>
      <c r="B940" s="55" t="s">
        <v>169</v>
      </c>
      <c r="C940" s="64" t="s">
        <v>170</v>
      </c>
      <c r="D940" s="2" t="s">
        <v>26</v>
      </c>
      <c r="E940" s="2">
        <v>1</v>
      </c>
      <c r="F940" s="2">
        <f>TRUNC(0.46,2)</f>
        <v>0.46</v>
      </c>
      <c r="G940" s="2">
        <f>TRUNC(E940*F940,2)</f>
        <v>0.46</v>
      </c>
    </row>
    <row r="941" spans="1:7" ht="30">
      <c r="A941" s="17"/>
      <c r="B941" s="55" t="s">
        <v>243</v>
      </c>
      <c r="C941" s="64" t="s">
        <v>244</v>
      </c>
      <c r="D941" s="2" t="s">
        <v>61</v>
      </c>
      <c r="E941" s="2">
        <v>0.41200000000000003</v>
      </c>
      <c r="F941" s="2">
        <f>TRUNC(12.54,2)</f>
        <v>12.54</v>
      </c>
      <c r="G941" s="2">
        <f>TRUNC(E941*F941,2)</f>
        <v>5.16</v>
      </c>
    </row>
    <row r="942" spans="1:7" ht="18.75">
      <c r="A942" s="17"/>
      <c r="C942" s="64"/>
      <c r="E942" s="2" t="s">
        <v>62</v>
      </c>
      <c r="G942" s="2">
        <f>TRUNC(SUM(G940:G941),2)</f>
        <v>5.62</v>
      </c>
    </row>
    <row r="943" spans="1:7" ht="18.75">
      <c r="A943" s="33"/>
      <c r="B943" s="169"/>
      <c r="C943" s="436" t="s">
        <v>385</v>
      </c>
      <c r="D943" s="15"/>
      <c r="E943" s="15"/>
      <c r="F943" s="15"/>
      <c r="G943" s="15"/>
    </row>
    <row r="944" spans="1:7" ht="45">
      <c r="A944" s="33" t="s">
        <v>1092</v>
      </c>
      <c r="B944" s="169" t="s">
        <v>891</v>
      </c>
      <c r="C944" s="331" t="s">
        <v>387</v>
      </c>
      <c r="D944" s="15" t="s">
        <v>16</v>
      </c>
      <c r="E944" s="15">
        <v>1</v>
      </c>
      <c r="F944" s="15">
        <f>G951</f>
        <v>32.31</v>
      </c>
      <c r="G944" s="15">
        <f aca="true" t="shared" si="36" ref="G944:G950">TRUNC(E944*F944,2)</f>
        <v>32.31</v>
      </c>
    </row>
    <row r="945" spans="1:7" ht="18.75">
      <c r="A945" s="17"/>
      <c r="B945" s="55" t="s">
        <v>182</v>
      </c>
      <c r="C945" s="244" t="s">
        <v>183</v>
      </c>
      <c r="D945" s="2" t="s">
        <v>26</v>
      </c>
      <c r="E945" s="2">
        <v>2</v>
      </c>
      <c r="F945" s="2">
        <f>TRUNC(0.53,2)</f>
        <v>0.53</v>
      </c>
      <c r="G945" s="2">
        <f t="shared" si="36"/>
        <v>1.06</v>
      </c>
    </row>
    <row r="946" spans="1:7" ht="30">
      <c r="A946" s="17"/>
      <c r="B946" s="55" t="s">
        <v>184</v>
      </c>
      <c r="C946" s="244" t="s">
        <v>185</v>
      </c>
      <c r="D946" s="2" t="s">
        <v>26</v>
      </c>
      <c r="E946" s="2">
        <v>0.01</v>
      </c>
      <c r="F946" s="2">
        <f>TRUNC(402.19,2)</f>
        <v>402.19</v>
      </c>
      <c r="G946" s="2">
        <f t="shared" si="36"/>
        <v>4.02</v>
      </c>
    </row>
    <row r="947" spans="1:7" ht="18.75">
      <c r="A947" s="17"/>
      <c r="B947" s="55" t="s">
        <v>186</v>
      </c>
      <c r="C947" s="244" t="s">
        <v>187</v>
      </c>
      <c r="D947" s="2" t="s">
        <v>56</v>
      </c>
      <c r="E947" s="2">
        <v>0.04</v>
      </c>
      <c r="F947" s="2">
        <f>TRUNC(15.39,2)</f>
        <v>15.39</v>
      </c>
      <c r="G947" s="2">
        <f t="shared" si="36"/>
        <v>0.61</v>
      </c>
    </row>
    <row r="948" spans="1:7" ht="18.75">
      <c r="A948" s="17"/>
      <c r="B948" s="55" t="s">
        <v>188</v>
      </c>
      <c r="C948" s="244" t="s">
        <v>189</v>
      </c>
      <c r="D948" s="2" t="s">
        <v>26</v>
      </c>
      <c r="E948" s="2">
        <v>0.046</v>
      </c>
      <c r="F948" s="2">
        <f>TRUNC(77.74,2)</f>
        <v>77.74</v>
      </c>
      <c r="G948" s="2">
        <f t="shared" si="36"/>
        <v>3.57</v>
      </c>
    </row>
    <row r="949" spans="1:7" ht="30">
      <c r="A949" s="17"/>
      <c r="B949" s="55" t="s">
        <v>243</v>
      </c>
      <c r="C949" s="244" t="s">
        <v>244</v>
      </c>
      <c r="D949" s="2" t="s">
        <v>61</v>
      </c>
      <c r="E949" s="2">
        <v>0.48924999999999996</v>
      </c>
      <c r="F949" s="2">
        <f>TRUNC(12.54,2)</f>
        <v>12.54</v>
      </c>
      <c r="G949" s="2">
        <f t="shared" si="36"/>
        <v>6.13</v>
      </c>
    </row>
    <row r="950" spans="1:7" ht="18.75">
      <c r="A950" s="17"/>
      <c r="B950" s="55" t="s">
        <v>245</v>
      </c>
      <c r="C950" s="244" t="s">
        <v>246</v>
      </c>
      <c r="D950" s="2" t="s">
        <v>61</v>
      </c>
      <c r="E950" s="2">
        <v>0.9784999999999999</v>
      </c>
      <c r="F950" s="2">
        <f>TRUNC(17.3,2)</f>
        <v>17.3</v>
      </c>
      <c r="G950" s="2">
        <f t="shared" si="36"/>
        <v>16.92</v>
      </c>
    </row>
    <row r="951" spans="1:7" ht="18.75">
      <c r="A951" s="17"/>
      <c r="E951" s="2" t="s">
        <v>62</v>
      </c>
      <c r="G951" s="2">
        <f>TRUNC(SUM(G945:G950),2)</f>
        <v>32.31</v>
      </c>
    </row>
    <row r="952" spans="1:3" ht="37.5">
      <c r="A952" s="17"/>
      <c r="C952" s="465" t="s">
        <v>398</v>
      </c>
    </row>
    <row r="953" spans="1:3" ht="18.75">
      <c r="A953" s="17"/>
      <c r="C953" s="258"/>
    </row>
    <row r="954" spans="1:7" ht="18.75">
      <c r="A954" s="33" t="s">
        <v>1093</v>
      </c>
      <c r="B954" s="169" t="s">
        <v>723</v>
      </c>
      <c r="C954" s="331" t="s">
        <v>388</v>
      </c>
      <c r="D954" s="15" t="s">
        <v>16</v>
      </c>
      <c r="E954" s="15">
        <v>1</v>
      </c>
      <c r="F954" s="15">
        <f>G958</f>
        <v>2.32</v>
      </c>
      <c r="G954" s="15">
        <f>TRUNC(E954*F954,2)</f>
        <v>2.32</v>
      </c>
    </row>
    <row r="955" spans="1:7" ht="18.75">
      <c r="A955" s="17"/>
      <c r="B955" s="55" t="s">
        <v>724</v>
      </c>
      <c r="C955" s="244" t="s">
        <v>389</v>
      </c>
      <c r="D955" s="2" t="s">
        <v>73</v>
      </c>
      <c r="E955" s="2">
        <v>0.16</v>
      </c>
      <c r="F955" s="2">
        <f>TRUNC(7.23,2)</f>
        <v>7.23</v>
      </c>
      <c r="G955" s="2">
        <f>TRUNC(E955*F955,2)</f>
        <v>1.15</v>
      </c>
    </row>
    <row r="956" spans="1:7" ht="18.75">
      <c r="A956" s="17"/>
      <c r="B956" s="55" t="s">
        <v>254</v>
      </c>
      <c r="C956" s="244" t="s">
        <v>65</v>
      </c>
      <c r="D956" s="2" t="s">
        <v>61</v>
      </c>
      <c r="E956" s="2">
        <v>0.014</v>
      </c>
      <c r="F956" s="2">
        <f>TRUNC(18.78,2)</f>
        <v>18.78</v>
      </c>
      <c r="G956" s="2">
        <f>TRUNC(E956*F956,2)</f>
        <v>0.26</v>
      </c>
    </row>
    <row r="957" spans="1:7" ht="18.75">
      <c r="A957" s="17"/>
      <c r="B957" s="55" t="s">
        <v>725</v>
      </c>
      <c r="C957" s="244" t="s">
        <v>191</v>
      </c>
      <c r="D957" s="2" t="s">
        <v>61</v>
      </c>
      <c r="E957" s="2">
        <v>0.039</v>
      </c>
      <c r="F957" s="2">
        <f>TRUNC(23.52,2)</f>
        <v>23.52</v>
      </c>
      <c r="G957" s="2">
        <f>TRUNC(E957*F957,2)</f>
        <v>0.91</v>
      </c>
    </row>
    <row r="958" spans="1:7" ht="18.75">
      <c r="A958" s="17"/>
      <c r="E958" s="2" t="s">
        <v>62</v>
      </c>
      <c r="G958" s="2">
        <f>TRUNC(SUM(G955:G957),2)</f>
        <v>2.32</v>
      </c>
    </row>
    <row r="959" spans="1:3" ht="18.75">
      <c r="A959" s="17"/>
      <c r="C959" s="258"/>
    </row>
    <row r="960" spans="1:7" ht="30">
      <c r="A960" s="33" t="s">
        <v>1094</v>
      </c>
      <c r="B960" s="169" t="s">
        <v>892</v>
      </c>
      <c r="C960" s="331" t="s">
        <v>394</v>
      </c>
      <c r="D960" s="15" t="s">
        <v>16</v>
      </c>
      <c r="E960" s="15">
        <v>1</v>
      </c>
      <c r="F960" s="15">
        <f>G965</f>
        <v>23.48</v>
      </c>
      <c r="G960" s="15">
        <f>TRUNC(E960*F960,2)</f>
        <v>23.48</v>
      </c>
    </row>
    <row r="961" spans="1:7" ht="18.75">
      <c r="A961" s="17"/>
      <c r="B961" s="55" t="s">
        <v>893</v>
      </c>
      <c r="C961" s="244" t="s">
        <v>239</v>
      </c>
      <c r="D961" s="2" t="s">
        <v>56</v>
      </c>
      <c r="E961" s="2">
        <v>0.244</v>
      </c>
      <c r="F961" s="2">
        <f>TRUNC(30.01,2)</f>
        <v>30.01</v>
      </c>
      <c r="G961" s="2">
        <f>TRUNC(E961*F961,2)</f>
        <v>7.32</v>
      </c>
    </row>
    <row r="962" spans="1:7" ht="18.75">
      <c r="A962" s="17"/>
      <c r="B962" s="55" t="s">
        <v>894</v>
      </c>
      <c r="C962" s="244" t="s">
        <v>240</v>
      </c>
      <c r="D962" s="2" t="s">
        <v>26</v>
      </c>
      <c r="E962" s="2">
        <v>0.1</v>
      </c>
      <c r="F962" s="2">
        <f>TRUNC(0.65,2)</f>
        <v>0.65</v>
      </c>
      <c r="G962" s="2">
        <f>TRUNC(E962*F962,2)</f>
        <v>0.06</v>
      </c>
    </row>
    <row r="963" spans="1:7" ht="18.75">
      <c r="A963" s="17"/>
      <c r="B963" s="55" t="s">
        <v>254</v>
      </c>
      <c r="C963" s="244" t="s">
        <v>65</v>
      </c>
      <c r="D963" s="2" t="s">
        <v>61</v>
      </c>
      <c r="E963" s="2">
        <v>0.143</v>
      </c>
      <c r="F963" s="2">
        <f>TRUNC(18.78,2)</f>
        <v>18.78</v>
      </c>
      <c r="G963" s="2">
        <f>TRUNC(E963*F963,2)</f>
        <v>2.68</v>
      </c>
    </row>
    <row r="964" spans="1:7" ht="18.75">
      <c r="A964" s="17"/>
      <c r="B964" s="55" t="s">
        <v>725</v>
      </c>
      <c r="C964" s="244" t="s">
        <v>191</v>
      </c>
      <c r="D964" s="2" t="s">
        <v>61</v>
      </c>
      <c r="E964" s="2">
        <v>0.571</v>
      </c>
      <c r="F964" s="2">
        <f>TRUNC(23.52,2)</f>
        <v>23.52</v>
      </c>
      <c r="G964" s="2">
        <f>TRUNC(E964*F964,2)</f>
        <v>13.42</v>
      </c>
    </row>
    <row r="965" spans="1:7" ht="18.75">
      <c r="A965" s="17"/>
      <c r="E965" s="2" t="s">
        <v>62</v>
      </c>
      <c r="G965" s="2">
        <f>TRUNC(SUM(G961:G964),2)</f>
        <v>23.48</v>
      </c>
    </row>
    <row r="966" ht="18.75">
      <c r="A966" s="17"/>
    </row>
    <row r="967" spans="1:7" ht="30">
      <c r="A967" s="33" t="s">
        <v>1095</v>
      </c>
      <c r="B967" s="169" t="s">
        <v>895</v>
      </c>
      <c r="C967" s="331" t="s">
        <v>392</v>
      </c>
      <c r="D967" s="15" t="s">
        <v>16</v>
      </c>
      <c r="E967" s="15">
        <v>1</v>
      </c>
      <c r="F967" s="15">
        <f>G971</f>
        <v>11.08</v>
      </c>
      <c r="G967" s="15">
        <f>TRUNC(E967*F967,2)</f>
        <v>11.08</v>
      </c>
    </row>
    <row r="968" spans="1:7" ht="18.75">
      <c r="A968" s="17"/>
      <c r="B968" s="55" t="s">
        <v>727</v>
      </c>
      <c r="C968" s="244" t="s">
        <v>192</v>
      </c>
      <c r="D968" s="2" t="s">
        <v>73</v>
      </c>
      <c r="E968" s="2">
        <v>0.33</v>
      </c>
      <c r="F968" s="2">
        <f>TRUNC(16.38,2)</f>
        <v>16.38</v>
      </c>
      <c r="G968" s="2">
        <f>TRUNC(E968*F968,2)</f>
        <v>5.4</v>
      </c>
    </row>
    <row r="969" spans="1:7" ht="18.75">
      <c r="A969" s="17"/>
      <c r="B969" s="55" t="s">
        <v>254</v>
      </c>
      <c r="C969" s="244" t="s">
        <v>65</v>
      </c>
      <c r="D969" s="2" t="s">
        <v>61</v>
      </c>
      <c r="E969" s="2">
        <v>0.069</v>
      </c>
      <c r="F969" s="2">
        <f>TRUNC(18.78,2)</f>
        <v>18.78</v>
      </c>
      <c r="G969" s="2">
        <f>TRUNC(E969*F969,2)</f>
        <v>1.29</v>
      </c>
    </row>
    <row r="970" spans="1:7" ht="18.75">
      <c r="A970" s="17"/>
      <c r="B970" s="55" t="s">
        <v>725</v>
      </c>
      <c r="C970" s="244" t="s">
        <v>191</v>
      </c>
      <c r="D970" s="2" t="s">
        <v>61</v>
      </c>
      <c r="E970" s="2">
        <v>0.187</v>
      </c>
      <c r="F970" s="2">
        <f>TRUNC(23.52,2)</f>
        <v>23.52</v>
      </c>
      <c r="G970" s="2">
        <f>TRUNC(E970*F970,2)</f>
        <v>4.39</v>
      </c>
    </row>
    <row r="971" spans="1:7" ht="18.75">
      <c r="A971" s="17"/>
      <c r="E971" s="2" t="s">
        <v>62</v>
      </c>
      <c r="G971" s="2">
        <f>TRUNC(SUM(G968:G970),2)</f>
        <v>11.08</v>
      </c>
    </row>
    <row r="972" spans="1:3" ht="18.75">
      <c r="A972" s="17"/>
      <c r="C972" s="258"/>
    </row>
    <row r="973" spans="1:7" ht="18.75">
      <c r="A973" s="33"/>
      <c r="B973" s="169"/>
      <c r="C973" s="436" t="s">
        <v>386</v>
      </c>
      <c r="D973" s="15"/>
      <c r="E973" s="15"/>
      <c r="F973" s="15"/>
      <c r="G973" s="15"/>
    </row>
    <row r="974" spans="1:7" ht="18.75">
      <c r="A974" s="33" t="s">
        <v>1096</v>
      </c>
      <c r="B974" s="169" t="s">
        <v>896</v>
      </c>
      <c r="C974" s="331" t="s">
        <v>390</v>
      </c>
      <c r="D974" s="15" t="s">
        <v>16</v>
      </c>
      <c r="E974" s="15">
        <v>1</v>
      </c>
      <c r="F974" s="15">
        <f>G978</f>
        <v>3.27</v>
      </c>
      <c r="G974" s="15">
        <f>TRUNC(E974*F974,2)</f>
        <v>3.27</v>
      </c>
    </row>
    <row r="975" spans="1:7" ht="18.75">
      <c r="A975" s="17"/>
      <c r="B975" s="55" t="s">
        <v>897</v>
      </c>
      <c r="C975" s="244" t="s">
        <v>391</v>
      </c>
      <c r="D975" s="2" t="s">
        <v>73</v>
      </c>
      <c r="E975" s="2">
        <v>0.16</v>
      </c>
      <c r="F975" s="2">
        <v>13.74</v>
      </c>
      <c r="G975" s="2">
        <f>TRUNC(E975*F975,2)</f>
        <v>2.19</v>
      </c>
    </row>
    <row r="976" spans="1:7" ht="18.75">
      <c r="A976" s="17"/>
      <c r="B976" s="55" t="s">
        <v>254</v>
      </c>
      <c r="C976" s="244" t="s">
        <v>65</v>
      </c>
      <c r="D976" s="2" t="s">
        <v>61</v>
      </c>
      <c r="E976" s="2">
        <v>0.013</v>
      </c>
      <c r="F976" s="2">
        <v>18.78</v>
      </c>
      <c r="G976" s="2">
        <f>TRUNC(E976*F976,2)</f>
        <v>0.24</v>
      </c>
    </row>
    <row r="977" spans="1:7" ht="18.75">
      <c r="A977" s="17"/>
      <c r="B977" s="55" t="s">
        <v>725</v>
      </c>
      <c r="C977" s="244" t="s">
        <v>191</v>
      </c>
      <c r="D977" s="2" t="s">
        <v>61</v>
      </c>
      <c r="E977" s="2">
        <v>0.036</v>
      </c>
      <c r="F977" s="2">
        <v>23.52</v>
      </c>
      <c r="G977" s="2">
        <f>TRUNC(E977*F977,2)</f>
        <v>0.84</v>
      </c>
    </row>
    <row r="978" spans="1:7" ht="18.75">
      <c r="A978" s="17"/>
      <c r="C978" s="258"/>
      <c r="E978" s="2" t="s">
        <v>62</v>
      </c>
      <c r="G978" s="2">
        <f>TRUNC(SUM(G975:G977),2)</f>
        <v>3.27</v>
      </c>
    </row>
    <row r="979" spans="1:3" ht="18.75">
      <c r="A979" s="17"/>
      <c r="C979" s="258"/>
    </row>
    <row r="980" spans="1:7" ht="18.75">
      <c r="A980" s="33" t="s">
        <v>1097</v>
      </c>
      <c r="B980" s="169" t="s">
        <v>898</v>
      </c>
      <c r="C980" s="331" t="s">
        <v>395</v>
      </c>
      <c r="D980" s="15" t="s">
        <v>16</v>
      </c>
      <c r="E980" s="15">
        <v>1</v>
      </c>
      <c r="F980" s="15">
        <f>G985</f>
        <v>17.8</v>
      </c>
      <c r="G980" s="15">
        <f>TRUNC(E980*F980,2)</f>
        <v>17.8</v>
      </c>
    </row>
    <row r="981" spans="1:7" ht="18.75">
      <c r="A981" s="17"/>
      <c r="B981" s="55" t="s">
        <v>899</v>
      </c>
      <c r="C981" s="244" t="s">
        <v>396</v>
      </c>
      <c r="D981" s="2" t="s">
        <v>397</v>
      </c>
      <c r="E981" s="2">
        <v>0.0328</v>
      </c>
      <c r="F981" s="2">
        <v>74.9</v>
      </c>
      <c r="G981" s="2">
        <f>TRUNC(E981*F981,2)</f>
        <v>2.45</v>
      </c>
    </row>
    <row r="982" spans="1:7" ht="18.75">
      <c r="A982" s="17"/>
      <c r="B982" s="55" t="s">
        <v>894</v>
      </c>
      <c r="C982" s="244" t="s">
        <v>240</v>
      </c>
      <c r="D982" s="2" t="s">
        <v>26</v>
      </c>
      <c r="E982" s="2">
        <v>0.06</v>
      </c>
      <c r="F982" s="2">
        <v>0.65</v>
      </c>
      <c r="G982" s="2">
        <f>TRUNC(E982*F982,2)</f>
        <v>0.03</v>
      </c>
    </row>
    <row r="983" spans="1:7" ht="18.75">
      <c r="A983" s="17"/>
      <c r="B983" s="55" t="s">
        <v>254</v>
      </c>
      <c r="C983" s="244" t="s">
        <v>65</v>
      </c>
      <c r="D983" s="2" t="s">
        <v>61</v>
      </c>
      <c r="E983" s="2">
        <v>0.185</v>
      </c>
      <c r="F983" s="2">
        <v>18.78</v>
      </c>
      <c r="G983" s="2">
        <f>TRUNC(E983*F983,2)</f>
        <v>3.47</v>
      </c>
    </row>
    <row r="984" spans="1:7" ht="18.75">
      <c r="A984" s="17"/>
      <c r="B984" s="55" t="s">
        <v>725</v>
      </c>
      <c r="C984" s="244" t="s">
        <v>191</v>
      </c>
      <c r="D984" s="2" t="s">
        <v>61</v>
      </c>
      <c r="E984" s="2">
        <v>0.504</v>
      </c>
      <c r="F984" s="2">
        <v>23.52</v>
      </c>
      <c r="G984" s="2">
        <f>TRUNC(E984*F984,2)</f>
        <v>11.85</v>
      </c>
    </row>
    <row r="985" spans="1:7" ht="18.75">
      <c r="A985" s="17"/>
      <c r="C985" s="258"/>
      <c r="E985" s="2" t="s">
        <v>62</v>
      </c>
      <c r="G985" s="2">
        <f>TRUNC(SUM(G981:G984),2)</f>
        <v>17.8</v>
      </c>
    </row>
    <row r="986" spans="1:3" ht="18.75">
      <c r="A986" s="17"/>
      <c r="C986" s="258"/>
    </row>
    <row r="987" spans="1:7" ht="30">
      <c r="A987" s="33" t="s">
        <v>1098</v>
      </c>
      <c r="B987" s="169" t="s">
        <v>900</v>
      </c>
      <c r="C987" s="331" t="s">
        <v>48</v>
      </c>
      <c r="D987" s="15" t="s">
        <v>16</v>
      </c>
      <c r="E987" s="15">
        <v>1</v>
      </c>
      <c r="F987" s="15">
        <f>G991</f>
        <v>9.82</v>
      </c>
      <c r="G987" s="15">
        <f>TRUNC(E987*F987,2)</f>
        <v>9.82</v>
      </c>
    </row>
    <row r="988" spans="1:7" ht="18.75">
      <c r="A988" s="17"/>
      <c r="B988" s="55" t="s">
        <v>901</v>
      </c>
      <c r="C988" s="244" t="s">
        <v>393</v>
      </c>
      <c r="D988" s="2" t="s">
        <v>73</v>
      </c>
      <c r="E988" s="2">
        <v>0.33</v>
      </c>
      <c r="F988" s="2">
        <v>14.16</v>
      </c>
      <c r="G988" s="2">
        <f>TRUNC(E988*F988,2)</f>
        <v>4.67</v>
      </c>
    </row>
    <row r="989" spans="1:7" ht="18.75">
      <c r="A989" s="17"/>
      <c r="B989" s="55" t="s">
        <v>254</v>
      </c>
      <c r="C989" s="244" t="s">
        <v>65</v>
      </c>
      <c r="D989" s="2" t="s">
        <v>61</v>
      </c>
      <c r="E989" s="2">
        <v>0.062</v>
      </c>
      <c r="F989" s="2">
        <v>18.78</v>
      </c>
      <c r="G989" s="2">
        <f>TRUNC(E989*F989,2)</f>
        <v>1.16</v>
      </c>
    </row>
    <row r="990" spans="1:7" ht="18.75">
      <c r="A990" s="17"/>
      <c r="B990" s="55" t="s">
        <v>725</v>
      </c>
      <c r="C990" s="244" t="s">
        <v>191</v>
      </c>
      <c r="D990" s="2" t="s">
        <v>61</v>
      </c>
      <c r="E990" s="2">
        <v>0.17</v>
      </c>
      <c r="F990" s="2">
        <v>23.52</v>
      </c>
      <c r="G990" s="2">
        <f>TRUNC(E990*F990,2)</f>
        <v>3.99</v>
      </c>
    </row>
    <row r="991" spans="1:7" ht="18.75">
      <c r="A991" s="17"/>
      <c r="C991" s="258"/>
      <c r="E991" s="2" t="s">
        <v>62</v>
      </c>
      <c r="G991" s="2">
        <f>TRUNC(SUM(G988:G990),2)</f>
        <v>9.82</v>
      </c>
    </row>
    <row r="992" spans="1:3" ht="18.75">
      <c r="A992" s="17"/>
      <c r="C992" s="258"/>
    </row>
    <row r="993" spans="1:7" ht="18.75">
      <c r="A993" s="33"/>
      <c r="B993" s="169"/>
      <c r="C993" s="277" t="s">
        <v>384</v>
      </c>
      <c r="D993" s="15"/>
      <c r="E993" s="15"/>
      <c r="F993" s="15"/>
      <c r="G993" s="15"/>
    </row>
    <row r="994" spans="1:7" ht="18.75">
      <c r="A994" s="33" t="s">
        <v>1099</v>
      </c>
      <c r="B994" s="169" t="s">
        <v>723</v>
      </c>
      <c r="C994" s="331" t="s">
        <v>388</v>
      </c>
      <c r="D994" s="15" t="s">
        <v>16</v>
      </c>
      <c r="E994" s="15">
        <v>1</v>
      </c>
      <c r="F994" s="15">
        <f>G998</f>
        <v>2.32</v>
      </c>
      <c r="G994" s="15">
        <f>TRUNC(E994*F994,2)</f>
        <v>2.32</v>
      </c>
    </row>
    <row r="995" spans="1:7" ht="18.75">
      <c r="A995" s="17"/>
      <c r="B995" s="55" t="s">
        <v>724</v>
      </c>
      <c r="C995" s="244" t="s">
        <v>389</v>
      </c>
      <c r="D995" s="2" t="s">
        <v>73</v>
      </c>
      <c r="E995" s="2">
        <v>0.16</v>
      </c>
      <c r="F995" s="2">
        <v>7.23</v>
      </c>
      <c r="G995" s="2">
        <f>TRUNC(E995*F995,2)</f>
        <v>1.15</v>
      </c>
    </row>
    <row r="996" spans="1:7" ht="18.75">
      <c r="A996" s="17"/>
      <c r="B996" s="55" t="s">
        <v>254</v>
      </c>
      <c r="C996" s="244" t="s">
        <v>65</v>
      </c>
      <c r="D996" s="2" t="s">
        <v>61</v>
      </c>
      <c r="E996" s="2">
        <v>0.014</v>
      </c>
      <c r="F996" s="2">
        <v>18.78</v>
      </c>
      <c r="G996" s="2">
        <f>TRUNC(E996*F996,2)</f>
        <v>0.26</v>
      </c>
    </row>
    <row r="997" spans="1:7" ht="18.75">
      <c r="A997" s="17"/>
      <c r="B997" s="55" t="s">
        <v>725</v>
      </c>
      <c r="C997" s="244" t="s">
        <v>191</v>
      </c>
      <c r="D997" s="2" t="s">
        <v>61</v>
      </c>
      <c r="E997" s="2">
        <v>0.039</v>
      </c>
      <c r="F997" s="2">
        <v>23.52</v>
      </c>
      <c r="G997" s="2">
        <f>TRUNC(E997*F997,2)</f>
        <v>0.91</v>
      </c>
    </row>
    <row r="998" spans="1:7" ht="18.75">
      <c r="A998" s="17"/>
      <c r="C998" s="258"/>
      <c r="E998" s="2" t="s">
        <v>62</v>
      </c>
      <c r="G998" s="2">
        <f>TRUNC(SUM(G995:G997),2)</f>
        <v>2.32</v>
      </c>
    </row>
    <row r="999" spans="1:3" ht="18.75">
      <c r="A999" s="17"/>
      <c r="C999" s="245"/>
    </row>
    <row r="1000" spans="1:7" ht="30">
      <c r="A1000" s="33" t="s">
        <v>1100</v>
      </c>
      <c r="B1000" s="169" t="s">
        <v>726</v>
      </c>
      <c r="C1000" s="330" t="s">
        <v>49</v>
      </c>
      <c r="D1000" s="15" t="s">
        <v>16</v>
      </c>
      <c r="E1000" s="8">
        <v>1</v>
      </c>
      <c r="F1000" s="8">
        <f>G1004</f>
        <v>12.97</v>
      </c>
      <c r="G1000" s="8">
        <f>TRUNC(E1000*F1000,2)</f>
        <v>12.97</v>
      </c>
    </row>
    <row r="1001" spans="1:7" ht="18.75">
      <c r="A1001" s="17"/>
      <c r="B1001" s="55" t="s">
        <v>727</v>
      </c>
      <c r="C1001" s="64" t="s">
        <v>192</v>
      </c>
      <c r="D1001" s="2" t="s">
        <v>73</v>
      </c>
      <c r="E1001" s="9">
        <v>0.2</v>
      </c>
      <c r="F1001" s="9">
        <v>16.38</v>
      </c>
      <c r="G1001" s="9">
        <f>TRUNC(E1001*F1001,2)</f>
        <v>3.27</v>
      </c>
    </row>
    <row r="1002" spans="1:7" ht="18.75">
      <c r="A1002" s="17"/>
      <c r="B1002" s="55" t="s">
        <v>254</v>
      </c>
      <c r="C1002" s="64" t="s">
        <v>65</v>
      </c>
      <c r="D1002" s="2" t="s">
        <v>61</v>
      </c>
      <c r="E1002" s="9">
        <v>0.086</v>
      </c>
      <c r="F1002" s="2">
        <v>18.78</v>
      </c>
      <c r="G1002" s="9">
        <f>TRUNC(E1002*F1002,2)</f>
        <v>1.61</v>
      </c>
    </row>
    <row r="1003" spans="1:7" ht="18.75">
      <c r="A1003" s="17"/>
      <c r="B1003" s="55" t="s">
        <v>725</v>
      </c>
      <c r="C1003" s="64" t="s">
        <v>191</v>
      </c>
      <c r="D1003" s="2" t="s">
        <v>61</v>
      </c>
      <c r="E1003" s="9">
        <v>0.344</v>
      </c>
      <c r="F1003" s="2">
        <v>23.52</v>
      </c>
      <c r="G1003" s="9">
        <f>TRUNC(E1003*F1003,2)</f>
        <v>8.09</v>
      </c>
    </row>
    <row r="1004" spans="1:7" ht="18.75">
      <c r="A1004" s="17"/>
      <c r="C1004" s="64"/>
      <c r="E1004" s="9" t="s">
        <v>62</v>
      </c>
      <c r="F1004" s="9"/>
      <c r="G1004" s="9">
        <f>TRUNC(SUM(G1001:G1003),2)</f>
        <v>12.97</v>
      </c>
    </row>
    <row r="1005" spans="1:7" ht="18.75">
      <c r="A1005" s="17"/>
      <c r="B1005" s="275"/>
      <c r="C1005" s="259"/>
      <c r="D1005" s="61"/>
      <c r="E1005" s="61"/>
      <c r="F1005" s="61"/>
      <c r="G1005" s="61"/>
    </row>
    <row r="1006" spans="1:7" ht="30">
      <c r="A1006" s="33" t="s">
        <v>1101</v>
      </c>
      <c r="B1006" s="169" t="s">
        <v>902</v>
      </c>
      <c r="C1006" s="330" t="s">
        <v>399</v>
      </c>
      <c r="D1006" s="15" t="s">
        <v>16</v>
      </c>
      <c r="E1006" s="15">
        <v>1</v>
      </c>
      <c r="F1006" s="15">
        <f>G1013</f>
        <v>18.15</v>
      </c>
      <c r="G1006" s="15">
        <f aca="true" t="shared" si="37" ref="G1006:G1012">TRUNC(E1006*F1006,2)</f>
        <v>18.15</v>
      </c>
    </row>
    <row r="1007" spans="1:7" ht="18.75">
      <c r="A1007" s="17"/>
      <c r="B1007" s="55" t="s">
        <v>903</v>
      </c>
      <c r="C1007" s="64" t="s">
        <v>400</v>
      </c>
      <c r="D1007" s="2" t="s">
        <v>73</v>
      </c>
      <c r="E1007" s="2">
        <v>0.132</v>
      </c>
      <c r="F1007" s="2">
        <f>TRUNC(25.94,2)</f>
        <v>25.94</v>
      </c>
      <c r="G1007" s="2">
        <f t="shared" si="37"/>
        <v>3.42</v>
      </c>
    </row>
    <row r="1008" spans="1:9" s="61" customFormat="1" ht="18.75">
      <c r="A1008" s="62"/>
      <c r="B1008" s="55" t="s">
        <v>904</v>
      </c>
      <c r="C1008" s="64" t="s">
        <v>401</v>
      </c>
      <c r="D1008" s="2" t="s">
        <v>73</v>
      </c>
      <c r="E1008" s="2">
        <v>0.176</v>
      </c>
      <c r="F1008" s="2">
        <f>TRUNC(28.3,2)</f>
        <v>28.3</v>
      </c>
      <c r="G1008" s="2">
        <f t="shared" si="37"/>
        <v>4.98</v>
      </c>
      <c r="I1008" s="2"/>
    </row>
    <row r="1009" spans="1:7" ht="18.75">
      <c r="A1009" s="17"/>
      <c r="B1009" s="55" t="s">
        <v>905</v>
      </c>
      <c r="C1009" s="64" t="s">
        <v>402</v>
      </c>
      <c r="D1009" s="2" t="s">
        <v>73</v>
      </c>
      <c r="E1009" s="2">
        <v>0.044</v>
      </c>
      <c r="F1009" s="2">
        <f>TRUNC(28.45,2)</f>
        <v>28.45</v>
      </c>
      <c r="G1009" s="2">
        <f t="shared" si="37"/>
        <v>1.25</v>
      </c>
    </row>
    <row r="1010" spans="1:7" ht="18.75">
      <c r="A1010" s="17"/>
      <c r="B1010" s="55" t="s">
        <v>906</v>
      </c>
      <c r="C1010" s="64" t="s">
        <v>403</v>
      </c>
      <c r="D1010" s="2" t="s">
        <v>26</v>
      </c>
      <c r="E1010" s="2">
        <v>0.55</v>
      </c>
      <c r="F1010" s="2">
        <f>TRUNC(2.75,2)</f>
        <v>2.75</v>
      </c>
      <c r="G1010" s="2">
        <f t="shared" si="37"/>
        <v>1.51</v>
      </c>
    </row>
    <row r="1011" spans="1:7" ht="18.75">
      <c r="A1011" s="17"/>
      <c r="B1011" s="55" t="s">
        <v>254</v>
      </c>
      <c r="C1011" s="64" t="s">
        <v>65</v>
      </c>
      <c r="D1011" s="2" t="s">
        <v>61</v>
      </c>
      <c r="E1011" s="2">
        <v>0.11</v>
      </c>
      <c r="F1011" s="2">
        <f>TRUNC(18.78,2)</f>
        <v>18.78</v>
      </c>
      <c r="G1011" s="2">
        <f t="shared" si="37"/>
        <v>2.06</v>
      </c>
    </row>
    <row r="1012" spans="1:7" ht="18.75">
      <c r="A1012" s="17"/>
      <c r="B1012" s="55" t="s">
        <v>725</v>
      </c>
      <c r="C1012" s="64" t="s">
        <v>191</v>
      </c>
      <c r="D1012" s="2" t="s">
        <v>61</v>
      </c>
      <c r="E1012" s="2">
        <v>0.21</v>
      </c>
      <c r="F1012" s="2">
        <f>TRUNC(23.52,2)</f>
        <v>23.52</v>
      </c>
      <c r="G1012" s="2">
        <f t="shared" si="37"/>
        <v>4.93</v>
      </c>
    </row>
    <row r="1013" spans="1:7" ht="18.75">
      <c r="A1013" s="17"/>
      <c r="C1013" s="64"/>
      <c r="E1013" s="2" t="s">
        <v>62</v>
      </c>
      <c r="G1013" s="2">
        <f>TRUNC(SUM(G1007:G1012),2)</f>
        <v>18.15</v>
      </c>
    </row>
    <row r="1014" ht="18.75">
      <c r="A1014" s="17"/>
    </row>
    <row r="1015" spans="1:3" ht="15" customHeight="1">
      <c r="A1015" s="17"/>
      <c r="C1015" s="250"/>
    </row>
    <row r="1016" spans="1:3" ht="15" customHeight="1">
      <c r="A1016" s="17"/>
      <c r="C1016" s="250"/>
    </row>
    <row r="1017" spans="1:3" ht="15" customHeight="1">
      <c r="A1017" s="17"/>
      <c r="C1017" s="250"/>
    </row>
    <row r="1018" ht="15" customHeight="1">
      <c r="A1018" s="17"/>
    </row>
    <row r="1019" ht="15" customHeight="1">
      <c r="A1019" s="17"/>
    </row>
    <row r="1020" ht="15" customHeight="1">
      <c r="A1020" s="17"/>
    </row>
  </sheetData>
  <sheetProtection/>
  <mergeCells count="12">
    <mergeCell ref="C4:G4"/>
    <mergeCell ref="C5:G5"/>
    <mergeCell ref="C6:G6"/>
    <mergeCell ref="C7:G7"/>
    <mergeCell ref="C8:G8"/>
    <mergeCell ref="A9:G9"/>
    <mergeCell ref="A771:G771"/>
    <mergeCell ref="A772:G772"/>
    <mergeCell ref="A773:G773"/>
    <mergeCell ref="A774:G774"/>
    <mergeCell ref="E333:F333"/>
    <mergeCell ref="E349:F349"/>
  </mergeCells>
  <printOptions/>
  <pageMargins left="0.5118110236220472" right="0.5118110236220472" top="0.7874015748031497" bottom="0.7874015748031497" header="0.31496062992125984" footer="0.31496062992125984"/>
  <pageSetup horizontalDpi="600" verticalDpi="600" orientation="portrait" paperSize="9" scale="50" r:id="rId2"/>
  <headerFooter>
    <oddFooter>&amp;L&amp;20&amp;A&amp;C&amp;20Página &amp;P de &amp;N</oddFooter>
  </headerFooter>
  <drawing r:id="rId1"/>
</worksheet>
</file>

<file path=xl/worksheets/sheet2.xml><?xml version="1.0" encoding="utf-8"?>
<worksheet xmlns="http://schemas.openxmlformats.org/spreadsheetml/2006/main" xmlns:r="http://schemas.openxmlformats.org/officeDocument/2006/relationships">
  <dimension ref="A1:J184"/>
  <sheetViews>
    <sheetView tabSelected="1" view="pageBreakPreview" zoomScale="70" zoomScaleNormal="80" zoomScaleSheetLayoutView="70" zoomScalePageLayoutView="0" workbookViewId="0" topLeftCell="A136">
      <selection activeCell="L144" sqref="L144"/>
    </sheetView>
  </sheetViews>
  <sheetFormatPr defaultColWidth="9.140625" defaultRowHeight="12.75"/>
  <cols>
    <col min="1" max="1" width="8.7109375" style="4" customWidth="1"/>
    <col min="2" max="2" width="18.28125" style="34" customWidth="1"/>
    <col min="3" max="3" width="85.57421875" style="2" customWidth="1"/>
    <col min="4" max="4" width="9.00390625" style="31" customWidth="1"/>
    <col min="5" max="5" width="14.7109375" style="9" customWidth="1"/>
    <col min="6" max="6" width="16.8515625" style="9" bestFit="1" customWidth="1"/>
    <col min="7" max="7" width="14.8515625" style="9" bestFit="1" customWidth="1"/>
    <col min="8" max="8" width="12.421875" style="1" customWidth="1"/>
    <col min="9" max="9" width="9.140625" style="2" customWidth="1"/>
    <col min="10" max="10" width="11.7109375" style="70" bestFit="1" customWidth="1"/>
    <col min="11" max="16384" width="9.140625" style="2" customWidth="1"/>
  </cols>
  <sheetData>
    <row r="1" spans="1:9" s="78" customFormat="1" ht="38.25" customHeight="1">
      <c r="A1" s="73"/>
      <c r="B1" s="74"/>
      <c r="C1" s="503" t="s">
        <v>12</v>
      </c>
      <c r="D1" s="504"/>
      <c r="E1" s="504"/>
      <c r="F1" s="75" t="s">
        <v>468</v>
      </c>
      <c r="G1" s="76" t="s">
        <v>470</v>
      </c>
      <c r="H1" s="77" t="s">
        <v>469</v>
      </c>
      <c r="I1" s="55"/>
    </row>
    <row r="2" spans="1:9" s="78" customFormat="1" ht="38.25" customHeight="1">
      <c r="A2" s="79"/>
      <c r="B2" s="80"/>
      <c r="C2" s="505" t="s">
        <v>8</v>
      </c>
      <c r="D2" s="506"/>
      <c r="E2" s="506"/>
      <c r="F2" s="75" t="s">
        <v>919</v>
      </c>
      <c r="G2" s="76"/>
      <c r="H2" s="81">
        <v>43437</v>
      </c>
      <c r="I2" s="55"/>
    </row>
    <row r="3" spans="1:9" s="78" customFormat="1" ht="38.25" customHeight="1">
      <c r="A3" s="79"/>
      <c r="B3" s="80"/>
      <c r="C3" s="505" t="s">
        <v>9</v>
      </c>
      <c r="D3" s="506"/>
      <c r="E3" s="506"/>
      <c r="F3" s="42"/>
      <c r="G3" s="51"/>
      <c r="H3" s="52"/>
      <c r="I3" s="55"/>
    </row>
    <row r="4" spans="1:9" s="78" customFormat="1" ht="38.25" customHeight="1">
      <c r="A4" s="79"/>
      <c r="B4" s="80"/>
      <c r="C4" s="86" t="s">
        <v>454</v>
      </c>
      <c r="D4" s="87"/>
      <c r="E4" s="87"/>
      <c r="F4" s="43"/>
      <c r="G4" s="51"/>
      <c r="H4" s="82"/>
      <c r="I4" s="55"/>
    </row>
    <row r="5" spans="1:8" s="78" customFormat="1" ht="38.25" customHeight="1">
      <c r="A5" s="79"/>
      <c r="B5" s="80"/>
      <c r="C5" s="88" t="s">
        <v>620</v>
      </c>
      <c r="D5" s="89"/>
      <c r="E5" s="95" t="s">
        <v>277</v>
      </c>
      <c r="F5" s="521" t="s">
        <v>924</v>
      </c>
      <c r="G5" s="522"/>
      <c r="H5" s="523"/>
    </row>
    <row r="6" spans="1:8" s="78" customFormat="1" ht="38.25" customHeight="1">
      <c r="A6" s="79"/>
      <c r="B6" s="80"/>
      <c r="C6" s="88" t="s">
        <v>193</v>
      </c>
      <c r="D6" s="89"/>
      <c r="E6" s="94" t="s">
        <v>278</v>
      </c>
      <c r="F6" s="521" t="s">
        <v>923</v>
      </c>
      <c r="G6" s="522"/>
      <c r="H6" s="523"/>
    </row>
    <row r="7" spans="1:10" s="55" customFormat="1" ht="38.25" customHeight="1">
      <c r="A7" s="79"/>
      <c r="B7" s="80"/>
      <c r="C7" s="92" t="s">
        <v>921</v>
      </c>
      <c r="D7" s="90"/>
      <c r="E7" s="94" t="s">
        <v>279</v>
      </c>
      <c r="F7" s="521" t="s">
        <v>922</v>
      </c>
      <c r="G7" s="522"/>
      <c r="H7" s="523"/>
      <c r="J7" s="78"/>
    </row>
    <row r="8" spans="1:10" s="55" customFormat="1" ht="38.25" customHeight="1">
      <c r="A8" s="79"/>
      <c r="B8" s="80"/>
      <c r="C8" s="93" t="s">
        <v>925</v>
      </c>
      <c r="D8" s="91"/>
      <c r="E8" s="96" t="s">
        <v>280</v>
      </c>
      <c r="F8" s="524" t="s">
        <v>453</v>
      </c>
      <c r="G8" s="525"/>
      <c r="H8" s="526"/>
      <c r="J8" s="78"/>
    </row>
    <row r="9" spans="1:10" s="55" customFormat="1" ht="38.25" customHeight="1">
      <c r="A9" s="513" t="s">
        <v>10</v>
      </c>
      <c r="B9" s="514"/>
      <c r="C9" s="515"/>
      <c r="D9" s="515"/>
      <c r="E9" s="515"/>
      <c r="F9" s="514"/>
      <c r="G9" s="514"/>
      <c r="H9" s="516"/>
      <c r="J9" s="78"/>
    </row>
    <row r="10" spans="1:10" s="55" customFormat="1" ht="15" customHeight="1">
      <c r="A10" s="507" t="s">
        <v>0</v>
      </c>
      <c r="B10" s="507" t="s">
        <v>11</v>
      </c>
      <c r="C10" s="509" t="s">
        <v>1</v>
      </c>
      <c r="D10" s="511" t="s">
        <v>2</v>
      </c>
      <c r="E10" s="509" t="s">
        <v>3</v>
      </c>
      <c r="F10" s="509" t="s">
        <v>13</v>
      </c>
      <c r="G10" s="509" t="s">
        <v>14</v>
      </c>
      <c r="H10" s="518" t="s">
        <v>6</v>
      </c>
      <c r="J10" s="78"/>
    </row>
    <row r="11" spans="1:10" s="55" customFormat="1" ht="15.75">
      <c r="A11" s="508"/>
      <c r="B11" s="508"/>
      <c r="C11" s="510"/>
      <c r="D11" s="512"/>
      <c r="E11" s="510"/>
      <c r="F11" s="510"/>
      <c r="G11" s="517"/>
      <c r="H11" s="519"/>
      <c r="J11" s="78"/>
    </row>
    <row r="12" spans="1:10" s="55" customFormat="1" ht="15.75">
      <c r="A12" s="97" t="s">
        <v>956</v>
      </c>
      <c r="B12" s="97"/>
      <c r="C12" s="98" t="s">
        <v>15</v>
      </c>
      <c r="D12" s="99"/>
      <c r="E12" s="100"/>
      <c r="F12" s="100"/>
      <c r="G12" s="101"/>
      <c r="H12" s="102"/>
      <c r="J12" s="78"/>
    </row>
    <row r="13" spans="1:10" s="110" customFormat="1" ht="31.5">
      <c r="A13" s="103" t="s">
        <v>957</v>
      </c>
      <c r="B13" s="104" t="s">
        <v>241</v>
      </c>
      <c r="C13" s="105" t="s">
        <v>955</v>
      </c>
      <c r="D13" s="106" t="s">
        <v>16</v>
      </c>
      <c r="E13" s="107">
        <v>12</v>
      </c>
      <c r="F13" s="108">
        <v>382.37</v>
      </c>
      <c r="G13" s="107">
        <f>TRUNC(E13*F13,2)</f>
        <v>4588.44</v>
      </c>
      <c r="H13" s="109">
        <f>(G13/$G$184)*100</f>
        <v>1.4444855096234184</v>
      </c>
      <c r="I13" s="110">
        <v>382.37</v>
      </c>
      <c r="J13" s="111"/>
    </row>
    <row r="14" spans="1:10" s="55" customFormat="1" ht="15.75">
      <c r="A14" s="112"/>
      <c r="B14" s="112"/>
      <c r="C14" s="520" t="s">
        <v>17</v>
      </c>
      <c r="D14" s="520"/>
      <c r="E14" s="520"/>
      <c r="F14" s="113"/>
      <c r="G14" s="114">
        <f>SUM(G13:G13)</f>
        <v>4588.44</v>
      </c>
      <c r="H14" s="115">
        <f>(G14/$G$184)*100</f>
        <v>1.4444855096234184</v>
      </c>
      <c r="I14" s="110">
        <v>0</v>
      </c>
      <c r="J14" s="111"/>
    </row>
    <row r="15" spans="1:10" s="55" customFormat="1" ht="15.75">
      <c r="A15" s="97" t="s">
        <v>958</v>
      </c>
      <c r="B15" s="97"/>
      <c r="C15" s="98" t="s">
        <v>29</v>
      </c>
      <c r="D15" s="99"/>
      <c r="E15" s="100"/>
      <c r="F15" s="116"/>
      <c r="G15" s="107"/>
      <c r="H15" s="109"/>
      <c r="I15" s="110">
        <v>0</v>
      </c>
      <c r="J15" s="111"/>
    </row>
    <row r="16" spans="1:10" s="110" customFormat="1" ht="15.75">
      <c r="A16" s="103" t="s">
        <v>959</v>
      </c>
      <c r="B16" s="104" t="s">
        <v>429</v>
      </c>
      <c r="C16" s="105" t="s">
        <v>281</v>
      </c>
      <c r="D16" s="106" t="s">
        <v>16</v>
      </c>
      <c r="E16" s="107">
        <v>36.06</v>
      </c>
      <c r="F16" s="117">
        <v>1.93</v>
      </c>
      <c r="G16" s="107">
        <f aca="true" t="shared" si="0" ref="G16:G21">TRUNC(E16*F16,2)</f>
        <v>69.59</v>
      </c>
      <c r="H16" s="109">
        <f aca="true" t="shared" si="1" ref="H16:H22">(G16/$G$184)*100</f>
        <v>0.021907608384264303</v>
      </c>
      <c r="I16" s="110">
        <v>1.93</v>
      </c>
      <c r="J16" s="111"/>
    </row>
    <row r="17" spans="1:10" s="110" customFormat="1" ht="31.5">
      <c r="A17" s="103" t="s">
        <v>960</v>
      </c>
      <c r="B17" s="104" t="s">
        <v>430</v>
      </c>
      <c r="C17" s="159" t="s">
        <v>647</v>
      </c>
      <c r="D17" s="106" t="s">
        <v>20</v>
      </c>
      <c r="E17" s="213">
        <v>2.65</v>
      </c>
      <c r="F17" s="117">
        <v>227.19</v>
      </c>
      <c r="G17" s="107">
        <f t="shared" si="0"/>
        <v>602.05</v>
      </c>
      <c r="H17" s="109">
        <f t="shared" si="1"/>
        <v>0.18953119166182386</v>
      </c>
      <c r="I17" s="110">
        <v>227.19</v>
      </c>
      <c r="J17" s="111"/>
    </row>
    <row r="18" spans="1:10" s="110" customFormat="1" ht="15.75">
      <c r="A18" s="103" t="s">
        <v>961</v>
      </c>
      <c r="B18" s="104" t="s">
        <v>522</v>
      </c>
      <c r="C18" s="105" t="s">
        <v>521</v>
      </c>
      <c r="D18" s="106" t="s">
        <v>20</v>
      </c>
      <c r="E18" s="213">
        <v>0.52</v>
      </c>
      <c r="F18" s="117">
        <v>58.02</v>
      </c>
      <c r="G18" s="107">
        <f t="shared" si="0"/>
        <v>30.17</v>
      </c>
      <c r="H18" s="109">
        <f t="shared" si="1"/>
        <v>0.009497809239161575</v>
      </c>
      <c r="I18" s="110">
        <v>58.02</v>
      </c>
      <c r="J18" s="111"/>
    </row>
    <row r="19" spans="1:10" s="110" customFormat="1" ht="47.25">
      <c r="A19" s="103" t="s">
        <v>962</v>
      </c>
      <c r="B19" s="104" t="s">
        <v>482</v>
      </c>
      <c r="C19" s="105" t="s">
        <v>478</v>
      </c>
      <c r="D19" s="106" t="s">
        <v>20</v>
      </c>
      <c r="E19" s="213">
        <v>3.45</v>
      </c>
      <c r="F19" s="117">
        <v>2.18</v>
      </c>
      <c r="G19" s="107">
        <f t="shared" si="0"/>
        <v>7.52</v>
      </c>
      <c r="H19" s="109">
        <f t="shared" si="1"/>
        <v>0.0023673690911002665</v>
      </c>
      <c r="I19" s="110">
        <v>2.18</v>
      </c>
      <c r="J19" s="111"/>
    </row>
    <row r="20" spans="1:10" s="110" customFormat="1" ht="31.5">
      <c r="A20" s="103" t="s">
        <v>963</v>
      </c>
      <c r="B20" s="104" t="s">
        <v>648</v>
      </c>
      <c r="C20" s="105" t="s">
        <v>623</v>
      </c>
      <c r="D20" s="106" t="s">
        <v>23</v>
      </c>
      <c r="E20" s="213">
        <v>38.99</v>
      </c>
      <c r="F20" s="117">
        <v>1.9</v>
      </c>
      <c r="G20" s="107">
        <f t="shared" si="0"/>
        <v>74.08</v>
      </c>
      <c r="H20" s="109">
        <f t="shared" si="1"/>
        <v>0.023321104025094117</v>
      </c>
      <c r="I20" s="110">
        <v>1.9</v>
      </c>
      <c r="J20" s="111"/>
    </row>
    <row r="21" spans="1:10" s="110" customFormat="1" ht="31.5">
      <c r="A21" s="103" t="s">
        <v>964</v>
      </c>
      <c r="B21" s="104" t="s">
        <v>483</v>
      </c>
      <c r="C21" s="105" t="s">
        <v>479</v>
      </c>
      <c r="D21" s="106" t="s">
        <v>20</v>
      </c>
      <c r="E21" s="213">
        <v>3.45</v>
      </c>
      <c r="F21" s="117">
        <v>2.08</v>
      </c>
      <c r="G21" s="107">
        <f t="shared" si="0"/>
        <v>7.17</v>
      </c>
      <c r="H21" s="109">
        <f t="shared" si="1"/>
        <v>0.0022571856892538446</v>
      </c>
      <c r="I21" s="110">
        <v>2.08</v>
      </c>
      <c r="J21" s="111"/>
    </row>
    <row r="22" spans="1:10" s="55" customFormat="1" ht="15.75">
      <c r="A22" s="112"/>
      <c r="B22" s="112"/>
      <c r="C22" s="520" t="s">
        <v>17</v>
      </c>
      <c r="D22" s="520"/>
      <c r="E22" s="520"/>
      <c r="F22" s="113"/>
      <c r="G22" s="114">
        <f>SUM(G16:G21)</f>
        <v>790.5799999999999</v>
      </c>
      <c r="H22" s="115">
        <f t="shared" si="1"/>
        <v>0.24888226809069797</v>
      </c>
      <c r="I22" s="110">
        <v>0</v>
      </c>
      <c r="J22" s="111"/>
    </row>
    <row r="23" spans="1:10" s="55" customFormat="1" ht="15.75">
      <c r="A23" s="97" t="s">
        <v>965</v>
      </c>
      <c r="B23" s="97"/>
      <c r="C23" s="98" t="s">
        <v>18</v>
      </c>
      <c r="D23" s="99"/>
      <c r="E23" s="100"/>
      <c r="F23" s="116"/>
      <c r="G23" s="101"/>
      <c r="H23" s="109"/>
      <c r="I23" s="110">
        <v>0</v>
      </c>
      <c r="J23" s="111"/>
    </row>
    <row r="24" spans="1:10" s="55" customFormat="1" ht="63">
      <c r="A24" s="97" t="s">
        <v>966</v>
      </c>
      <c r="B24" s="118" t="s">
        <v>259</v>
      </c>
      <c r="C24" s="105" t="s">
        <v>351</v>
      </c>
      <c r="D24" s="106" t="s">
        <v>16</v>
      </c>
      <c r="E24" s="119">
        <v>268.5</v>
      </c>
      <c r="F24" s="120">
        <v>16.23</v>
      </c>
      <c r="G24" s="119">
        <f aca="true" t="shared" si="2" ref="G24:G35">TRUNC(E24*F24,2)</f>
        <v>4357.75</v>
      </c>
      <c r="H24" s="109">
        <f aca="true" t="shared" si="3" ref="H24:H36">(G24/$G$184)*100</f>
        <v>1.371862055417844</v>
      </c>
      <c r="I24" s="110">
        <v>16.23</v>
      </c>
      <c r="J24" s="111"/>
    </row>
    <row r="25" spans="1:10" s="55" customFormat="1" ht="31.5">
      <c r="A25" s="97" t="s">
        <v>967</v>
      </c>
      <c r="B25" s="104" t="s">
        <v>253</v>
      </c>
      <c r="C25" s="105" t="s">
        <v>195</v>
      </c>
      <c r="D25" s="106" t="s">
        <v>20</v>
      </c>
      <c r="E25" s="119">
        <v>8</v>
      </c>
      <c r="F25" s="120">
        <v>63.07</v>
      </c>
      <c r="G25" s="119">
        <f t="shared" si="2"/>
        <v>504.56</v>
      </c>
      <c r="H25" s="109">
        <f t="shared" si="3"/>
        <v>0.15884039210180195</v>
      </c>
      <c r="I25" s="110">
        <v>63.07</v>
      </c>
      <c r="J25" s="111"/>
    </row>
    <row r="26" spans="1:10" s="55" customFormat="1" ht="47.25">
      <c r="A26" s="97" t="s">
        <v>968</v>
      </c>
      <c r="B26" s="104" t="s">
        <v>651</v>
      </c>
      <c r="C26" s="105" t="s">
        <v>202</v>
      </c>
      <c r="D26" s="106" t="s">
        <v>20</v>
      </c>
      <c r="E26" s="119">
        <v>0.15</v>
      </c>
      <c r="F26" s="120">
        <v>653.86</v>
      </c>
      <c r="G26" s="119">
        <f t="shared" si="2"/>
        <v>98.07</v>
      </c>
      <c r="H26" s="109">
        <f t="shared" si="3"/>
        <v>0.03087338919736744</v>
      </c>
      <c r="I26" s="110">
        <v>653.86</v>
      </c>
      <c r="J26" s="111"/>
    </row>
    <row r="27" spans="1:10" s="55" customFormat="1" ht="47.25">
      <c r="A27" s="97" t="s">
        <v>969</v>
      </c>
      <c r="B27" s="104" t="s">
        <v>430</v>
      </c>
      <c r="C27" s="105" t="s">
        <v>284</v>
      </c>
      <c r="D27" s="106" t="s">
        <v>20</v>
      </c>
      <c r="E27" s="119">
        <v>1.84</v>
      </c>
      <c r="F27" s="120">
        <v>227.19</v>
      </c>
      <c r="G27" s="119">
        <f t="shared" si="2"/>
        <v>418.02</v>
      </c>
      <c r="H27" s="109">
        <f t="shared" si="3"/>
        <v>0.1315967589709752</v>
      </c>
      <c r="I27" s="110">
        <v>227.19</v>
      </c>
      <c r="J27" s="111"/>
    </row>
    <row r="28" spans="1:10" s="55" customFormat="1" ht="31.5">
      <c r="A28" s="97" t="s">
        <v>970</v>
      </c>
      <c r="B28" s="118" t="s">
        <v>653</v>
      </c>
      <c r="C28" s="105" t="s">
        <v>196</v>
      </c>
      <c r="D28" s="106" t="s">
        <v>16</v>
      </c>
      <c r="E28" s="119">
        <f>402.12+143.83</f>
        <v>545.95</v>
      </c>
      <c r="F28" s="120">
        <v>25.57</v>
      </c>
      <c r="G28" s="119">
        <f t="shared" si="2"/>
        <v>13959.94</v>
      </c>
      <c r="H28" s="109">
        <f t="shared" si="3"/>
        <v>4.394724796491258</v>
      </c>
      <c r="I28" s="110">
        <v>25.57</v>
      </c>
      <c r="J28" s="111"/>
    </row>
    <row r="29" spans="1:10" s="55" customFormat="1" ht="31.5">
      <c r="A29" s="97" t="s">
        <v>971</v>
      </c>
      <c r="B29" s="104" t="s">
        <v>282</v>
      </c>
      <c r="C29" s="105" t="s">
        <v>283</v>
      </c>
      <c r="D29" s="106" t="s">
        <v>16</v>
      </c>
      <c r="E29" s="212">
        <v>36.26</v>
      </c>
      <c r="F29" s="120">
        <v>3.67</v>
      </c>
      <c r="G29" s="119">
        <f t="shared" si="2"/>
        <v>133.07</v>
      </c>
      <c r="H29" s="109">
        <f t="shared" si="3"/>
        <v>0.041891729382009635</v>
      </c>
      <c r="I29" s="110">
        <v>3.67</v>
      </c>
      <c r="J29" s="111"/>
    </row>
    <row r="30" spans="1:10" s="55" customFormat="1" ht="31.5">
      <c r="A30" s="97" t="s">
        <v>972</v>
      </c>
      <c r="B30" s="121" t="s">
        <v>656</v>
      </c>
      <c r="C30" s="105" t="s">
        <v>471</v>
      </c>
      <c r="D30" s="106" t="s">
        <v>16</v>
      </c>
      <c r="E30" s="212">
        <v>1.6</v>
      </c>
      <c r="F30" s="120">
        <v>5.53</v>
      </c>
      <c r="G30" s="119">
        <f t="shared" si="2"/>
        <v>8.84</v>
      </c>
      <c r="H30" s="109">
        <f t="shared" si="3"/>
        <v>0.002782917920921058</v>
      </c>
      <c r="I30" s="110">
        <v>5.53</v>
      </c>
      <c r="J30" s="111"/>
    </row>
    <row r="31" spans="1:10" s="55" customFormat="1" ht="31.5">
      <c r="A31" s="97" t="s">
        <v>973</v>
      </c>
      <c r="B31" s="104" t="s">
        <v>658</v>
      </c>
      <c r="C31" s="105" t="s">
        <v>285</v>
      </c>
      <c r="D31" s="106" t="s">
        <v>16</v>
      </c>
      <c r="E31" s="212">
        <v>2.1</v>
      </c>
      <c r="F31" s="120">
        <v>3.69</v>
      </c>
      <c r="G31" s="119">
        <f t="shared" si="2"/>
        <v>7.74</v>
      </c>
      <c r="H31" s="109">
        <f t="shared" si="3"/>
        <v>0.002436627229403732</v>
      </c>
      <c r="I31" s="110">
        <v>3.69</v>
      </c>
      <c r="J31" s="111"/>
    </row>
    <row r="32" spans="1:10" s="55" customFormat="1" ht="15.75">
      <c r="A32" s="97" t="s">
        <v>974</v>
      </c>
      <c r="B32" s="105" t="s">
        <v>660</v>
      </c>
      <c r="C32" s="105" t="s">
        <v>908</v>
      </c>
      <c r="D32" s="122" t="s">
        <v>16</v>
      </c>
      <c r="E32" s="212">
        <v>10.97</v>
      </c>
      <c r="F32" s="120">
        <v>16.63</v>
      </c>
      <c r="G32" s="119">
        <f t="shared" si="2"/>
        <v>182.43</v>
      </c>
      <c r="H32" s="109">
        <f t="shared" si="3"/>
        <v>0.05743073713955075</v>
      </c>
      <c r="I32" s="110">
        <v>16.63</v>
      </c>
      <c r="J32" s="111"/>
    </row>
    <row r="33" spans="1:10" s="55" customFormat="1" ht="15.75">
      <c r="A33" s="97" t="s">
        <v>975</v>
      </c>
      <c r="B33" s="104" t="s">
        <v>661</v>
      </c>
      <c r="C33" s="105" t="s">
        <v>22</v>
      </c>
      <c r="D33" s="106" t="s">
        <v>20</v>
      </c>
      <c r="E33" s="212">
        <v>45.129</v>
      </c>
      <c r="F33" s="120">
        <v>27.79</v>
      </c>
      <c r="G33" s="119">
        <f t="shared" si="2"/>
        <v>1254.13</v>
      </c>
      <c r="H33" s="109">
        <f t="shared" si="3"/>
        <v>0.39481231359329494</v>
      </c>
      <c r="I33" s="110">
        <v>27.79</v>
      </c>
      <c r="J33" s="111"/>
    </row>
    <row r="34" spans="1:10" s="55" customFormat="1" ht="31.5">
      <c r="A34" s="97" t="s">
        <v>976</v>
      </c>
      <c r="B34" s="104" t="s">
        <v>648</v>
      </c>
      <c r="C34" s="105" t="s">
        <v>623</v>
      </c>
      <c r="D34" s="106" t="s">
        <v>23</v>
      </c>
      <c r="E34" s="212">
        <v>509.96</v>
      </c>
      <c r="F34" s="120">
        <v>1.9</v>
      </c>
      <c r="G34" s="119">
        <f t="shared" si="2"/>
        <v>968.92</v>
      </c>
      <c r="H34" s="109">
        <f t="shared" si="3"/>
        <v>0.30502543347724337</v>
      </c>
      <c r="I34" s="110">
        <v>1.9</v>
      </c>
      <c r="J34" s="111"/>
    </row>
    <row r="35" spans="1:10" s="55" customFormat="1" ht="31.5">
      <c r="A35" s="97" t="s">
        <v>977</v>
      </c>
      <c r="B35" s="104" t="s">
        <v>663</v>
      </c>
      <c r="C35" s="105" t="s">
        <v>24</v>
      </c>
      <c r="D35" s="106" t="s">
        <v>20</v>
      </c>
      <c r="E35" s="212">
        <v>45.13</v>
      </c>
      <c r="F35" s="120">
        <v>1.23</v>
      </c>
      <c r="G35" s="119">
        <f t="shared" si="2"/>
        <v>55.5</v>
      </c>
      <c r="H35" s="109">
        <f t="shared" si="3"/>
        <v>0.017471939435646917</v>
      </c>
      <c r="I35" s="110">
        <v>1.23</v>
      </c>
      <c r="J35" s="111"/>
    </row>
    <row r="36" spans="1:10" s="55" customFormat="1" ht="15.75">
      <c r="A36" s="112"/>
      <c r="B36" s="112"/>
      <c r="C36" s="520" t="s">
        <v>17</v>
      </c>
      <c r="D36" s="520"/>
      <c r="E36" s="520"/>
      <c r="F36" s="113"/>
      <c r="G36" s="114">
        <f>SUM(G24:G35)</f>
        <v>21948.97</v>
      </c>
      <c r="H36" s="115">
        <f t="shared" si="3"/>
        <v>6.909749090357317</v>
      </c>
      <c r="I36" s="110">
        <v>0</v>
      </c>
      <c r="J36" s="111"/>
    </row>
    <row r="37" spans="1:10" s="55" customFormat="1" ht="15.75">
      <c r="A37" s="97" t="s">
        <v>978</v>
      </c>
      <c r="B37" s="97"/>
      <c r="C37" s="98" t="s">
        <v>25</v>
      </c>
      <c r="D37" s="99"/>
      <c r="E37" s="100"/>
      <c r="F37" s="116"/>
      <c r="G37" s="101"/>
      <c r="H37" s="109"/>
      <c r="I37" s="110">
        <v>0</v>
      </c>
      <c r="J37" s="111"/>
    </row>
    <row r="38" spans="1:10" s="55" customFormat="1" ht="31.5">
      <c r="A38" s="97" t="s">
        <v>979</v>
      </c>
      <c r="B38" s="104" t="s">
        <v>667</v>
      </c>
      <c r="C38" s="105" t="s">
        <v>287</v>
      </c>
      <c r="D38" s="106" t="s">
        <v>26</v>
      </c>
      <c r="E38" s="123">
        <v>24</v>
      </c>
      <c r="F38" s="124">
        <v>13.65</v>
      </c>
      <c r="G38" s="119">
        <f aca="true" t="shared" si="4" ref="G38:G46">TRUNC(E38*F38,2)</f>
        <v>327.6</v>
      </c>
      <c r="H38" s="109">
        <f aca="true" t="shared" si="5" ref="H38:H47">(G38/$G$184)*100</f>
        <v>0.10313166412825098</v>
      </c>
      <c r="I38" s="110">
        <v>13.65</v>
      </c>
      <c r="J38" s="111"/>
    </row>
    <row r="39" spans="1:10" s="55" customFormat="1" ht="31.5">
      <c r="A39" s="97" t="s">
        <v>980</v>
      </c>
      <c r="B39" s="104" t="s">
        <v>669</v>
      </c>
      <c r="C39" s="105" t="s">
        <v>286</v>
      </c>
      <c r="D39" s="106" t="s">
        <v>26</v>
      </c>
      <c r="E39" s="123">
        <v>37</v>
      </c>
      <c r="F39" s="124">
        <v>9.95</v>
      </c>
      <c r="G39" s="119">
        <f t="shared" si="4"/>
        <v>368.15</v>
      </c>
      <c r="H39" s="109">
        <f t="shared" si="5"/>
        <v>0.11589719825645785</v>
      </c>
      <c r="I39" s="110">
        <v>9.95</v>
      </c>
      <c r="J39" s="111"/>
    </row>
    <row r="40" spans="1:10" s="55" customFormat="1" ht="47.25">
      <c r="A40" s="97" t="s">
        <v>981</v>
      </c>
      <c r="B40" s="104" t="s">
        <v>665</v>
      </c>
      <c r="C40" s="105" t="s">
        <v>27</v>
      </c>
      <c r="D40" s="106" t="s">
        <v>19</v>
      </c>
      <c r="E40" s="123">
        <v>5.8</v>
      </c>
      <c r="F40" s="124">
        <v>39.57</v>
      </c>
      <c r="G40" s="119">
        <f t="shared" si="4"/>
        <v>229.5</v>
      </c>
      <c r="H40" s="109">
        <f t="shared" si="5"/>
        <v>0.0722488306392967</v>
      </c>
      <c r="I40" s="110">
        <v>39.57</v>
      </c>
      <c r="J40" s="111"/>
    </row>
    <row r="41" spans="1:10" s="55" customFormat="1" ht="31.5">
      <c r="A41" s="97" t="s">
        <v>982</v>
      </c>
      <c r="B41" s="104" t="s">
        <v>931</v>
      </c>
      <c r="C41" s="105" t="s">
        <v>198</v>
      </c>
      <c r="D41" s="106" t="s">
        <v>16</v>
      </c>
      <c r="E41" s="123">
        <v>38.37</v>
      </c>
      <c r="F41" s="124">
        <v>10.22</v>
      </c>
      <c r="G41" s="119">
        <f t="shared" si="4"/>
        <v>392.14</v>
      </c>
      <c r="H41" s="109">
        <f t="shared" si="5"/>
        <v>0.12344948342873117</v>
      </c>
      <c r="I41" s="110">
        <v>10.22</v>
      </c>
      <c r="J41" s="111"/>
    </row>
    <row r="42" spans="1:10" s="55" customFormat="1" ht="47.25">
      <c r="A42" s="97" t="s">
        <v>983</v>
      </c>
      <c r="B42" s="104" t="s">
        <v>670</v>
      </c>
      <c r="C42" s="105" t="s">
        <v>352</v>
      </c>
      <c r="D42" s="106" t="s">
        <v>16</v>
      </c>
      <c r="E42" s="123">
        <v>120.76</v>
      </c>
      <c r="F42" s="124">
        <v>14.44</v>
      </c>
      <c r="G42" s="119">
        <f t="shared" si="4"/>
        <v>1743.77</v>
      </c>
      <c r="H42" s="109">
        <f t="shared" si="5"/>
        <v>0.5489557446792437</v>
      </c>
      <c r="I42" s="110">
        <v>14.44</v>
      </c>
      <c r="J42" s="111"/>
    </row>
    <row r="43" spans="1:10" s="55" customFormat="1" ht="31.5">
      <c r="A43" s="97" t="s">
        <v>984</v>
      </c>
      <c r="B43" s="118" t="s">
        <v>673</v>
      </c>
      <c r="C43" s="105" t="s">
        <v>509</v>
      </c>
      <c r="D43" s="122" t="s">
        <v>26</v>
      </c>
      <c r="E43" s="123">
        <v>46</v>
      </c>
      <c r="F43" s="124">
        <v>1.41</v>
      </c>
      <c r="G43" s="119">
        <f t="shared" si="4"/>
        <v>64.86</v>
      </c>
      <c r="H43" s="109">
        <f t="shared" si="5"/>
        <v>0.0204185584107398</v>
      </c>
      <c r="I43" s="110">
        <v>1.41</v>
      </c>
      <c r="J43" s="111"/>
    </row>
    <row r="44" spans="1:10" s="55" customFormat="1" ht="15.75">
      <c r="A44" s="97" t="s">
        <v>985</v>
      </c>
      <c r="B44" s="104" t="s">
        <v>21</v>
      </c>
      <c r="C44" s="105" t="s">
        <v>22</v>
      </c>
      <c r="D44" s="106" t="s">
        <v>20</v>
      </c>
      <c r="E44" s="123">
        <v>12</v>
      </c>
      <c r="F44" s="124">
        <v>27.79</v>
      </c>
      <c r="G44" s="119">
        <f t="shared" si="4"/>
        <v>333.48</v>
      </c>
      <c r="H44" s="109">
        <f t="shared" si="5"/>
        <v>0.10498274527927086</v>
      </c>
      <c r="I44" s="110">
        <v>27.79</v>
      </c>
      <c r="J44" s="111"/>
    </row>
    <row r="45" spans="1:10" s="55" customFormat="1" ht="47.25">
      <c r="A45" s="97" t="s">
        <v>986</v>
      </c>
      <c r="B45" s="104" t="s">
        <v>932</v>
      </c>
      <c r="C45" s="105" t="s">
        <v>1136</v>
      </c>
      <c r="D45" s="106" t="s">
        <v>23</v>
      </c>
      <c r="E45" s="123">
        <v>34.8</v>
      </c>
      <c r="F45" s="124">
        <v>1.9</v>
      </c>
      <c r="G45" s="119">
        <f t="shared" si="4"/>
        <v>66.12</v>
      </c>
      <c r="H45" s="109">
        <f t="shared" si="5"/>
        <v>0.02081521865738692</v>
      </c>
      <c r="I45" s="110">
        <v>1.9</v>
      </c>
      <c r="J45" s="111"/>
    </row>
    <row r="46" spans="1:10" s="55" customFormat="1" ht="31.5">
      <c r="A46" s="97" t="s">
        <v>987</v>
      </c>
      <c r="B46" s="118" t="s">
        <v>674</v>
      </c>
      <c r="C46" s="105" t="s">
        <v>28</v>
      </c>
      <c r="D46" s="106" t="s">
        <v>20</v>
      </c>
      <c r="E46" s="123">
        <v>12</v>
      </c>
      <c r="F46" s="124">
        <v>13.89</v>
      </c>
      <c r="G46" s="119">
        <f t="shared" si="4"/>
        <v>166.68</v>
      </c>
      <c r="H46" s="109">
        <f t="shared" si="5"/>
        <v>0.052472484056461766</v>
      </c>
      <c r="I46" s="110">
        <v>13.89</v>
      </c>
      <c r="J46" s="111"/>
    </row>
    <row r="47" spans="1:10" s="55" customFormat="1" ht="15.75">
      <c r="A47" s="112"/>
      <c r="B47" s="112"/>
      <c r="C47" s="520" t="s">
        <v>17</v>
      </c>
      <c r="D47" s="520"/>
      <c r="E47" s="520"/>
      <c r="F47" s="113"/>
      <c r="G47" s="114">
        <f>SUM(G38:G46)</f>
        <v>3692.2999999999997</v>
      </c>
      <c r="H47" s="115">
        <f t="shared" si="5"/>
        <v>1.1623719275358395</v>
      </c>
      <c r="I47" s="110">
        <v>0</v>
      </c>
      <c r="J47" s="111"/>
    </row>
    <row r="48" spans="1:10" s="55" customFormat="1" ht="15.75">
      <c r="A48" s="126" t="s">
        <v>988</v>
      </c>
      <c r="B48" s="127"/>
      <c r="C48" s="98" t="s">
        <v>405</v>
      </c>
      <c r="D48" s="128"/>
      <c r="E48" s="128"/>
      <c r="F48" s="117"/>
      <c r="G48" s="107"/>
      <c r="H48" s="109"/>
      <c r="I48" s="110">
        <v>0</v>
      </c>
      <c r="J48" s="111"/>
    </row>
    <row r="49" spans="1:10" s="55" customFormat="1" ht="47.25">
      <c r="A49" s="126" t="s">
        <v>989</v>
      </c>
      <c r="B49" s="129" t="s">
        <v>675</v>
      </c>
      <c r="C49" s="130" t="s">
        <v>406</v>
      </c>
      <c r="D49" s="131" t="s">
        <v>20</v>
      </c>
      <c r="E49" s="132">
        <v>0.23</v>
      </c>
      <c r="F49" s="133">
        <v>495.6</v>
      </c>
      <c r="G49" s="119">
        <f aca="true" t="shared" si="6" ref="G49:G59">TRUNC(E49*F49,2)</f>
        <v>113.98</v>
      </c>
      <c r="H49" s="109">
        <f aca="true" t="shared" si="7" ref="H49:H60">(G49/$G$184)*100</f>
        <v>0.035882011835586224</v>
      </c>
      <c r="I49" s="110">
        <v>495.6</v>
      </c>
      <c r="J49" s="111"/>
    </row>
    <row r="50" spans="1:10" s="55" customFormat="1" ht="47.25">
      <c r="A50" s="126" t="s">
        <v>990</v>
      </c>
      <c r="B50" s="129" t="s">
        <v>679</v>
      </c>
      <c r="C50" s="130" t="s">
        <v>409</v>
      </c>
      <c r="D50" s="131" t="s">
        <v>16</v>
      </c>
      <c r="E50" s="132">
        <v>2.42</v>
      </c>
      <c r="F50" s="133">
        <v>90.62</v>
      </c>
      <c r="G50" s="119">
        <f t="shared" si="6"/>
        <v>219.3</v>
      </c>
      <c r="H50" s="109">
        <f t="shared" si="7"/>
        <v>0.0690377714997724</v>
      </c>
      <c r="I50" s="110">
        <v>90.62</v>
      </c>
      <c r="J50" s="111"/>
    </row>
    <row r="51" spans="1:10" s="55" customFormat="1" ht="94.5">
      <c r="A51" s="126" t="s">
        <v>991</v>
      </c>
      <c r="B51" s="129" t="s">
        <v>691</v>
      </c>
      <c r="C51" s="130" t="s">
        <v>508</v>
      </c>
      <c r="D51" s="131" t="s">
        <v>16</v>
      </c>
      <c r="E51" s="132">
        <v>2.42</v>
      </c>
      <c r="F51" s="133">
        <v>240.37</v>
      </c>
      <c r="G51" s="119">
        <f t="shared" si="6"/>
        <v>581.69</v>
      </c>
      <c r="H51" s="109">
        <f t="shared" si="7"/>
        <v>0.18312166577155775</v>
      </c>
      <c r="I51" s="110">
        <v>240.37</v>
      </c>
      <c r="J51" s="111"/>
    </row>
    <row r="52" spans="1:10" s="55" customFormat="1" ht="78.75">
      <c r="A52" s="126" t="s">
        <v>992</v>
      </c>
      <c r="B52" s="129" t="s">
        <v>695</v>
      </c>
      <c r="C52" s="130" t="s">
        <v>527</v>
      </c>
      <c r="D52" s="131" t="s">
        <v>20</v>
      </c>
      <c r="E52" s="132">
        <v>0.17</v>
      </c>
      <c r="F52" s="133">
        <v>2184.28</v>
      </c>
      <c r="G52" s="119">
        <f t="shared" si="6"/>
        <v>371.32</v>
      </c>
      <c r="H52" s="109">
        <f t="shared" si="7"/>
        <v>0.11689514506746689</v>
      </c>
      <c r="I52" s="110">
        <v>2184.28</v>
      </c>
      <c r="J52" s="111"/>
    </row>
    <row r="53" spans="1:10" s="55" customFormat="1" ht="63">
      <c r="A53" s="126" t="s">
        <v>993</v>
      </c>
      <c r="B53" s="104" t="s">
        <v>706</v>
      </c>
      <c r="C53" s="105" t="s">
        <v>74</v>
      </c>
      <c r="D53" s="106" t="s">
        <v>16</v>
      </c>
      <c r="E53" s="132">
        <v>1.4</v>
      </c>
      <c r="F53" s="133">
        <v>56.39</v>
      </c>
      <c r="G53" s="119">
        <f t="shared" si="6"/>
        <v>78.94</v>
      </c>
      <c r="H53" s="109">
        <f t="shared" si="7"/>
        <v>0.024851079262161575</v>
      </c>
      <c r="I53" s="110">
        <v>56.39</v>
      </c>
      <c r="J53" s="111"/>
    </row>
    <row r="54" spans="1:10" s="55" customFormat="1" ht="47.25">
      <c r="A54" s="126" t="s">
        <v>994</v>
      </c>
      <c r="B54" s="104" t="s">
        <v>710</v>
      </c>
      <c r="C54" s="130" t="s">
        <v>225</v>
      </c>
      <c r="D54" s="106" t="s">
        <v>16</v>
      </c>
      <c r="E54" s="119">
        <v>10.99</v>
      </c>
      <c r="F54" s="133">
        <v>4.09</v>
      </c>
      <c r="G54" s="119">
        <f t="shared" si="6"/>
        <v>44.94</v>
      </c>
      <c r="H54" s="109">
        <f t="shared" si="7"/>
        <v>0.014147548797080581</v>
      </c>
      <c r="I54" s="110">
        <v>4.09</v>
      </c>
      <c r="J54" s="111"/>
    </row>
    <row r="55" spans="1:10" s="55" customFormat="1" ht="63">
      <c r="A55" s="126" t="s">
        <v>995</v>
      </c>
      <c r="B55" s="118" t="s">
        <v>712</v>
      </c>
      <c r="C55" s="130" t="s">
        <v>355</v>
      </c>
      <c r="D55" s="106" t="s">
        <v>16</v>
      </c>
      <c r="E55" s="132">
        <v>10.99</v>
      </c>
      <c r="F55" s="133">
        <v>36.89</v>
      </c>
      <c r="G55" s="119">
        <f t="shared" si="6"/>
        <v>405.42</v>
      </c>
      <c r="H55" s="109">
        <f t="shared" si="7"/>
        <v>0.12763015650450402</v>
      </c>
      <c r="I55" s="110">
        <v>36.89</v>
      </c>
      <c r="J55" s="111"/>
    </row>
    <row r="56" spans="1:10" s="55" customFormat="1" ht="31.5">
      <c r="A56" s="126" t="s">
        <v>996</v>
      </c>
      <c r="B56" s="118" t="s">
        <v>933</v>
      </c>
      <c r="C56" s="134" t="s">
        <v>217</v>
      </c>
      <c r="D56" s="106" t="s">
        <v>16</v>
      </c>
      <c r="E56" s="132">
        <v>1.71</v>
      </c>
      <c r="F56" s="133">
        <v>811.28</v>
      </c>
      <c r="G56" s="119">
        <f t="shared" si="6"/>
        <v>1387.28</v>
      </c>
      <c r="H56" s="109">
        <f t="shared" si="7"/>
        <v>0.4367292277528694</v>
      </c>
      <c r="I56" s="110">
        <v>811.28</v>
      </c>
      <c r="J56" s="111"/>
    </row>
    <row r="57" spans="1:10" s="55" customFormat="1" ht="31.5">
      <c r="A57" s="126" t="s">
        <v>997</v>
      </c>
      <c r="B57" s="104" t="s">
        <v>719</v>
      </c>
      <c r="C57" s="134" t="s">
        <v>310</v>
      </c>
      <c r="D57" s="106" t="s">
        <v>26</v>
      </c>
      <c r="E57" s="132">
        <v>1</v>
      </c>
      <c r="F57" s="133">
        <v>186.1</v>
      </c>
      <c r="G57" s="119">
        <f t="shared" si="6"/>
        <v>186.1</v>
      </c>
      <c r="H57" s="109">
        <f t="shared" si="7"/>
        <v>0.05858608881034037</v>
      </c>
      <c r="I57" s="110">
        <v>186.1</v>
      </c>
      <c r="J57" s="111"/>
    </row>
    <row r="58" spans="1:10" s="55" customFormat="1" ht="31.5">
      <c r="A58" s="126" t="s">
        <v>998</v>
      </c>
      <c r="B58" s="104" t="s">
        <v>723</v>
      </c>
      <c r="C58" s="105" t="s">
        <v>388</v>
      </c>
      <c r="D58" s="106" t="s">
        <v>16</v>
      </c>
      <c r="E58" s="132">
        <v>13.52</v>
      </c>
      <c r="F58" s="133">
        <v>2.98</v>
      </c>
      <c r="G58" s="119">
        <f t="shared" si="6"/>
        <v>40.28</v>
      </c>
      <c r="H58" s="109">
        <f t="shared" si="7"/>
        <v>0.012680535503925366</v>
      </c>
      <c r="I58" s="110">
        <v>2.98</v>
      </c>
      <c r="J58" s="111"/>
    </row>
    <row r="59" spans="1:10" s="55" customFormat="1" ht="31.5">
      <c r="A59" s="126" t="s">
        <v>999</v>
      </c>
      <c r="B59" s="104" t="s">
        <v>726</v>
      </c>
      <c r="C59" s="134" t="s">
        <v>49</v>
      </c>
      <c r="D59" s="106" t="s">
        <v>16</v>
      </c>
      <c r="E59" s="132">
        <v>13.52</v>
      </c>
      <c r="F59" s="133">
        <v>16.7</v>
      </c>
      <c r="G59" s="119">
        <f t="shared" si="6"/>
        <v>225.78</v>
      </c>
      <c r="H59" s="109">
        <f t="shared" si="7"/>
        <v>0.07107773848252902</v>
      </c>
      <c r="I59" s="110">
        <v>16.7</v>
      </c>
      <c r="J59" s="111"/>
    </row>
    <row r="60" spans="1:10" s="55" customFormat="1" ht="15.75">
      <c r="A60" s="112"/>
      <c r="B60" s="112"/>
      <c r="C60" s="520" t="s">
        <v>17</v>
      </c>
      <c r="D60" s="520"/>
      <c r="E60" s="520"/>
      <c r="F60" s="113"/>
      <c r="G60" s="114">
        <f>SUM(G49:G59)</f>
        <v>3655.03</v>
      </c>
      <c r="H60" s="115">
        <f t="shared" si="7"/>
        <v>1.1506389692877936</v>
      </c>
      <c r="I60" s="110">
        <v>0</v>
      </c>
      <c r="J60" s="111"/>
    </row>
    <row r="61" spans="1:10" s="55" customFormat="1" ht="15.75">
      <c r="A61" s="97" t="s">
        <v>1000</v>
      </c>
      <c r="B61" s="97"/>
      <c r="C61" s="98" t="s">
        <v>31</v>
      </c>
      <c r="D61" s="99"/>
      <c r="E61" s="100"/>
      <c r="F61" s="116"/>
      <c r="G61" s="101"/>
      <c r="H61" s="109"/>
      <c r="I61" s="110">
        <v>0</v>
      </c>
      <c r="J61" s="111"/>
    </row>
    <row r="62" spans="1:10" s="55" customFormat="1" ht="63">
      <c r="A62" s="97" t="s">
        <v>1001</v>
      </c>
      <c r="B62" s="104" t="s">
        <v>706</v>
      </c>
      <c r="C62" s="105" t="s">
        <v>74</v>
      </c>
      <c r="D62" s="106" t="s">
        <v>16</v>
      </c>
      <c r="E62" s="123">
        <v>38.55</v>
      </c>
      <c r="F62" s="124">
        <v>56.26</v>
      </c>
      <c r="G62" s="135">
        <f>TRUNC(E62*F62,2)</f>
        <v>2168.82</v>
      </c>
      <c r="H62" s="109">
        <f>(G62/$G$184)*100</f>
        <v>0.6827656159787341</v>
      </c>
      <c r="I62" s="110">
        <v>56.26</v>
      </c>
      <c r="J62" s="111"/>
    </row>
    <row r="63" spans="1:10" s="55" customFormat="1" ht="31.5">
      <c r="A63" s="97" t="s">
        <v>1002</v>
      </c>
      <c r="B63" s="129" t="s">
        <v>728</v>
      </c>
      <c r="C63" s="105" t="s">
        <v>203</v>
      </c>
      <c r="D63" s="106" t="s">
        <v>19</v>
      </c>
      <c r="E63" s="123">
        <f>0.85+12.6+1.1</f>
        <v>14.549999999999999</v>
      </c>
      <c r="F63" s="124">
        <v>53.96</v>
      </c>
      <c r="G63" s="135">
        <f>TRUNC(E63*F63,2)</f>
        <v>785.11</v>
      </c>
      <c r="H63" s="109">
        <f>(G63/$G$184)*100</f>
        <v>0.24716025892469817</v>
      </c>
      <c r="I63" s="110">
        <v>53.96</v>
      </c>
      <c r="J63" s="111"/>
    </row>
    <row r="64" spans="1:10" s="55" customFormat="1" ht="15.75">
      <c r="A64" s="112"/>
      <c r="B64" s="112"/>
      <c r="C64" s="520" t="s">
        <v>17</v>
      </c>
      <c r="D64" s="520"/>
      <c r="E64" s="520"/>
      <c r="F64" s="113"/>
      <c r="G64" s="114">
        <f>SUM(G62:G63)</f>
        <v>2953.9300000000003</v>
      </c>
      <c r="H64" s="115">
        <f>(G64/$G$184)*100</f>
        <v>0.9299258749034324</v>
      </c>
      <c r="I64" s="110">
        <v>0</v>
      </c>
      <c r="J64" s="111"/>
    </row>
    <row r="65" spans="1:10" s="55" customFormat="1" ht="15.75">
      <c r="A65" s="136" t="s">
        <v>1003</v>
      </c>
      <c r="B65" s="136"/>
      <c r="C65" s="137" t="s">
        <v>79</v>
      </c>
      <c r="D65" s="138"/>
      <c r="E65" s="139"/>
      <c r="F65" s="140"/>
      <c r="G65" s="141"/>
      <c r="H65" s="109"/>
      <c r="I65" s="110">
        <v>0</v>
      </c>
      <c r="J65" s="111"/>
    </row>
    <row r="66" spans="1:10" s="55" customFormat="1" ht="78.75">
      <c r="A66" s="97" t="s">
        <v>1004</v>
      </c>
      <c r="B66" s="118" t="s">
        <v>742</v>
      </c>
      <c r="C66" s="130" t="s">
        <v>289</v>
      </c>
      <c r="D66" s="106" t="s">
        <v>16</v>
      </c>
      <c r="E66" s="142">
        <v>122.51</v>
      </c>
      <c r="F66" s="124">
        <v>64.82</v>
      </c>
      <c r="G66" s="135">
        <f aca="true" t="shared" si="8" ref="G66:G73">TRUNC(E66*F66,2)</f>
        <v>7941.09</v>
      </c>
      <c r="H66" s="109">
        <f aca="true" t="shared" si="9" ref="H66:H74">(G66/$G$184)*100</f>
        <v>2.4999323159102946</v>
      </c>
      <c r="I66" s="110">
        <v>64.82</v>
      </c>
      <c r="J66" s="111"/>
    </row>
    <row r="67" spans="1:10" s="55" customFormat="1" ht="78.75">
      <c r="A67" s="97" t="s">
        <v>1005</v>
      </c>
      <c r="B67" s="104" t="s">
        <v>743</v>
      </c>
      <c r="C67" s="130" t="s">
        <v>272</v>
      </c>
      <c r="D67" s="106" t="s">
        <v>16</v>
      </c>
      <c r="E67" s="123">
        <v>149.64</v>
      </c>
      <c r="F67" s="124">
        <v>91.11</v>
      </c>
      <c r="G67" s="135">
        <f t="shared" si="8"/>
        <v>13633.7</v>
      </c>
      <c r="H67" s="109">
        <f t="shared" si="9"/>
        <v>4.29202127358161</v>
      </c>
      <c r="I67" s="110">
        <v>91.11</v>
      </c>
      <c r="J67" s="111"/>
    </row>
    <row r="68" spans="1:10" s="55" customFormat="1" ht="47.25">
      <c r="A68" s="97" t="s">
        <v>1006</v>
      </c>
      <c r="B68" s="118" t="s">
        <v>934</v>
      </c>
      <c r="C68" s="130" t="s">
        <v>445</v>
      </c>
      <c r="D68" s="106" t="s">
        <v>19</v>
      </c>
      <c r="E68" s="142">
        <v>29.17</v>
      </c>
      <c r="F68" s="124">
        <v>97.24</v>
      </c>
      <c r="G68" s="135">
        <f t="shared" si="8"/>
        <v>2836.49</v>
      </c>
      <c r="H68" s="109">
        <f t="shared" si="9"/>
        <v>0.8929546214381643</v>
      </c>
      <c r="I68" s="110">
        <v>97.24</v>
      </c>
      <c r="J68" s="111"/>
    </row>
    <row r="69" spans="1:10" s="55" customFormat="1" ht="47.25">
      <c r="A69" s="97" t="s">
        <v>1007</v>
      </c>
      <c r="B69" s="118" t="s">
        <v>935</v>
      </c>
      <c r="C69" s="130" t="s">
        <v>446</v>
      </c>
      <c r="D69" s="106" t="s">
        <v>19</v>
      </c>
      <c r="E69" s="142">
        <v>29.17</v>
      </c>
      <c r="F69" s="124">
        <v>55.14</v>
      </c>
      <c r="G69" s="135">
        <f t="shared" si="8"/>
        <v>1608.43</v>
      </c>
      <c r="H69" s="109">
        <f t="shared" si="9"/>
        <v>0.5063493972338301</v>
      </c>
      <c r="I69" s="110">
        <v>55.14</v>
      </c>
      <c r="J69" s="111"/>
    </row>
    <row r="70" spans="1:10" s="55" customFormat="1" ht="31.5">
      <c r="A70" s="97" t="s">
        <v>1008</v>
      </c>
      <c r="B70" s="118" t="s">
        <v>747</v>
      </c>
      <c r="C70" s="130" t="s">
        <v>926</v>
      </c>
      <c r="D70" s="106" t="s">
        <v>19</v>
      </c>
      <c r="E70" s="123">
        <v>29.17</v>
      </c>
      <c r="F70" s="124">
        <v>72.66</v>
      </c>
      <c r="G70" s="135">
        <f t="shared" si="8"/>
        <v>2119.49</v>
      </c>
      <c r="H70" s="109">
        <f t="shared" si="9"/>
        <v>0.6672360525127797</v>
      </c>
      <c r="I70" s="110">
        <v>72.66</v>
      </c>
      <c r="J70" s="111"/>
    </row>
    <row r="71" spans="1:10" s="55" customFormat="1" ht="31.5">
      <c r="A71" s="97" t="s">
        <v>1009</v>
      </c>
      <c r="B71" s="118" t="s">
        <v>747</v>
      </c>
      <c r="C71" s="130" t="s">
        <v>927</v>
      </c>
      <c r="D71" s="106" t="s">
        <v>19</v>
      </c>
      <c r="E71" s="123">
        <v>8.6</v>
      </c>
      <c r="F71" s="124">
        <v>47.98</v>
      </c>
      <c r="G71" s="135">
        <f t="shared" si="8"/>
        <v>412.62</v>
      </c>
      <c r="H71" s="109">
        <f t="shared" si="9"/>
        <v>0.1298967864853447</v>
      </c>
      <c r="I71" s="110">
        <v>47.98</v>
      </c>
      <c r="J71" s="111"/>
    </row>
    <row r="72" spans="1:10" s="55" customFormat="1" ht="47.25">
      <c r="A72" s="97" t="s">
        <v>1010</v>
      </c>
      <c r="B72" s="104" t="s">
        <v>745</v>
      </c>
      <c r="C72" s="130" t="s">
        <v>102</v>
      </c>
      <c r="D72" s="106" t="s">
        <v>19</v>
      </c>
      <c r="E72" s="123">
        <v>29.17</v>
      </c>
      <c r="F72" s="124">
        <v>72.43</v>
      </c>
      <c r="G72" s="135">
        <f t="shared" si="8"/>
        <v>2112.78</v>
      </c>
      <c r="H72" s="109">
        <f t="shared" si="9"/>
        <v>0.6651236792945242</v>
      </c>
      <c r="I72" s="110">
        <v>72.43</v>
      </c>
      <c r="J72" s="111"/>
    </row>
    <row r="73" spans="1:10" s="55" customFormat="1" ht="47.25">
      <c r="A73" s="97" t="s">
        <v>1011</v>
      </c>
      <c r="B73" s="104" t="s">
        <v>754</v>
      </c>
      <c r="C73" s="130" t="s">
        <v>115</v>
      </c>
      <c r="D73" s="106" t="s">
        <v>19</v>
      </c>
      <c r="E73" s="123">
        <v>10.5</v>
      </c>
      <c r="F73" s="124">
        <v>37.4</v>
      </c>
      <c r="G73" s="135">
        <f t="shared" si="8"/>
        <v>392.7</v>
      </c>
      <c r="H73" s="109">
        <f t="shared" si="9"/>
        <v>0.12362577687168547</v>
      </c>
      <c r="I73" s="110">
        <v>37.4</v>
      </c>
      <c r="J73" s="111"/>
    </row>
    <row r="74" spans="1:10" s="55" customFormat="1" ht="15.75">
      <c r="A74" s="112"/>
      <c r="B74" s="112"/>
      <c r="C74" s="520" t="s">
        <v>17</v>
      </c>
      <c r="D74" s="520"/>
      <c r="E74" s="520"/>
      <c r="F74" s="113"/>
      <c r="G74" s="114">
        <f>SUM(G66:G73)</f>
        <v>31057.299999999996</v>
      </c>
      <c r="H74" s="115">
        <f t="shared" si="9"/>
        <v>9.777139903328232</v>
      </c>
      <c r="I74" s="110">
        <v>0</v>
      </c>
      <c r="J74" s="111"/>
    </row>
    <row r="75" spans="1:10" s="55" customFormat="1" ht="15.75">
      <c r="A75" s="97" t="s">
        <v>1013</v>
      </c>
      <c r="B75" s="97"/>
      <c r="C75" s="98" t="s">
        <v>299</v>
      </c>
      <c r="D75" s="99"/>
      <c r="E75" s="143"/>
      <c r="F75" s="116"/>
      <c r="G75" s="101"/>
      <c r="H75" s="109"/>
      <c r="I75" s="110">
        <v>0</v>
      </c>
      <c r="J75" s="111"/>
    </row>
    <row r="76" spans="1:10" s="55" customFormat="1" ht="78.75">
      <c r="A76" s="125" t="s">
        <v>1012</v>
      </c>
      <c r="B76" s="127" t="s">
        <v>758</v>
      </c>
      <c r="C76" s="134" t="s">
        <v>529</v>
      </c>
      <c r="D76" s="144" t="s">
        <v>26</v>
      </c>
      <c r="E76" s="132">
        <v>46</v>
      </c>
      <c r="F76" s="120">
        <v>266.85</v>
      </c>
      <c r="G76" s="145">
        <f>TRUNC(E76*F76,2)</f>
        <v>12275.1</v>
      </c>
      <c r="H76" s="109">
        <f>(G76/$G$184)*100</f>
        <v>3.864320788585756</v>
      </c>
      <c r="I76" s="110">
        <v>266.85</v>
      </c>
      <c r="J76" s="111"/>
    </row>
    <row r="77" spans="1:10" s="55" customFormat="1" ht="15.75">
      <c r="A77" s="112"/>
      <c r="B77" s="112"/>
      <c r="C77" s="520" t="s">
        <v>17</v>
      </c>
      <c r="D77" s="520"/>
      <c r="E77" s="520"/>
      <c r="F77" s="113"/>
      <c r="G77" s="114">
        <f>SUM(G76:G76)</f>
        <v>12275.1</v>
      </c>
      <c r="H77" s="115">
        <f>(G77/$G$184)*100</f>
        <v>3.864320788585756</v>
      </c>
      <c r="I77" s="110">
        <v>0</v>
      </c>
      <c r="J77" s="111"/>
    </row>
    <row r="78" spans="1:10" s="55" customFormat="1" ht="15.75">
      <c r="A78" s="126" t="s">
        <v>1014</v>
      </c>
      <c r="B78" s="127"/>
      <c r="C78" s="98" t="s">
        <v>600</v>
      </c>
      <c r="D78" s="128"/>
      <c r="E78" s="128"/>
      <c r="F78" s="146"/>
      <c r="G78" s="147"/>
      <c r="H78" s="109"/>
      <c r="I78" s="110">
        <v>0</v>
      </c>
      <c r="J78" s="111"/>
    </row>
    <row r="79" spans="1:10" s="55" customFormat="1" ht="15.75">
      <c r="A79" s="126"/>
      <c r="B79" s="127"/>
      <c r="C79" s="100" t="s">
        <v>601</v>
      </c>
      <c r="D79" s="128"/>
      <c r="E79" s="128"/>
      <c r="F79" s="146"/>
      <c r="G79" s="147"/>
      <c r="H79" s="109"/>
      <c r="I79" s="110">
        <v>0</v>
      </c>
      <c r="J79" s="111"/>
    </row>
    <row r="80" spans="1:10" s="55" customFormat="1" ht="63">
      <c r="A80" s="126" t="s">
        <v>1015</v>
      </c>
      <c r="B80" s="148" t="s">
        <v>760</v>
      </c>
      <c r="C80" s="149" t="s">
        <v>535</v>
      </c>
      <c r="D80" s="150" t="s">
        <v>19</v>
      </c>
      <c r="E80" s="142">
        <v>12.51</v>
      </c>
      <c r="F80" s="151">
        <v>18.44</v>
      </c>
      <c r="G80" s="145">
        <f aca="true" t="shared" si="10" ref="G80:G93">TRUNC(E80*F80,2)</f>
        <v>230.68</v>
      </c>
      <c r="H80" s="152">
        <f aca="true" t="shared" si="11" ref="H80:H93">(G80/$G$184)*100</f>
        <v>0.07262030610837893</v>
      </c>
      <c r="I80" s="110">
        <v>18.44</v>
      </c>
      <c r="J80" s="111"/>
    </row>
    <row r="81" spans="1:10" s="55" customFormat="1" ht="63">
      <c r="A81" s="126" t="s">
        <v>1016</v>
      </c>
      <c r="B81" s="148" t="s">
        <v>936</v>
      </c>
      <c r="C81" s="149" t="s">
        <v>541</v>
      </c>
      <c r="D81" s="150" t="s">
        <v>19</v>
      </c>
      <c r="E81" s="142">
        <v>7.62</v>
      </c>
      <c r="F81" s="151">
        <v>8.66</v>
      </c>
      <c r="G81" s="145">
        <f t="shared" si="10"/>
        <v>65.98</v>
      </c>
      <c r="H81" s="152">
        <f t="shared" si="11"/>
        <v>0.02077114529664835</v>
      </c>
      <c r="I81" s="110">
        <v>8.66</v>
      </c>
      <c r="J81" s="111"/>
    </row>
    <row r="82" spans="1:10" s="55" customFormat="1" ht="31.5">
      <c r="A82" s="126" t="s">
        <v>1017</v>
      </c>
      <c r="B82" s="148" t="s">
        <v>937</v>
      </c>
      <c r="C82" s="149" t="s">
        <v>545</v>
      </c>
      <c r="D82" s="150" t="s">
        <v>26</v>
      </c>
      <c r="E82" s="142">
        <v>3</v>
      </c>
      <c r="F82" s="151">
        <v>4.03</v>
      </c>
      <c r="G82" s="145">
        <f t="shared" si="10"/>
        <v>12.09</v>
      </c>
      <c r="H82" s="152">
        <f t="shared" si="11"/>
        <v>0.0038060495094949763</v>
      </c>
      <c r="I82" s="110">
        <v>4.03</v>
      </c>
      <c r="J82" s="111"/>
    </row>
    <row r="83" spans="1:10" s="55" customFormat="1" ht="15.75">
      <c r="A83" s="126" t="s">
        <v>1018</v>
      </c>
      <c r="B83" s="148" t="s">
        <v>938</v>
      </c>
      <c r="C83" s="149" t="s">
        <v>549</v>
      </c>
      <c r="D83" s="150" t="s">
        <v>26</v>
      </c>
      <c r="E83" s="142">
        <v>12</v>
      </c>
      <c r="F83" s="151">
        <v>3.67</v>
      </c>
      <c r="G83" s="145">
        <f t="shared" si="10"/>
        <v>44.04</v>
      </c>
      <c r="H83" s="152">
        <f t="shared" si="11"/>
        <v>0.013864220049475498</v>
      </c>
      <c r="I83" s="110">
        <v>3.67</v>
      </c>
      <c r="J83" s="111"/>
    </row>
    <row r="84" spans="1:10" s="55" customFormat="1" ht="15.75">
      <c r="A84" s="126" t="s">
        <v>1019</v>
      </c>
      <c r="B84" s="148" t="s">
        <v>939</v>
      </c>
      <c r="C84" s="149" t="s">
        <v>553</v>
      </c>
      <c r="D84" s="150" t="s">
        <v>26</v>
      </c>
      <c r="E84" s="142">
        <v>1</v>
      </c>
      <c r="F84" s="151">
        <v>0.52</v>
      </c>
      <c r="G84" s="145">
        <f t="shared" si="10"/>
        <v>0.52</v>
      </c>
      <c r="H84" s="152">
        <f t="shared" si="11"/>
        <v>0.00016370105417182695</v>
      </c>
      <c r="I84" s="110">
        <v>0.52</v>
      </c>
      <c r="J84" s="111"/>
    </row>
    <row r="85" spans="1:10" s="55" customFormat="1" ht="31.5">
      <c r="A85" s="126" t="s">
        <v>1020</v>
      </c>
      <c r="B85" s="148" t="s">
        <v>940</v>
      </c>
      <c r="C85" s="149" t="s">
        <v>557</v>
      </c>
      <c r="D85" s="150" t="s">
        <v>26</v>
      </c>
      <c r="E85" s="142">
        <v>3</v>
      </c>
      <c r="F85" s="151">
        <v>5.82</v>
      </c>
      <c r="G85" s="145">
        <f t="shared" si="10"/>
        <v>17.46</v>
      </c>
      <c r="H85" s="152">
        <f t="shared" si="11"/>
        <v>0.005496577703538652</v>
      </c>
      <c r="I85" s="110">
        <v>5.82</v>
      </c>
      <c r="J85" s="111"/>
    </row>
    <row r="86" spans="1:10" s="55" customFormat="1" ht="15.75">
      <c r="A86" s="126" t="s">
        <v>1021</v>
      </c>
      <c r="B86" s="148" t="s">
        <v>941</v>
      </c>
      <c r="C86" s="149" t="s">
        <v>610</v>
      </c>
      <c r="D86" s="150" t="s">
        <v>26</v>
      </c>
      <c r="E86" s="142">
        <v>1</v>
      </c>
      <c r="F86" s="151">
        <v>6.89</v>
      </c>
      <c r="G86" s="145">
        <f t="shared" si="10"/>
        <v>6.89</v>
      </c>
      <c r="H86" s="152">
        <f t="shared" si="11"/>
        <v>0.0021690389677767067</v>
      </c>
      <c r="I86" s="110">
        <v>6.89</v>
      </c>
      <c r="J86" s="111"/>
    </row>
    <row r="87" spans="1:10" s="55" customFormat="1" ht="15.75">
      <c r="A87" s="126" t="s">
        <v>1022</v>
      </c>
      <c r="B87" s="148" t="s">
        <v>942</v>
      </c>
      <c r="C87" s="149" t="s">
        <v>614</v>
      </c>
      <c r="D87" s="150" t="s">
        <v>26</v>
      </c>
      <c r="E87" s="142">
        <v>1</v>
      </c>
      <c r="F87" s="151">
        <v>0.87</v>
      </c>
      <c r="G87" s="145">
        <f t="shared" si="10"/>
        <v>0.87</v>
      </c>
      <c r="H87" s="152">
        <f t="shared" si="11"/>
        <v>0.00027388445601824894</v>
      </c>
      <c r="I87" s="110">
        <v>0.87</v>
      </c>
      <c r="J87" s="111"/>
    </row>
    <row r="88" spans="1:10" s="55" customFormat="1" ht="31.5">
      <c r="A88" s="126" t="s">
        <v>1023</v>
      </c>
      <c r="B88" s="148" t="s">
        <v>943</v>
      </c>
      <c r="C88" s="149" t="s">
        <v>561</v>
      </c>
      <c r="D88" s="150" t="s">
        <v>26</v>
      </c>
      <c r="E88" s="142">
        <v>3</v>
      </c>
      <c r="F88" s="151">
        <v>2.97</v>
      </c>
      <c r="G88" s="145">
        <f t="shared" si="10"/>
        <v>8.91</v>
      </c>
      <c r="H88" s="152">
        <f t="shared" si="11"/>
        <v>0.0028049546012903423</v>
      </c>
      <c r="I88" s="110">
        <v>2.97</v>
      </c>
      <c r="J88" s="111"/>
    </row>
    <row r="89" spans="1:10" s="55" customFormat="1" ht="63">
      <c r="A89" s="126" t="s">
        <v>1024</v>
      </c>
      <c r="B89" s="148" t="s">
        <v>763</v>
      </c>
      <c r="C89" s="149" t="s">
        <v>564</v>
      </c>
      <c r="D89" s="150" t="s">
        <v>26</v>
      </c>
      <c r="E89" s="142">
        <v>3</v>
      </c>
      <c r="F89" s="151">
        <v>136.42</v>
      </c>
      <c r="G89" s="145">
        <f t="shared" si="10"/>
        <v>409.26</v>
      </c>
      <c r="H89" s="152">
        <f t="shared" si="11"/>
        <v>0.12883902582761902</v>
      </c>
      <c r="I89" s="110">
        <v>136.42</v>
      </c>
      <c r="J89" s="111"/>
    </row>
    <row r="90" spans="1:10" s="55" customFormat="1" ht="31.5">
      <c r="A90" s="126" t="s">
        <v>1025</v>
      </c>
      <c r="B90" s="148" t="s">
        <v>944</v>
      </c>
      <c r="C90" s="149" t="s">
        <v>568</v>
      </c>
      <c r="D90" s="150" t="s">
        <v>26</v>
      </c>
      <c r="E90" s="142">
        <v>3</v>
      </c>
      <c r="F90" s="151">
        <v>14.29</v>
      </c>
      <c r="G90" s="145">
        <f t="shared" si="10"/>
        <v>42.87</v>
      </c>
      <c r="H90" s="152">
        <f t="shared" si="11"/>
        <v>0.013495892677588885</v>
      </c>
      <c r="I90" s="110">
        <v>14.29</v>
      </c>
      <c r="J90" s="111"/>
    </row>
    <row r="91" spans="1:10" s="55" customFormat="1" ht="15.75">
      <c r="A91" s="126" t="s">
        <v>1026</v>
      </c>
      <c r="B91" s="148" t="s">
        <v>945</v>
      </c>
      <c r="C91" s="149" t="s">
        <v>572</v>
      </c>
      <c r="D91" s="150" t="s">
        <v>26</v>
      </c>
      <c r="E91" s="142">
        <v>3</v>
      </c>
      <c r="F91" s="151">
        <v>27</v>
      </c>
      <c r="G91" s="145">
        <f t="shared" si="10"/>
        <v>81</v>
      </c>
      <c r="H91" s="152">
        <f t="shared" si="11"/>
        <v>0.025499587284457663</v>
      </c>
      <c r="I91" s="110">
        <v>27</v>
      </c>
      <c r="J91" s="111"/>
    </row>
    <row r="92" spans="1:10" s="55" customFormat="1" ht="63">
      <c r="A92" s="126" t="s">
        <v>1027</v>
      </c>
      <c r="B92" s="148" t="s">
        <v>767</v>
      </c>
      <c r="C92" s="149" t="s">
        <v>575</v>
      </c>
      <c r="D92" s="150" t="s">
        <v>26</v>
      </c>
      <c r="E92" s="142">
        <v>30</v>
      </c>
      <c r="F92" s="151">
        <v>6.32</v>
      </c>
      <c r="G92" s="145">
        <f t="shared" si="10"/>
        <v>189.6</v>
      </c>
      <c r="H92" s="152">
        <f t="shared" si="11"/>
        <v>0.05968792282880459</v>
      </c>
      <c r="I92" s="110">
        <v>6.32</v>
      </c>
      <c r="J92" s="111"/>
    </row>
    <row r="93" spans="1:10" s="55" customFormat="1" ht="31.5">
      <c r="A93" s="126" t="s">
        <v>1028</v>
      </c>
      <c r="B93" s="148" t="s">
        <v>768</v>
      </c>
      <c r="C93" s="149" t="s">
        <v>928</v>
      </c>
      <c r="D93" s="150" t="s">
        <v>19</v>
      </c>
      <c r="E93" s="142">
        <v>20.13</v>
      </c>
      <c r="F93" s="151">
        <v>15.27</v>
      </c>
      <c r="G93" s="145">
        <f t="shared" si="10"/>
        <v>307.38</v>
      </c>
      <c r="H93" s="152">
        <f t="shared" si="11"/>
        <v>0.0967662115987234</v>
      </c>
      <c r="I93" s="110">
        <v>15.27</v>
      </c>
      <c r="J93" s="111"/>
    </row>
    <row r="94" spans="1:10" s="55" customFormat="1" ht="15.75">
      <c r="A94" s="126"/>
      <c r="B94" s="148"/>
      <c r="C94" s="153" t="s">
        <v>602</v>
      </c>
      <c r="D94" s="154"/>
      <c r="E94" s="142"/>
      <c r="F94" s="151"/>
      <c r="G94" s="145"/>
      <c r="H94" s="152"/>
      <c r="I94" s="110">
        <v>0</v>
      </c>
      <c r="J94" s="111"/>
    </row>
    <row r="95" spans="1:10" s="55" customFormat="1" ht="63">
      <c r="A95" s="126" t="s">
        <v>1029</v>
      </c>
      <c r="B95" s="148" t="s">
        <v>769</v>
      </c>
      <c r="C95" s="155" t="s">
        <v>576</v>
      </c>
      <c r="D95" s="150" t="s">
        <v>19</v>
      </c>
      <c r="E95" s="142">
        <v>1.1</v>
      </c>
      <c r="F95" s="151">
        <v>24.32</v>
      </c>
      <c r="G95" s="145">
        <f aca="true" t="shared" si="12" ref="G95:G104">TRUNC(E95*F95,2)</f>
        <v>26.75</v>
      </c>
      <c r="H95" s="152">
        <f aca="true" t="shared" si="13" ref="H95:H105">(G95/$G$184)*100</f>
        <v>0.008421159998262252</v>
      </c>
      <c r="I95" s="110">
        <v>24.32</v>
      </c>
      <c r="J95" s="111"/>
    </row>
    <row r="96" spans="1:10" s="55" customFormat="1" ht="63">
      <c r="A96" s="126" t="s">
        <v>1030</v>
      </c>
      <c r="B96" s="148" t="s">
        <v>776</v>
      </c>
      <c r="C96" s="155" t="s">
        <v>579</v>
      </c>
      <c r="D96" s="150" t="s">
        <v>19</v>
      </c>
      <c r="E96" s="142">
        <v>2.2</v>
      </c>
      <c r="F96" s="151">
        <v>15.56</v>
      </c>
      <c r="G96" s="145">
        <f t="shared" si="12"/>
        <v>34.23</v>
      </c>
      <c r="H96" s="152">
        <f t="shared" si="13"/>
        <v>0.01077593670058007</v>
      </c>
      <c r="I96" s="110">
        <v>15.56</v>
      </c>
      <c r="J96" s="111"/>
    </row>
    <row r="97" spans="1:10" s="55" customFormat="1" ht="63">
      <c r="A97" s="126" t="s">
        <v>1031</v>
      </c>
      <c r="B97" s="148" t="s">
        <v>775</v>
      </c>
      <c r="C97" s="155" t="s">
        <v>582</v>
      </c>
      <c r="D97" s="150" t="s">
        <v>19</v>
      </c>
      <c r="E97" s="142">
        <v>3.45</v>
      </c>
      <c r="F97" s="151">
        <v>11.18</v>
      </c>
      <c r="G97" s="145">
        <f t="shared" si="12"/>
        <v>38.57</v>
      </c>
      <c r="H97" s="152">
        <f t="shared" si="13"/>
        <v>0.012142210883475703</v>
      </c>
      <c r="I97" s="110">
        <v>11.18</v>
      </c>
      <c r="J97" s="111"/>
    </row>
    <row r="98" spans="1:10" s="55" customFormat="1" ht="15.75">
      <c r="A98" s="126" t="s">
        <v>1032</v>
      </c>
      <c r="B98" s="148" t="s">
        <v>774</v>
      </c>
      <c r="C98" s="155" t="s">
        <v>585</v>
      </c>
      <c r="D98" s="150" t="s">
        <v>26</v>
      </c>
      <c r="E98" s="142">
        <v>5</v>
      </c>
      <c r="F98" s="151">
        <v>4.93</v>
      </c>
      <c r="G98" s="145">
        <f t="shared" si="12"/>
        <v>24.65</v>
      </c>
      <c r="H98" s="152">
        <f t="shared" si="13"/>
        <v>0.007760059587183719</v>
      </c>
      <c r="I98" s="110">
        <v>4.93</v>
      </c>
      <c r="J98" s="111"/>
    </row>
    <row r="99" spans="1:10" s="55" customFormat="1" ht="15.75">
      <c r="A99" s="126" t="s">
        <v>1033</v>
      </c>
      <c r="B99" s="148" t="s">
        <v>773</v>
      </c>
      <c r="C99" s="155" t="s">
        <v>588</v>
      </c>
      <c r="D99" s="150" t="s">
        <v>26</v>
      </c>
      <c r="E99" s="142">
        <v>3</v>
      </c>
      <c r="F99" s="151">
        <v>4.17</v>
      </c>
      <c r="G99" s="145">
        <f t="shared" si="12"/>
        <v>12.51</v>
      </c>
      <c r="H99" s="152">
        <f t="shared" si="13"/>
        <v>0.0039382695917106825</v>
      </c>
      <c r="I99" s="110">
        <v>4.17</v>
      </c>
      <c r="J99" s="111"/>
    </row>
    <row r="100" spans="1:10" s="55" customFormat="1" ht="78.75">
      <c r="A100" s="126" t="s">
        <v>1034</v>
      </c>
      <c r="B100" s="148" t="s">
        <v>772</v>
      </c>
      <c r="C100" s="155" t="s">
        <v>591</v>
      </c>
      <c r="D100" s="150" t="s">
        <v>26</v>
      </c>
      <c r="E100" s="142">
        <v>3</v>
      </c>
      <c r="F100" s="151">
        <v>67.72</v>
      </c>
      <c r="G100" s="145">
        <f t="shared" si="12"/>
        <v>203.16</v>
      </c>
      <c r="H100" s="152">
        <f t="shared" si="13"/>
        <v>0.06395674262605454</v>
      </c>
      <c r="I100" s="110">
        <v>67.72</v>
      </c>
      <c r="J100" s="111"/>
    </row>
    <row r="101" spans="1:10" s="55" customFormat="1" ht="47.25">
      <c r="A101" s="126" t="s">
        <v>1035</v>
      </c>
      <c r="B101" s="148" t="s">
        <v>770</v>
      </c>
      <c r="C101" s="149" t="s">
        <v>598</v>
      </c>
      <c r="D101" s="150" t="s">
        <v>26</v>
      </c>
      <c r="E101" s="156">
        <v>3</v>
      </c>
      <c r="F101" s="151">
        <v>1.57</v>
      </c>
      <c r="G101" s="145">
        <f t="shared" si="12"/>
        <v>4.71</v>
      </c>
      <c r="H101" s="152">
        <f t="shared" si="13"/>
        <v>0.0014827537791332786</v>
      </c>
      <c r="I101" s="110">
        <v>1.57</v>
      </c>
      <c r="J101" s="111"/>
    </row>
    <row r="102" spans="1:10" s="55" customFormat="1" ht="47.25">
      <c r="A102" s="126" t="s">
        <v>1036</v>
      </c>
      <c r="B102" s="148" t="s">
        <v>771</v>
      </c>
      <c r="C102" s="149" t="s">
        <v>599</v>
      </c>
      <c r="D102" s="150" t="s">
        <v>26</v>
      </c>
      <c r="E102" s="142">
        <v>5</v>
      </c>
      <c r="F102" s="151">
        <v>1.97</v>
      </c>
      <c r="G102" s="145">
        <f t="shared" si="12"/>
        <v>9.85</v>
      </c>
      <c r="H102" s="152">
        <f t="shared" si="13"/>
        <v>0.0031008757376778757</v>
      </c>
      <c r="I102" s="110">
        <v>1.97</v>
      </c>
      <c r="J102" s="111"/>
    </row>
    <row r="103" spans="1:10" s="55" customFormat="1" ht="47.25">
      <c r="A103" s="126" t="s">
        <v>1037</v>
      </c>
      <c r="B103" s="104" t="s">
        <v>430</v>
      </c>
      <c r="C103" s="105" t="s">
        <v>605</v>
      </c>
      <c r="D103" s="106" t="s">
        <v>20</v>
      </c>
      <c r="E103" s="142">
        <v>0.1</v>
      </c>
      <c r="F103" s="124">
        <v>227.19</v>
      </c>
      <c r="G103" s="145">
        <f t="shared" si="12"/>
        <v>22.71</v>
      </c>
      <c r="H103" s="152">
        <f t="shared" si="13"/>
        <v>0.007149328731234981</v>
      </c>
      <c r="I103" s="110">
        <v>227.19</v>
      </c>
      <c r="J103" s="111"/>
    </row>
    <row r="104" spans="1:10" s="55" customFormat="1" ht="47.25">
      <c r="A104" s="126" t="s">
        <v>1038</v>
      </c>
      <c r="B104" s="157" t="s">
        <v>946</v>
      </c>
      <c r="C104" s="149" t="s">
        <v>608</v>
      </c>
      <c r="D104" s="150" t="s">
        <v>20</v>
      </c>
      <c r="E104" s="142">
        <v>0.1</v>
      </c>
      <c r="F104" s="151">
        <v>537.96</v>
      </c>
      <c r="G104" s="145">
        <f t="shared" si="12"/>
        <v>53.79</v>
      </c>
      <c r="H104" s="152">
        <f t="shared" si="13"/>
        <v>0.016933614815197253</v>
      </c>
      <c r="I104" s="110">
        <v>537.96</v>
      </c>
      <c r="J104" s="111"/>
    </row>
    <row r="105" spans="1:10" s="55" customFormat="1" ht="15.75">
      <c r="A105" s="112"/>
      <c r="B105" s="112"/>
      <c r="C105" s="520" t="s">
        <v>17</v>
      </c>
      <c r="D105" s="520"/>
      <c r="E105" s="520"/>
      <c r="F105" s="113"/>
      <c r="G105" s="114">
        <f>SUM(G80:G104)</f>
        <v>1848.4800000000002</v>
      </c>
      <c r="H105" s="115">
        <f t="shared" si="13"/>
        <v>0.5819194704144975</v>
      </c>
      <c r="I105" s="110">
        <v>0</v>
      </c>
      <c r="J105" s="111"/>
    </row>
    <row r="106" spans="1:10" s="55" customFormat="1" ht="15.75">
      <c r="A106" s="97" t="s">
        <v>1039</v>
      </c>
      <c r="B106" s="97"/>
      <c r="C106" s="98" t="s">
        <v>350</v>
      </c>
      <c r="D106" s="99"/>
      <c r="E106" s="143"/>
      <c r="F106" s="140"/>
      <c r="G106" s="141"/>
      <c r="H106" s="109"/>
      <c r="I106" s="110">
        <v>0</v>
      </c>
      <c r="J106" s="111"/>
    </row>
    <row r="107" spans="1:10" s="55" customFormat="1" ht="47.25">
      <c r="A107" s="97" t="s">
        <v>1040</v>
      </c>
      <c r="B107" s="118" t="s">
        <v>947</v>
      </c>
      <c r="C107" s="105" t="s">
        <v>34</v>
      </c>
      <c r="D107" s="106" t="s">
        <v>26</v>
      </c>
      <c r="E107" s="123">
        <v>5</v>
      </c>
      <c r="F107" s="124">
        <v>1372.69</v>
      </c>
      <c r="G107" s="135">
        <f aca="true" t="shared" si="14" ref="G107:G117">TRUNC(E107*F107,2)</f>
        <v>6863.45</v>
      </c>
      <c r="H107" s="109">
        <f aca="true" t="shared" si="15" ref="H107:H118">(G107/$G$184)*100</f>
        <v>2.160680769722357</v>
      </c>
      <c r="I107" s="110">
        <v>1372.69</v>
      </c>
      <c r="J107" s="111"/>
    </row>
    <row r="108" spans="1:10" s="55" customFormat="1" ht="63">
      <c r="A108" s="97" t="s">
        <v>1041</v>
      </c>
      <c r="B108" s="104" t="s">
        <v>785</v>
      </c>
      <c r="C108" s="105" t="s">
        <v>161</v>
      </c>
      <c r="D108" s="106" t="s">
        <v>26</v>
      </c>
      <c r="E108" s="123">
        <v>1</v>
      </c>
      <c r="F108" s="124">
        <v>130.75</v>
      </c>
      <c r="G108" s="135">
        <f t="shared" si="14"/>
        <v>130.75</v>
      </c>
      <c r="H108" s="109">
        <f t="shared" si="15"/>
        <v>0.041161370832627636</v>
      </c>
      <c r="I108" s="110">
        <v>130.75</v>
      </c>
      <c r="J108" s="111"/>
    </row>
    <row r="109" spans="1:10" s="55" customFormat="1" ht="63">
      <c r="A109" s="97" t="s">
        <v>1042</v>
      </c>
      <c r="B109" s="104" t="s">
        <v>786</v>
      </c>
      <c r="C109" s="105" t="s">
        <v>164</v>
      </c>
      <c r="D109" s="106" t="s">
        <v>26</v>
      </c>
      <c r="E109" s="123">
        <v>6</v>
      </c>
      <c r="F109" s="124">
        <v>159.91</v>
      </c>
      <c r="G109" s="135">
        <f t="shared" si="14"/>
        <v>959.46</v>
      </c>
      <c r="H109" s="109">
        <f t="shared" si="15"/>
        <v>0.30204733353019436</v>
      </c>
      <c r="I109" s="110">
        <v>159.91</v>
      </c>
      <c r="J109" s="111"/>
    </row>
    <row r="110" spans="1:10" s="55" customFormat="1" ht="63">
      <c r="A110" s="97" t="s">
        <v>1043</v>
      </c>
      <c r="B110" s="118" t="s">
        <v>948</v>
      </c>
      <c r="C110" s="105" t="s">
        <v>929</v>
      </c>
      <c r="D110" s="106" t="s">
        <v>26</v>
      </c>
      <c r="E110" s="123">
        <v>13</v>
      </c>
      <c r="F110" s="124">
        <v>273</v>
      </c>
      <c r="G110" s="135">
        <f t="shared" si="14"/>
        <v>3549</v>
      </c>
      <c r="H110" s="109">
        <f t="shared" si="15"/>
        <v>1.117259694722719</v>
      </c>
      <c r="I110" s="110">
        <v>273</v>
      </c>
      <c r="J110" s="111"/>
    </row>
    <row r="111" spans="1:10" s="165" customFormat="1" ht="31.5">
      <c r="A111" s="97" t="s">
        <v>1044</v>
      </c>
      <c r="B111" s="158" t="s">
        <v>788</v>
      </c>
      <c r="C111" s="159" t="s">
        <v>35</v>
      </c>
      <c r="D111" s="160" t="s">
        <v>26</v>
      </c>
      <c r="E111" s="161">
        <v>14</v>
      </c>
      <c r="F111" s="162">
        <v>282.5</v>
      </c>
      <c r="G111" s="163">
        <f t="shared" si="14"/>
        <v>3955</v>
      </c>
      <c r="H111" s="164">
        <f t="shared" si="15"/>
        <v>1.2450724408645686</v>
      </c>
      <c r="I111" s="110">
        <v>282.5</v>
      </c>
      <c r="J111" s="166"/>
    </row>
    <row r="112" spans="1:10" s="55" customFormat="1" ht="63">
      <c r="A112" s="97" t="s">
        <v>1045</v>
      </c>
      <c r="B112" s="125" t="s">
        <v>949</v>
      </c>
      <c r="C112" s="134" t="s">
        <v>268</v>
      </c>
      <c r="D112" s="144" t="s">
        <v>26</v>
      </c>
      <c r="E112" s="167">
        <v>1</v>
      </c>
      <c r="F112" s="124">
        <v>2908.36</v>
      </c>
      <c r="G112" s="135">
        <f t="shared" si="14"/>
        <v>2908.36</v>
      </c>
      <c r="H112" s="109">
        <f t="shared" si="15"/>
        <v>0.9155799959830282</v>
      </c>
      <c r="I112" s="110">
        <v>2908.36</v>
      </c>
      <c r="J112" s="111"/>
    </row>
    <row r="113" spans="1:10" s="55" customFormat="1" ht="63">
      <c r="A113" s="97" t="s">
        <v>1046</v>
      </c>
      <c r="B113" s="125" t="s">
        <v>950</v>
      </c>
      <c r="C113" s="134" t="s">
        <v>270</v>
      </c>
      <c r="D113" s="144" t="s">
        <v>26</v>
      </c>
      <c r="E113" s="167">
        <v>3</v>
      </c>
      <c r="F113" s="124">
        <v>3484.37</v>
      </c>
      <c r="G113" s="135">
        <f t="shared" si="14"/>
        <v>10453.11</v>
      </c>
      <c r="H113" s="109">
        <f t="shared" si="15"/>
        <v>3.290740627642435</v>
      </c>
      <c r="I113" s="110">
        <v>3484.37</v>
      </c>
      <c r="J113" s="111"/>
    </row>
    <row r="114" spans="1:10" s="55" customFormat="1" ht="31.5">
      <c r="A114" s="97" t="s">
        <v>1047</v>
      </c>
      <c r="B114" s="118" t="s">
        <v>790</v>
      </c>
      <c r="C114" s="105" t="s">
        <v>511</v>
      </c>
      <c r="D114" s="106" t="s">
        <v>26</v>
      </c>
      <c r="E114" s="123">
        <v>4</v>
      </c>
      <c r="F114" s="124">
        <v>335.51</v>
      </c>
      <c r="G114" s="135">
        <f t="shared" si="14"/>
        <v>1342.04</v>
      </c>
      <c r="H114" s="109">
        <f t="shared" si="15"/>
        <v>0.42248723603992044</v>
      </c>
      <c r="I114" s="110">
        <v>335.51</v>
      </c>
      <c r="J114" s="111"/>
    </row>
    <row r="115" spans="1:10" s="55" customFormat="1" ht="47.25">
      <c r="A115" s="97" t="s">
        <v>1048</v>
      </c>
      <c r="B115" s="104" t="s">
        <v>791</v>
      </c>
      <c r="C115" s="105" t="s">
        <v>451</v>
      </c>
      <c r="D115" s="106" t="s">
        <v>26</v>
      </c>
      <c r="E115" s="123">
        <v>2</v>
      </c>
      <c r="F115" s="124">
        <v>55.79</v>
      </c>
      <c r="G115" s="135">
        <f t="shared" si="14"/>
        <v>111.58</v>
      </c>
      <c r="H115" s="109">
        <f t="shared" si="15"/>
        <v>0.035126468508639326</v>
      </c>
      <c r="I115" s="110">
        <v>55.79</v>
      </c>
      <c r="J115" s="111"/>
    </row>
    <row r="116" spans="1:10" s="55" customFormat="1" ht="31.5">
      <c r="A116" s="97" t="s">
        <v>1049</v>
      </c>
      <c r="B116" s="125" t="s">
        <v>951</v>
      </c>
      <c r="C116" s="168" t="s">
        <v>354</v>
      </c>
      <c r="D116" s="106" t="s">
        <v>26</v>
      </c>
      <c r="E116" s="142">
        <v>8</v>
      </c>
      <c r="F116" s="124">
        <v>81.37</v>
      </c>
      <c r="G116" s="135">
        <f t="shared" si="14"/>
        <v>650.96</v>
      </c>
      <c r="H116" s="109">
        <f t="shared" si="15"/>
        <v>0.20492853504556247</v>
      </c>
      <c r="I116" s="110">
        <v>81.37</v>
      </c>
      <c r="J116" s="111"/>
    </row>
    <row r="117" spans="1:10" s="55" customFormat="1" ht="31.5">
      <c r="A117" s="97" t="s">
        <v>1050</v>
      </c>
      <c r="B117" s="169" t="s">
        <v>792</v>
      </c>
      <c r="C117" s="105" t="s">
        <v>503</v>
      </c>
      <c r="D117" s="55" t="s">
        <v>26</v>
      </c>
      <c r="E117" s="142">
        <v>8</v>
      </c>
      <c r="F117" s="124">
        <v>30.87</v>
      </c>
      <c r="G117" s="135">
        <f t="shared" si="14"/>
        <v>246.96</v>
      </c>
      <c r="H117" s="109">
        <f t="shared" si="15"/>
        <v>0.07774540834283536</v>
      </c>
      <c r="I117" s="110">
        <v>30.87</v>
      </c>
      <c r="J117" s="111"/>
    </row>
    <row r="118" spans="1:10" s="55" customFormat="1" ht="15.75">
      <c r="A118" s="112"/>
      <c r="B118" s="112"/>
      <c r="C118" s="520" t="s">
        <v>17</v>
      </c>
      <c r="D118" s="520"/>
      <c r="E118" s="520"/>
      <c r="F118" s="113"/>
      <c r="G118" s="114">
        <f>SUM(G107:G117)</f>
        <v>31170.670000000002</v>
      </c>
      <c r="H118" s="115">
        <f t="shared" si="15"/>
        <v>9.812829881234887</v>
      </c>
      <c r="I118" s="110">
        <v>0</v>
      </c>
      <c r="J118" s="111"/>
    </row>
    <row r="119" spans="1:10" s="55" customFormat="1" ht="15.75">
      <c r="A119" s="97" t="s">
        <v>1051</v>
      </c>
      <c r="B119" s="97"/>
      <c r="C119" s="98" t="s">
        <v>38</v>
      </c>
      <c r="D119" s="99"/>
      <c r="E119" s="143"/>
      <c r="F119" s="116"/>
      <c r="G119" s="101"/>
      <c r="H119" s="109"/>
      <c r="I119" s="110">
        <v>0</v>
      </c>
      <c r="J119" s="111"/>
    </row>
    <row r="120" spans="1:10" s="55" customFormat="1" ht="47.25">
      <c r="A120" s="97" t="s">
        <v>1052</v>
      </c>
      <c r="B120" s="118" t="s">
        <v>933</v>
      </c>
      <c r="C120" s="134" t="s">
        <v>512</v>
      </c>
      <c r="D120" s="106" t="s">
        <v>16</v>
      </c>
      <c r="E120" s="123">
        <v>39.59</v>
      </c>
      <c r="F120" s="170">
        <v>811.28</v>
      </c>
      <c r="G120" s="123">
        <f aca="true" t="shared" si="16" ref="G120:G125">TRUNC(E120*F120,2)</f>
        <v>32118.57</v>
      </c>
      <c r="H120" s="109">
        <f aca="true" t="shared" si="17" ref="H120:H126">(G120/$G$184)*100</f>
        <v>10.111238014406954</v>
      </c>
      <c r="I120" s="110">
        <v>811.28</v>
      </c>
      <c r="J120" s="111"/>
    </row>
    <row r="121" spans="1:10" s="55" customFormat="1" ht="94.5">
      <c r="A121" s="97" t="s">
        <v>1053</v>
      </c>
      <c r="B121" s="104" t="s">
        <v>796</v>
      </c>
      <c r="C121" s="134" t="s">
        <v>523</v>
      </c>
      <c r="D121" s="106" t="s">
        <v>26</v>
      </c>
      <c r="E121" s="123">
        <v>24</v>
      </c>
      <c r="F121" s="170">
        <v>282.27</v>
      </c>
      <c r="G121" s="123">
        <f t="shared" si="16"/>
        <v>6774.48</v>
      </c>
      <c r="H121" s="109">
        <f t="shared" si="17"/>
        <v>2.1326721489729965</v>
      </c>
      <c r="I121" s="110">
        <v>282.27</v>
      </c>
      <c r="J121" s="111"/>
    </row>
    <row r="122" spans="1:10" s="55" customFormat="1" ht="63">
      <c r="A122" s="97" t="s">
        <v>1054</v>
      </c>
      <c r="B122" s="104" t="s">
        <v>798</v>
      </c>
      <c r="C122" s="134" t="s">
        <v>315</v>
      </c>
      <c r="D122" s="106" t="s">
        <v>16</v>
      </c>
      <c r="E122" s="123">
        <v>0.47</v>
      </c>
      <c r="F122" s="170">
        <v>352.21</v>
      </c>
      <c r="G122" s="123">
        <f t="shared" si="16"/>
        <v>165.53</v>
      </c>
      <c r="H122" s="109">
        <f t="shared" si="17"/>
        <v>0.05211045287896637</v>
      </c>
      <c r="I122" s="110">
        <v>352.21</v>
      </c>
      <c r="J122" s="111"/>
    </row>
    <row r="123" spans="1:10" s="55" customFormat="1" ht="47.25">
      <c r="A123" s="97" t="s">
        <v>1055</v>
      </c>
      <c r="B123" s="118" t="s">
        <v>801</v>
      </c>
      <c r="C123" s="134" t="s">
        <v>530</v>
      </c>
      <c r="D123" s="106" t="s">
        <v>16</v>
      </c>
      <c r="E123" s="123">
        <v>1.86</v>
      </c>
      <c r="F123" s="170">
        <v>42.43</v>
      </c>
      <c r="G123" s="123">
        <f t="shared" si="16"/>
        <v>78.91</v>
      </c>
      <c r="H123" s="109">
        <f t="shared" si="17"/>
        <v>0.024841634970574736</v>
      </c>
      <c r="I123" s="110">
        <v>42.43</v>
      </c>
      <c r="J123" s="111"/>
    </row>
    <row r="124" spans="1:10" s="55" customFormat="1" ht="47.25">
      <c r="A124" s="97" t="s">
        <v>1056</v>
      </c>
      <c r="B124" s="104" t="s">
        <v>805</v>
      </c>
      <c r="C124" s="134" t="s">
        <v>439</v>
      </c>
      <c r="D124" s="106" t="s">
        <v>16</v>
      </c>
      <c r="E124" s="123">
        <v>10.973</v>
      </c>
      <c r="F124" s="170">
        <v>173.4</v>
      </c>
      <c r="G124" s="123">
        <f t="shared" si="16"/>
        <v>1902.71</v>
      </c>
      <c r="H124" s="109">
        <f t="shared" si="17"/>
        <v>0.5989916015063016</v>
      </c>
      <c r="I124" s="110">
        <v>173.4</v>
      </c>
      <c r="J124" s="111"/>
    </row>
    <row r="125" spans="1:10" s="55" customFormat="1" ht="15.75">
      <c r="A125" s="97" t="s">
        <v>1057</v>
      </c>
      <c r="B125" s="169" t="s">
        <v>815</v>
      </c>
      <c r="C125" s="134" t="s">
        <v>513</v>
      </c>
      <c r="D125" s="106" t="s">
        <v>16</v>
      </c>
      <c r="E125" s="123">
        <v>6.26</v>
      </c>
      <c r="F125" s="170">
        <v>495.95</v>
      </c>
      <c r="G125" s="123">
        <f t="shared" si="16"/>
        <v>3104.64</v>
      </c>
      <c r="H125" s="109">
        <f t="shared" si="17"/>
        <v>0.9773708477385016</v>
      </c>
      <c r="I125" s="110">
        <v>495.95</v>
      </c>
      <c r="J125" s="111"/>
    </row>
    <row r="126" spans="1:10" s="55" customFormat="1" ht="15.75">
      <c r="A126" s="112"/>
      <c r="B126" s="112"/>
      <c r="C126" s="520" t="s">
        <v>17</v>
      </c>
      <c r="D126" s="520"/>
      <c r="E126" s="520"/>
      <c r="F126" s="113"/>
      <c r="G126" s="114">
        <f>SUM(G120:G125)</f>
        <v>44144.840000000004</v>
      </c>
      <c r="H126" s="115">
        <f t="shared" si="17"/>
        <v>13.897224700474295</v>
      </c>
      <c r="I126" s="110">
        <v>0</v>
      </c>
      <c r="J126" s="111"/>
    </row>
    <row r="127" spans="1:10" s="55" customFormat="1" ht="15.75">
      <c r="A127" s="171" t="s">
        <v>1058</v>
      </c>
      <c r="B127" s="171"/>
      <c r="C127" s="98" t="s">
        <v>39</v>
      </c>
      <c r="D127" s="99"/>
      <c r="E127" s="143"/>
      <c r="F127" s="116"/>
      <c r="G127" s="101"/>
      <c r="H127" s="109"/>
      <c r="I127" s="110">
        <v>0</v>
      </c>
      <c r="J127" s="111"/>
    </row>
    <row r="128" spans="1:10" s="55" customFormat="1" ht="15.75">
      <c r="A128" s="97" t="s">
        <v>1059</v>
      </c>
      <c r="B128" s="172" t="s">
        <v>811</v>
      </c>
      <c r="C128" s="173" t="s">
        <v>40</v>
      </c>
      <c r="D128" s="174" t="s">
        <v>16</v>
      </c>
      <c r="E128" s="123">
        <v>0.47</v>
      </c>
      <c r="F128" s="124">
        <v>99.74</v>
      </c>
      <c r="G128" s="123">
        <f>TRUNC(E128*F128,2)</f>
        <v>46.87</v>
      </c>
      <c r="H128" s="109">
        <f>(G128/$G$184)*100</f>
        <v>0.014755131555833708</v>
      </c>
      <c r="I128" s="110">
        <v>99.74</v>
      </c>
      <c r="J128" s="111"/>
    </row>
    <row r="129" spans="1:10" s="55" customFormat="1" ht="15.75">
      <c r="A129" s="112"/>
      <c r="B129" s="112"/>
      <c r="C129" s="520" t="s">
        <v>17</v>
      </c>
      <c r="D129" s="520"/>
      <c r="E129" s="520"/>
      <c r="F129" s="113"/>
      <c r="G129" s="114">
        <f>SUM(G128)</f>
        <v>46.87</v>
      </c>
      <c r="H129" s="115">
        <f>(G129/$G$184)*100</f>
        <v>0.014755131555833708</v>
      </c>
      <c r="I129" s="110">
        <v>0</v>
      </c>
      <c r="J129" s="111"/>
    </row>
    <row r="130" spans="1:10" s="55" customFormat="1" ht="15.75">
      <c r="A130" s="136" t="s">
        <v>1060</v>
      </c>
      <c r="B130" s="175"/>
      <c r="C130" s="176" t="s">
        <v>41</v>
      </c>
      <c r="D130" s="177"/>
      <c r="E130" s="177"/>
      <c r="F130" s="140"/>
      <c r="G130" s="141"/>
      <c r="H130" s="109"/>
      <c r="I130" s="110">
        <v>0</v>
      </c>
      <c r="J130" s="111"/>
    </row>
    <row r="131" spans="1:10" s="55" customFormat="1" ht="47.25">
      <c r="A131" s="136" t="s">
        <v>1061</v>
      </c>
      <c r="B131" s="104" t="s">
        <v>710</v>
      </c>
      <c r="C131" s="130" t="s">
        <v>225</v>
      </c>
      <c r="D131" s="106" t="s">
        <v>16</v>
      </c>
      <c r="E131" s="123">
        <v>136.39</v>
      </c>
      <c r="F131" s="124">
        <v>4.09</v>
      </c>
      <c r="G131" s="123">
        <f aca="true" t="shared" si="18" ref="G131:G138">TRUNC(E131*F131,2)</f>
        <v>557.83</v>
      </c>
      <c r="H131" s="109">
        <f aca="true" t="shared" si="19" ref="H131:H140">(G131/$G$184)*100</f>
        <v>0.17561030586282736</v>
      </c>
      <c r="I131" s="110">
        <v>4.09</v>
      </c>
      <c r="J131" s="111"/>
    </row>
    <row r="132" spans="1:10" s="55" customFormat="1" ht="63">
      <c r="A132" s="136" t="s">
        <v>1062</v>
      </c>
      <c r="B132" s="118" t="s">
        <v>712</v>
      </c>
      <c r="C132" s="130" t="s">
        <v>355</v>
      </c>
      <c r="D132" s="106" t="s">
        <v>16</v>
      </c>
      <c r="E132" s="123">
        <v>136.39</v>
      </c>
      <c r="F132" s="124">
        <v>36.89</v>
      </c>
      <c r="G132" s="123">
        <f t="shared" si="18"/>
        <v>5031.42</v>
      </c>
      <c r="H132" s="109">
        <f t="shared" si="19"/>
        <v>1.5839399191946415</v>
      </c>
      <c r="I132" s="110">
        <v>36.89</v>
      </c>
      <c r="J132" s="111"/>
    </row>
    <row r="133" spans="1:10" s="55" customFormat="1" ht="78.75">
      <c r="A133" s="136" t="s">
        <v>1063</v>
      </c>
      <c r="B133" s="178" t="s">
        <v>818</v>
      </c>
      <c r="C133" s="179" t="s">
        <v>356</v>
      </c>
      <c r="D133" s="180" t="s">
        <v>16</v>
      </c>
      <c r="E133" s="181">
        <v>473.55</v>
      </c>
      <c r="F133" s="182">
        <v>18.83</v>
      </c>
      <c r="G133" s="181">
        <f t="shared" si="18"/>
        <v>8916.94</v>
      </c>
      <c r="H133" s="183">
        <f t="shared" si="19"/>
        <v>2.8071393807440974</v>
      </c>
      <c r="I133" s="110">
        <v>18.83</v>
      </c>
      <c r="J133" s="111"/>
    </row>
    <row r="134" spans="1:10" s="55" customFormat="1" ht="78.75">
      <c r="A134" s="136" t="s">
        <v>1064</v>
      </c>
      <c r="B134" s="104" t="s">
        <v>824</v>
      </c>
      <c r="C134" s="130" t="s">
        <v>622</v>
      </c>
      <c r="D134" s="106" t="s">
        <v>16</v>
      </c>
      <c r="E134" s="123">
        <v>126.29</v>
      </c>
      <c r="F134" s="124">
        <v>58.6</v>
      </c>
      <c r="G134" s="123">
        <f t="shared" si="18"/>
        <v>7400.59</v>
      </c>
      <c r="H134" s="109">
        <f t="shared" si="19"/>
        <v>2.329777662487463</v>
      </c>
      <c r="I134" s="110">
        <v>58.6</v>
      </c>
      <c r="J134" s="111"/>
    </row>
    <row r="135" spans="1:10" s="55" customFormat="1" ht="15.75">
      <c r="A135" s="136" t="s">
        <v>1065</v>
      </c>
      <c r="B135" s="184" t="s">
        <v>828</v>
      </c>
      <c r="C135" s="130" t="s">
        <v>531</v>
      </c>
      <c r="D135" s="106" t="s">
        <v>19</v>
      </c>
      <c r="E135" s="123">
        <v>148.6</v>
      </c>
      <c r="F135" s="124">
        <v>55.53</v>
      </c>
      <c r="G135" s="123">
        <f t="shared" si="18"/>
        <v>8251.75</v>
      </c>
      <c r="H135" s="109">
        <f t="shared" si="19"/>
        <v>2.597731103389179</v>
      </c>
      <c r="I135" s="110">
        <v>55.53</v>
      </c>
      <c r="J135" s="111"/>
    </row>
    <row r="136" spans="1:10" s="55" customFormat="1" ht="63">
      <c r="A136" s="136" t="s">
        <v>1066</v>
      </c>
      <c r="B136" s="104" t="s">
        <v>318</v>
      </c>
      <c r="C136" s="130" t="s">
        <v>621</v>
      </c>
      <c r="D136" s="106" t="s">
        <v>16</v>
      </c>
      <c r="E136" s="123">
        <v>138.58</v>
      </c>
      <c r="F136" s="124">
        <v>85.39</v>
      </c>
      <c r="G136" s="123">
        <f t="shared" si="18"/>
        <v>11833.34</v>
      </c>
      <c r="H136" s="109">
        <f t="shared" si="19"/>
        <v>3.7252504468723977</v>
      </c>
      <c r="I136" s="110">
        <v>85.39</v>
      </c>
      <c r="J136" s="111"/>
    </row>
    <row r="137" spans="1:10" s="55" customFormat="1" ht="78.75">
      <c r="A137" s="136" t="s">
        <v>1067</v>
      </c>
      <c r="B137" s="118" t="s">
        <v>834</v>
      </c>
      <c r="C137" s="130" t="s">
        <v>930</v>
      </c>
      <c r="D137" s="106" t="s">
        <v>16</v>
      </c>
      <c r="E137" s="123">
        <v>11.9</v>
      </c>
      <c r="F137" s="124">
        <v>186.66</v>
      </c>
      <c r="G137" s="123">
        <f t="shared" si="18"/>
        <v>2221.25</v>
      </c>
      <c r="H137" s="109">
        <f t="shared" si="19"/>
        <v>0.699271089575328</v>
      </c>
      <c r="I137" s="110">
        <v>186.66</v>
      </c>
      <c r="J137" s="111"/>
    </row>
    <row r="138" spans="1:10" s="55" customFormat="1" ht="27.75" customHeight="1">
      <c r="A138" s="136" t="s">
        <v>1068</v>
      </c>
      <c r="B138" s="104" t="s">
        <v>838</v>
      </c>
      <c r="C138" s="105" t="s">
        <v>639</v>
      </c>
      <c r="D138" s="106" t="s">
        <v>16</v>
      </c>
      <c r="E138" s="123">
        <v>6.09</v>
      </c>
      <c r="F138" s="124">
        <v>43.7</v>
      </c>
      <c r="G138" s="123">
        <f t="shared" si="18"/>
        <v>266.13</v>
      </c>
      <c r="H138" s="109">
        <f t="shared" si="19"/>
        <v>0.08378031066682366</v>
      </c>
      <c r="I138" s="110">
        <v>43.7</v>
      </c>
      <c r="J138" s="111"/>
    </row>
    <row r="139" spans="1:10" s="55" customFormat="1" ht="78.75">
      <c r="A139" s="136" t="s">
        <v>1069</v>
      </c>
      <c r="B139" s="118" t="s">
        <v>833</v>
      </c>
      <c r="C139" s="105" t="s">
        <v>42</v>
      </c>
      <c r="D139" s="106" t="s">
        <v>16</v>
      </c>
      <c r="E139" s="123">
        <v>43.25</v>
      </c>
      <c r="F139" s="124">
        <v>144.04</v>
      </c>
      <c r="G139" s="123">
        <f>TRUNC(E139*F139,2)</f>
        <v>6229.73</v>
      </c>
      <c r="H139" s="109">
        <f t="shared" si="19"/>
        <v>1.9611795542420298</v>
      </c>
      <c r="I139" s="110">
        <v>144.04</v>
      </c>
      <c r="J139" s="111"/>
    </row>
    <row r="140" spans="1:10" s="55" customFormat="1" ht="15.75">
      <c r="A140" s="112"/>
      <c r="B140" s="112"/>
      <c r="C140" s="520" t="s">
        <v>17</v>
      </c>
      <c r="D140" s="520"/>
      <c r="E140" s="520"/>
      <c r="F140" s="113"/>
      <c r="G140" s="114">
        <f>SUM(G131:G139)</f>
        <v>50708.979999999996</v>
      </c>
      <c r="H140" s="115">
        <f t="shared" si="19"/>
        <v>15.963679773034785</v>
      </c>
      <c r="I140" s="110">
        <v>0</v>
      </c>
      <c r="J140" s="111"/>
    </row>
    <row r="141" spans="1:10" s="55" customFormat="1" ht="15.75">
      <c r="A141" s="97" t="s">
        <v>1070</v>
      </c>
      <c r="B141" s="118"/>
      <c r="C141" s="185" t="s">
        <v>43</v>
      </c>
      <c r="D141" s="106"/>
      <c r="E141" s="169"/>
      <c r="F141" s="116"/>
      <c r="G141" s="101"/>
      <c r="H141" s="109"/>
      <c r="I141" s="110">
        <v>0</v>
      </c>
      <c r="J141" s="111"/>
    </row>
    <row r="142" spans="1:10" s="55" customFormat="1" ht="15.75">
      <c r="A142" s="97"/>
      <c r="B142" s="118"/>
      <c r="C142" s="186" t="s">
        <v>275</v>
      </c>
      <c r="D142" s="106"/>
      <c r="E142" s="169"/>
      <c r="F142" s="116"/>
      <c r="G142" s="101"/>
      <c r="H142" s="109"/>
      <c r="I142" s="110">
        <v>0</v>
      </c>
      <c r="J142" s="111"/>
    </row>
    <row r="143" spans="1:10" s="55" customFormat="1" ht="75">
      <c r="A143" s="97" t="s">
        <v>1071</v>
      </c>
      <c r="B143" s="187" t="s">
        <v>1133</v>
      </c>
      <c r="C143" s="388" t="s">
        <v>1140</v>
      </c>
      <c r="D143" s="188" t="s">
        <v>16</v>
      </c>
      <c r="E143" s="142">
        <v>245.57</v>
      </c>
      <c r="F143" s="124">
        <v>87.4</v>
      </c>
      <c r="G143" s="123">
        <f>TRUNC(E143*F143,2)</f>
        <v>21462.81</v>
      </c>
      <c r="H143" s="109">
        <f>(G143/$G$184)*100</f>
        <v>6.756701197095441</v>
      </c>
      <c r="I143" s="110">
        <v>99.74</v>
      </c>
      <c r="J143" s="111"/>
    </row>
    <row r="144" spans="1:10" s="55" customFormat="1" ht="47.25">
      <c r="A144" s="97" t="s">
        <v>1072</v>
      </c>
      <c r="B144" s="189" t="s">
        <v>846</v>
      </c>
      <c r="C144" s="190" t="s">
        <v>338</v>
      </c>
      <c r="D144" s="191" t="s">
        <v>16</v>
      </c>
      <c r="E144" s="181">
        <v>15.82</v>
      </c>
      <c r="F144" s="124">
        <v>153.91</v>
      </c>
      <c r="G144" s="123">
        <f>TRUNC(E144*F144,2)</f>
        <v>2434.85</v>
      </c>
      <c r="H144" s="109">
        <f>(G144/$G$184)*100</f>
        <v>0.7665144456736016</v>
      </c>
      <c r="I144" s="110">
        <v>153.91</v>
      </c>
      <c r="J144" s="111"/>
    </row>
    <row r="145" spans="1:10" s="55" customFormat="1" ht="15.75">
      <c r="A145" s="97"/>
      <c r="B145" s="104"/>
      <c r="C145" s="192" t="s">
        <v>276</v>
      </c>
      <c r="D145" s="106"/>
      <c r="E145" s="123"/>
      <c r="F145" s="124"/>
      <c r="G145" s="123"/>
      <c r="H145" s="109"/>
      <c r="I145" s="110">
        <v>0</v>
      </c>
      <c r="J145" s="111"/>
    </row>
    <row r="146" spans="1:10" s="55" customFormat="1" ht="47.25">
      <c r="A146" s="97" t="s">
        <v>1073</v>
      </c>
      <c r="B146" s="104" t="s">
        <v>850</v>
      </c>
      <c r="C146" s="134" t="s">
        <v>359</v>
      </c>
      <c r="D146" s="106" t="s">
        <v>16</v>
      </c>
      <c r="E146" s="123">
        <v>79.3</v>
      </c>
      <c r="F146" s="124">
        <v>90.01</v>
      </c>
      <c r="G146" s="123">
        <f aca="true" t="shared" si="20" ref="G146:G155">TRUNC(E146*F146,2)</f>
        <v>7137.79</v>
      </c>
      <c r="H146" s="109">
        <f aca="true" t="shared" si="21" ref="H146:H156">(G146/$G$184)*100</f>
        <v>2.247045668186778</v>
      </c>
      <c r="I146" s="110">
        <v>90.01</v>
      </c>
      <c r="J146" s="111"/>
    </row>
    <row r="147" spans="1:10" s="55" customFormat="1" ht="47.25">
      <c r="A147" s="97" t="s">
        <v>1074</v>
      </c>
      <c r="B147" s="104" t="s">
        <v>855</v>
      </c>
      <c r="C147" s="134" t="s">
        <v>367</v>
      </c>
      <c r="D147" s="106" t="s">
        <v>19</v>
      </c>
      <c r="E147" s="123">
        <v>23.94</v>
      </c>
      <c r="F147" s="124">
        <v>42.98</v>
      </c>
      <c r="G147" s="123">
        <f t="shared" si="20"/>
        <v>1028.94</v>
      </c>
      <c r="H147" s="109">
        <f t="shared" si="21"/>
        <v>0.323920312845307</v>
      </c>
      <c r="I147" s="110">
        <v>42.98</v>
      </c>
      <c r="J147" s="111"/>
    </row>
    <row r="148" spans="1:10" s="55" customFormat="1" ht="63">
      <c r="A148" s="97" t="s">
        <v>1075</v>
      </c>
      <c r="B148" s="104" t="s">
        <v>870</v>
      </c>
      <c r="C148" s="134" t="s">
        <v>44</v>
      </c>
      <c r="D148" s="106" t="s">
        <v>16</v>
      </c>
      <c r="E148" s="123">
        <v>5.44</v>
      </c>
      <c r="F148" s="124">
        <v>144.34</v>
      </c>
      <c r="G148" s="123">
        <f t="shared" si="20"/>
        <v>785.2</v>
      </c>
      <c r="H148" s="109">
        <f t="shared" si="21"/>
        <v>0.2471885917994587</v>
      </c>
      <c r="I148" s="110">
        <v>144.34</v>
      </c>
      <c r="J148" s="111"/>
    </row>
    <row r="149" spans="1:10" s="55" customFormat="1" ht="63">
      <c r="A149" s="97" t="s">
        <v>1076</v>
      </c>
      <c r="B149" s="104" t="s">
        <v>867</v>
      </c>
      <c r="C149" s="134" t="s">
        <v>382</v>
      </c>
      <c r="D149" s="106" t="s">
        <v>16</v>
      </c>
      <c r="E149" s="123">
        <v>0.93</v>
      </c>
      <c r="F149" s="124">
        <v>144.34</v>
      </c>
      <c r="G149" s="123">
        <f t="shared" si="20"/>
        <v>134.23</v>
      </c>
      <c r="H149" s="109">
        <f t="shared" si="21"/>
        <v>0.042256908656700634</v>
      </c>
      <c r="I149" s="110">
        <v>144.34</v>
      </c>
      <c r="J149" s="111"/>
    </row>
    <row r="150" spans="1:10" s="55" customFormat="1" ht="47.25">
      <c r="A150" s="97" t="s">
        <v>1077</v>
      </c>
      <c r="B150" s="118" t="s">
        <v>952</v>
      </c>
      <c r="C150" s="134" t="s">
        <v>912</v>
      </c>
      <c r="D150" s="106" t="s">
        <v>20</v>
      </c>
      <c r="E150" s="123">
        <v>2.47</v>
      </c>
      <c r="F150" s="124">
        <v>548.48</v>
      </c>
      <c r="G150" s="123">
        <f t="shared" si="20"/>
        <v>1354.74</v>
      </c>
      <c r="H150" s="109">
        <f t="shared" si="21"/>
        <v>0.4264853194783477</v>
      </c>
      <c r="I150" s="110">
        <v>548.48</v>
      </c>
      <c r="J150" s="111"/>
    </row>
    <row r="151" spans="1:10" s="165" customFormat="1" ht="47.25">
      <c r="A151" s="97" t="s">
        <v>1078</v>
      </c>
      <c r="B151" s="193" t="s">
        <v>360</v>
      </c>
      <c r="C151" s="194" t="s">
        <v>361</v>
      </c>
      <c r="D151" s="160" t="s">
        <v>16</v>
      </c>
      <c r="E151" s="161">
        <v>24.22</v>
      </c>
      <c r="F151" s="162">
        <v>23.07</v>
      </c>
      <c r="G151" s="161">
        <f t="shared" si="20"/>
        <v>558.75</v>
      </c>
      <c r="H151" s="164">
        <f t="shared" si="21"/>
        <v>0.17589993080482366</v>
      </c>
      <c r="I151" s="110">
        <v>23.07</v>
      </c>
      <c r="J151" s="166"/>
    </row>
    <row r="152" spans="1:10" s="55" customFormat="1" ht="78.75">
      <c r="A152" s="97" t="s">
        <v>1079</v>
      </c>
      <c r="B152" s="129" t="s">
        <v>695</v>
      </c>
      <c r="C152" s="130" t="s">
        <v>533</v>
      </c>
      <c r="D152" s="131" t="s">
        <v>20</v>
      </c>
      <c r="E152" s="123">
        <v>0.38</v>
      </c>
      <c r="F152" s="195">
        <v>2184.28</v>
      </c>
      <c r="G152" s="123">
        <f t="shared" si="20"/>
        <v>830.02</v>
      </c>
      <c r="H152" s="109">
        <f t="shared" si="21"/>
        <v>0.2612983634301919</v>
      </c>
      <c r="I152" s="110">
        <v>2184.28</v>
      </c>
      <c r="J152" s="111"/>
    </row>
    <row r="153" spans="1:10" s="55" customFormat="1" ht="47.25">
      <c r="A153" s="97" t="s">
        <v>1080</v>
      </c>
      <c r="B153" s="104" t="s">
        <v>872</v>
      </c>
      <c r="C153" s="134" t="s">
        <v>534</v>
      </c>
      <c r="D153" s="106" t="s">
        <v>20</v>
      </c>
      <c r="E153" s="123">
        <v>0.13</v>
      </c>
      <c r="F153" s="124">
        <v>3424.28</v>
      </c>
      <c r="G153" s="123">
        <f t="shared" si="20"/>
        <v>445.15</v>
      </c>
      <c r="H153" s="109">
        <f t="shared" si="21"/>
        <v>0.1401375466626707</v>
      </c>
      <c r="I153" s="110">
        <v>3424.28</v>
      </c>
      <c r="J153" s="111"/>
    </row>
    <row r="154" spans="1:10" s="55" customFormat="1" ht="31.5">
      <c r="A154" s="97" t="s">
        <v>1081</v>
      </c>
      <c r="B154" s="104" t="s">
        <v>877</v>
      </c>
      <c r="C154" s="134" t="s">
        <v>381</v>
      </c>
      <c r="D154" s="106" t="s">
        <v>20</v>
      </c>
      <c r="E154" s="123">
        <v>5.38</v>
      </c>
      <c r="F154" s="124">
        <v>139.12</v>
      </c>
      <c r="G154" s="123">
        <f t="shared" si="20"/>
        <v>748.46</v>
      </c>
      <c r="H154" s="109">
        <f t="shared" si="21"/>
        <v>0.23562248270278</v>
      </c>
      <c r="I154" s="110">
        <v>139.12</v>
      </c>
      <c r="J154" s="111"/>
    </row>
    <row r="155" spans="1:10" s="55" customFormat="1" ht="63">
      <c r="A155" s="97" t="s">
        <v>1082</v>
      </c>
      <c r="B155" s="104" t="s">
        <v>878</v>
      </c>
      <c r="C155" s="134" t="s">
        <v>375</v>
      </c>
      <c r="D155" s="169" t="s">
        <v>16</v>
      </c>
      <c r="E155" s="123">
        <v>26.92</v>
      </c>
      <c r="F155" s="124">
        <v>9.01</v>
      </c>
      <c r="G155" s="123">
        <f t="shared" si="20"/>
        <v>242.54</v>
      </c>
      <c r="H155" s="109">
        <f t="shared" si="21"/>
        <v>0.07635394938237482</v>
      </c>
      <c r="I155" s="110">
        <v>9.01</v>
      </c>
      <c r="J155" s="111"/>
    </row>
    <row r="156" spans="1:10" s="55" customFormat="1" ht="15.75">
      <c r="A156" s="112"/>
      <c r="B156" s="112"/>
      <c r="C156" s="520" t="s">
        <v>17</v>
      </c>
      <c r="D156" s="520"/>
      <c r="E156" s="520"/>
      <c r="F156" s="113"/>
      <c r="G156" s="114">
        <f>SUM(G143:G155)</f>
        <v>37163.479999999996</v>
      </c>
      <c r="H156" s="115">
        <f t="shared" si="21"/>
        <v>11.699424716718475</v>
      </c>
      <c r="I156" s="110">
        <v>0</v>
      </c>
      <c r="J156" s="111"/>
    </row>
    <row r="157" spans="1:10" s="55" customFormat="1" ht="15.75">
      <c r="A157" s="97" t="s">
        <v>1083</v>
      </c>
      <c r="B157" s="104"/>
      <c r="C157" s="196" t="s">
        <v>339</v>
      </c>
      <c r="D157" s="106"/>
      <c r="E157" s="169"/>
      <c r="F157" s="116"/>
      <c r="G157" s="101"/>
      <c r="H157" s="109"/>
      <c r="I157" s="110">
        <v>0</v>
      </c>
      <c r="J157" s="111"/>
    </row>
    <row r="158" spans="1:10" s="55" customFormat="1" ht="78.75">
      <c r="A158" s="97" t="s">
        <v>1084</v>
      </c>
      <c r="B158" s="104" t="s">
        <v>882</v>
      </c>
      <c r="C158" s="134" t="s">
        <v>235</v>
      </c>
      <c r="D158" s="106" t="s">
        <v>19</v>
      </c>
      <c r="E158" s="123">
        <v>295.48</v>
      </c>
      <c r="F158" s="124">
        <v>23.74</v>
      </c>
      <c r="G158" s="123">
        <f aca="true" t="shared" si="22" ref="G158:G163">TRUNC(E158*F158,2)</f>
        <v>7014.69</v>
      </c>
      <c r="H158" s="109">
        <f aca="true" t="shared" si="23" ref="H158:H164">(G158/$G$184)*100</f>
        <v>2.2082925917087937</v>
      </c>
      <c r="I158" s="110">
        <v>23.74</v>
      </c>
      <c r="J158" s="111"/>
    </row>
    <row r="159" spans="1:10" s="55" customFormat="1" ht="30">
      <c r="A159" s="97" t="s">
        <v>1085</v>
      </c>
      <c r="B159" s="197" t="s">
        <v>953</v>
      </c>
      <c r="C159" s="198" t="s">
        <v>915</v>
      </c>
      <c r="D159" s="106" t="s">
        <v>913</v>
      </c>
      <c r="E159" s="123">
        <v>9</v>
      </c>
      <c r="F159" s="199">
        <v>23.74</v>
      </c>
      <c r="G159" s="123">
        <f t="shared" si="22"/>
        <v>213.66</v>
      </c>
      <c r="H159" s="109">
        <f t="shared" si="23"/>
        <v>0.0672622446814472</v>
      </c>
      <c r="I159" s="110">
        <v>23.74</v>
      </c>
      <c r="J159" s="111"/>
    </row>
    <row r="160" spans="1:10" s="55" customFormat="1" ht="47.25">
      <c r="A160" s="97" t="s">
        <v>1086</v>
      </c>
      <c r="B160" s="197" t="s">
        <v>917</v>
      </c>
      <c r="C160" s="198" t="s">
        <v>916</v>
      </c>
      <c r="D160" s="188" t="s">
        <v>913</v>
      </c>
      <c r="E160" s="123">
        <v>15.2</v>
      </c>
      <c r="F160" s="199">
        <v>21.89</v>
      </c>
      <c r="G160" s="123">
        <f t="shared" si="22"/>
        <v>332.72</v>
      </c>
      <c r="H160" s="109">
        <f t="shared" si="23"/>
        <v>0.10474348989240435</v>
      </c>
      <c r="I160" s="110">
        <v>21.89</v>
      </c>
      <c r="J160" s="111"/>
    </row>
    <row r="161" spans="1:10" s="55" customFormat="1" ht="63">
      <c r="A161" s="97" t="s">
        <v>1087</v>
      </c>
      <c r="B161" s="104" t="s">
        <v>884</v>
      </c>
      <c r="C161" s="134" t="s">
        <v>236</v>
      </c>
      <c r="D161" s="106" t="s">
        <v>19</v>
      </c>
      <c r="E161" s="123">
        <v>48.15</v>
      </c>
      <c r="F161" s="124">
        <v>61.33</v>
      </c>
      <c r="G161" s="123">
        <f t="shared" si="22"/>
        <v>2953.03</v>
      </c>
      <c r="H161" s="109">
        <f t="shared" si="23"/>
        <v>0.9296425461558273</v>
      </c>
      <c r="I161" s="110">
        <v>61.33</v>
      </c>
      <c r="J161" s="111"/>
    </row>
    <row r="162" spans="1:10" s="55" customFormat="1" ht="63">
      <c r="A162" s="97" t="s">
        <v>1088</v>
      </c>
      <c r="B162" s="104" t="s">
        <v>886</v>
      </c>
      <c r="C162" s="134" t="s">
        <v>524</v>
      </c>
      <c r="D162" s="106" t="s">
        <v>19</v>
      </c>
      <c r="E162" s="123">
        <v>3.39</v>
      </c>
      <c r="F162" s="124">
        <v>49.44</v>
      </c>
      <c r="G162" s="123">
        <f t="shared" si="22"/>
        <v>167.6</v>
      </c>
      <c r="H162" s="109">
        <f t="shared" si="23"/>
        <v>0.05276210899845807</v>
      </c>
      <c r="I162" s="110">
        <v>49.44</v>
      </c>
      <c r="J162" s="111"/>
    </row>
    <row r="163" spans="1:10" s="55" customFormat="1" ht="78.75">
      <c r="A163" s="97" t="s">
        <v>1089</v>
      </c>
      <c r="B163" s="105" t="s">
        <v>954</v>
      </c>
      <c r="C163" s="134" t="s">
        <v>477</v>
      </c>
      <c r="D163" s="106" t="s">
        <v>19</v>
      </c>
      <c r="E163" s="123">
        <v>1.2</v>
      </c>
      <c r="F163" s="124">
        <v>33.59</v>
      </c>
      <c r="G163" s="123">
        <f t="shared" si="22"/>
        <v>40.3</v>
      </c>
      <c r="H163" s="109">
        <f t="shared" si="23"/>
        <v>0.012686831698316588</v>
      </c>
      <c r="I163" s="110">
        <v>33.59</v>
      </c>
      <c r="J163" s="111"/>
    </row>
    <row r="164" spans="1:10" s="55" customFormat="1" ht="15.75">
      <c r="A164" s="112"/>
      <c r="B164" s="112"/>
      <c r="C164" s="520" t="s">
        <v>17</v>
      </c>
      <c r="D164" s="520"/>
      <c r="E164" s="520"/>
      <c r="F164" s="200"/>
      <c r="G164" s="201">
        <f>SUM(G158:G163)</f>
        <v>10722</v>
      </c>
      <c r="H164" s="115">
        <f t="shared" si="23"/>
        <v>3.3753898131352473</v>
      </c>
      <c r="I164" s="110">
        <v>0</v>
      </c>
      <c r="J164" s="111"/>
    </row>
    <row r="165" spans="1:10" s="55" customFormat="1" ht="15.75">
      <c r="A165" s="97" t="s">
        <v>1090</v>
      </c>
      <c r="B165" s="104"/>
      <c r="C165" s="196" t="s">
        <v>46</v>
      </c>
      <c r="D165" s="106"/>
      <c r="E165" s="169"/>
      <c r="F165" s="116"/>
      <c r="G165" s="101"/>
      <c r="H165" s="109"/>
      <c r="I165" s="110">
        <v>0</v>
      </c>
      <c r="J165" s="111"/>
    </row>
    <row r="166" spans="1:10" s="55" customFormat="1" ht="15.75">
      <c r="A166" s="97"/>
      <c r="B166" s="104"/>
      <c r="C166" s="202" t="s">
        <v>383</v>
      </c>
      <c r="D166" s="106"/>
      <c r="E166" s="169"/>
      <c r="F166" s="116"/>
      <c r="G166" s="101"/>
      <c r="H166" s="109"/>
      <c r="I166" s="110">
        <v>0</v>
      </c>
      <c r="J166" s="111"/>
    </row>
    <row r="167" spans="1:10" s="55" customFormat="1" ht="31.5">
      <c r="A167" s="97" t="s">
        <v>1091</v>
      </c>
      <c r="B167" s="104" t="s">
        <v>889</v>
      </c>
      <c r="C167" s="134" t="s">
        <v>47</v>
      </c>
      <c r="D167" s="106" t="s">
        <v>16</v>
      </c>
      <c r="E167" s="161">
        <v>520.11</v>
      </c>
      <c r="F167" s="124">
        <v>7.23</v>
      </c>
      <c r="G167" s="123">
        <f>TRUNC(E167*F167,2)</f>
        <v>3760.39</v>
      </c>
      <c r="H167" s="109">
        <f>(G167/$G$184)*100</f>
        <v>1.183807321340762</v>
      </c>
      <c r="I167" s="110">
        <v>7.23</v>
      </c>
      <c r="J167" s="111"/>
    </row>
    <row r="168" spans="1:10" s="55" customFormat="1" ht="15.75">
      <c r="A168" s="203"/>
      <c r="B168" s="104"/>
      <c r="C168" s="204" t="s">
        <v>385</v>
      </c>
      <c r="D168" s="106"/>
      <c r="E168" s="123"/>
      <c r="F168" s="195"/>
      <c r="G168" s="123"/>
      <c r="H168" s="109"/>
      <c r="I168" s="110">
        <v>0</v>
      </c>
      <c r="J168" s="111"/>
    </row>
    <row r="169" spans="1:10" s="55" customFormat="1" ht="63">
      <c r="A169" s="97" t="s">
        <v>1092</v>
      </c>
      <c r="B169" s="104" t="s">
        <v>891</v>
      </c>
      <c r="C169" s="105" t="s">
        <v>404</v>
      </c>
      <c r="D169" s="106" t="s">
        <v>16</v>
      </c>
      <c r="E169" s="161">
        <v>493.98</v>
      </c>
      <c r="F169" s="195">
        <v>41.62</v>
      </c>
      <c r="G169" s="123">
        <f>TRUNC(E169*F169,2)</f>
        <v>20559.44</v>
      </c>
      <c r="H169" s="109">
        <f>(G169/$G$184)*100</f>
        <v>6.472311540735435</v>
      </c>
      <c r="I169" s="110">
        <v>41.62</v>
      </c>
      <c r="J169" s="111"/>
    </row>
    <row r="170" spans="1:10" s="55" customFormat="1" ht="31.5">
      <c r="A170" s="97" t="s">
        <v>1093</v>
      </c>
      <c r="B170" s="104" t="s">
        <v>723</v>
      </c>
      <c r="C170" s="105" t="s">
        <v>388</v>
      </c>
      <c r="D170" s="106" t="s">
        <v>16</v>
      </c>
      <c r="E170" s="161">
        <v>114.9</v>
      </c>
      <c r="F170" s="195">
        <v>2.98</v>
      </c>
      <c r="G170" s="123">
        <f>TRUNC(E170*F170,2)</f>
        <v>342.4</v>
      </c>
      <c r="H170" s="109">
        <f>(G170/$G$184)*100</f>
        <v>0.10779084797775682</v>
      </c>
      <c r="I170" s="110">
        <v>2.98</v>
      </c>
      <c r="J170" s="111"/>
    </row>
    <row r="171" spans="1:10" s="55" customFormat="1" ht="31.5">
      <c r="A171" s="97" t="s">
        <v>1094</v>
      </c>
      <c r="B171" s="104" t="s">
        <v>892</v>
      </c>
      <c r="C171" s="105" t="s">
        <v>394</v>
      </c>
      <c r="D171" s="106" t="s">
        <v>16</v>
      </c>
      <c r="E171" s="161">
        <v>114.9</v>
      </c>
      <c r="F171" s="195">
        <v>30.24</v>
      </c>
      <c r="G171" s="123">
        <f>TRUNC(E171*F171,2)</f>
        <v>3474.57</v>
      </c>
      <c r="H171" s="109">
        <f>(G171/$G$184)*100</f>
        <v>1.0938284072957782</v>
      </c>
      <c r="I171" s="110">
        <v>30.24</v>
      </c>
      <c r="J171" s="111"/>
    </row>
    <row r="172" spans="1:10" s="55" customFormat="1" ht="31.5">
      <c r="A172" s="97" t="s">
        <v>1095</v>
      </c>
      <c r="B172" s="104" t="s">
        <v>895</v>
      </c>
      <c r="C172" s="105" t="s">
        <v>392</v>
      </c>
      <c r="D172" s="106" t="s">
        <v>16</v>
      </c>
      <c r="E172" s="161">
        <v>114.9</v>
      </c>
      <c r="F172" s="195">
        <v>14.27</v>
      </c>
      <c r="G172" s="123">
        <f>TRUNC(E172*F172,2)</f>
        <v>1639.62</v>
      </c>
      <c r="H172" s="109">
        <f>(G172/$G$184)*100</f>
        <v>0.516168312386944</v>
      </c>
      <c r="I172" s="110">
        <v>14.27</v>
      </c>
      <c r="J172" s="111"/>
    </row>
    <row r="173" spans="1:10" s="55" customFormat="1" ht="15.75">
      <c r="A173" s="97"/>
      <c r="B173" s="104"/>
      <c r="C173" s="204"/>
      <c r="D173" s="106"/>
      <c r="E173" s="123"/>
      <c r="F173" s="195"/>
      <c r="G173" s="123"/>
      <c r="H173" s="109"/>
      <c r="I173" s="110">
        <v>0</v>
      </c>
      <c r="J173" s="111"/>
    </row>
    <row r="174" spans="1:10" s="55" customFormat="1" ht="15.75">
      <c r="A174" s="97"/>
      <c r="B174" s="104"/>
      <c r="C174" s="204" t="s">
        <v>386</v>
      </c>
      <c r="D174" s="106"/>
      <c r="E174" s="123"/>
      <c r="F174" s="195"/>
      <c r="G174" s="123"/>
      <c r="H174" s="109"/>
      <c r="I174" s="110">
        <v>0</v>
      </c>
      <c r="J174" s="111"/>
    </row>
    <row r="175" spans="1:10" s="55" customFormat="1" ht="31.5">
      <c r="A175" s="97" t="s">
        <v>1096</v>
      </c>
      <c r="B175" s="104" t="s">
        <v>896</v>
      </c>
      <c r="C175" s="105" t="s">
        <v>390</v>
      </c>
      <c r="D175" s="106" t="s">
        <v>16</v>
      </c>
      <c r="E175" s="123">
        <v>337.3</v>
      </c>
      <c r="F175" s="195">
        <v>4.21</v>
      </c>
      <c r="G175" s="123">
        <f>TRUNC(E175*F175,2)</f>
        <v>1420.03</v>
      </c>
      <c r="H175" s="109">
        <f>(G175/$G$184)*100</f>
        <v>0.4470392460684989</v>
      </c>
      <c r="I175" s="110">
        <v>4.21</v>
      </c>
      <c r="J175" s="111"/>
    </row>
    <row r="176" spans="1:10" s="55" customFormat="1" ht="31.5">
      <c r="A176" s="97" t="s">
        <v>1097</v>
      </c>
      <c r="B176" s="104" t="s">
        <v>898</v>
      </c>
      <c r="C176" s="105" t="s">
        <v>395</v>
      </c>
      <c r="D176" s="106" t="s">
        <v>16</v>
      </c>
      <c r="E176" s="123">
        <v>337.3</v>
      </c>
      <c r="F176" s="195">
        <v>22.92</v>
      </c>
      <c r="G176" s="123">
        <f>TRUNC(E176*F176,2)</f>
        <v>7730.91</v>
      </c>
      <c r="H176" s="109">
        <f>(G176/$G$184)*100</f>
        <v>2.4337656090529203</v>
      </c>
      <c r="I176" s="110">
        <v>22.92</v>
      </c>
      <c r="J176" s="111"/>
    </row>
    <row r="177" spans="1:10" s="55" customFormat="1" ht="31.5">
      <c r="A177" s="97" t="s">
        <v>1098</v>
      </c>
      <c r="B177" s="104" t="s">
        <v>900</v>
      </c>
      <c r="C177" s="105" t="s">
        <v>48</v>
      </c>
      <c r="D177" s="106" t="s">
        <v>16</v>
      </c>
      <c r="E177" s="123">
        <v>337.3</v>
      </c>
      <c r="F177" s="124">
        <v>12.65</v>
      </c>
      <c r="G177" s="123">
        <f>TRUNC(E177*F177,2)</f>
        <v>4266.84</v>
      </c>
      <c r="H177" s="109">
        <f>(G177/$G$184)*100</f>
        <v>1.343242703812535</v>
      </c>
      <c r="I177" s="110">
        <v>12.65</v>
      </c>
      <c r="J177" s="111"/>
    </row>
    <row r="178" spans="1:10" s="55" customFormat="1" ht="15.75">
      <c r="A178" s="203"/>
      <c r="B178" s="104"/>
      <c r="C178" s="203"/>
      <c r="D178" s="106"/>
      <c r="E178" s="123"/>
      <c r="F178" s="195"/>
      <c r="G178" s="123"/>
      <c r="H178" s="109"/>
      <c r="I178" s="110">
        <v>0</v>
      </c>
      <c r="J178" s="111"/>
    </row>
    <row r="179" spans="1:10" s="55" customFormat="1" ht="15.75">
      <c r="A179" s="97"/>
      <c r="B179" s="104"/>
      <c r="C179" s="202" t="s">
        <v>384</v>
      </c>
      <c r="D179" s="106"/>
      <c r="E179" s="123"/>
      <c r="F179" s="124"/>
      <c r="G179" s="123"/>
      <c r="H179" s="109"/>
      <c r="I179" s="110">
        <v>0</v>
      </c>
      <c r="J179" s="111"/>
    </row>
    <row r="180" spans="1:10" s="55" customFormat="1" ht="31.5">
      <c r="A180" s="97" t="s">
        <v>1099</v>
      </c>
      <c r="B180" s="104" t="s">
        <v>723</v>
      </c>
      <c r="C180" s="105" t="s">
        <v>388</v>
      </c>
      <c r="D180" s="106" t="s">
        <v>16</v>
      </c>
      <c r="E180" s="161">
        <v>764.86</v>
      </c>
      <c r="F180" s="195">
        <v>2.98</v>
      </c>
      <c r="G180" s="123">
        <f>TRUNC(E180*F180,2)</f>
        <v>2279.28</v>
      </c>
      <c r="H180" s="109">
        <f>(G180/$G$184)*100</f>
        <v>0.717539497601465</v>
      </c>
      <c r="I180" s="110">
        <v>2.98</v>
      </c>
      <c r="J180" s="111"/>
    </row>
    <row r="181" spans="1:10" s="55" customFormat="1" ht="31.5">
      <c r="A181" s="97" t="s">
        <v>1100</v>
      </c>
      <c r="B181" s="104" t="s">
        <v>726</v>
      </c>
      <c r="C181" s="134" t="s">
        <v>49</v>
      </c>
      <c r="D181" s="106" t="s">
        <v>16</v>
      </c>
      <c r="E181" s="123">
        <v>836.34</v>
      </c>
      <c r="F181" s="195">
        <v>16.7</v>
      </c>
      <c r="G181" s="123">
        <f>TRUNC(E181*F181,2)</f>
        <v>13966.87</v>
      </c>
      <c r="H181" s="109">
        <f>(G181/$G$184)*100</f>
        <v>4.396906427847816</v>
      </c>
      <c r="I181" s="110">
        <v>16.7</v>
      </c>
      <c r="J181" s="111"/>
    </row>
    <row r="182" spans="1:10" s="55" customFormat="1" ht="47.25">
      <c r="A182" s="97" t="s">
        <v>1101</v>
      </c>
      <c r="B182" s="104" t="s">
        <v>902</v>
      </c>
      <c r="C182" s="134" t="s">
        <v>399</v>
      </c>
      <c r="D182" s="106" t="s">
        <v>16</v>
      </c>
      <c r="E182" s="123">
        <v>61.8</v>
      </c>
      <c r="F182" s="195">
        <v>23.38</v>
      </c>
      <c r="G182" s="123">
        <f>TRUNC(E182*F182,2)</f>
        <v>1444.88</v>
      </c>
      <c r="H182" s="109">
        <f>(G182/$G$184)*100</f>
        <v>0.4548622675995949</v>
      </c>
      <c r="I182" s="110">
        <v>23.38</v>
      </c>
      <c r="J182" s="111"/>
    </row>
    <row r="183" spans="1:10" s="55" customFormat="1" ht="15.75">
      <c r="A183" s="112"/>
      <c r="B183" s="112"/>
      <c r="C183" s="520" t="s">
        <v>17</v>
      </c>
      <c r="D183" s="520"/>
      <c r="E183" s="520"/>
      <c r="F183" s="113"/>
      <c r="G183" s="114">
        <f>SUM(G167:G182)</f>
        <v>60885.229999999996</v>
      </c>
      <c r="H183" s="115">
        <f>(G183/$G$184)*100</f>
        <v>19.167262181719504</v>
      </c>
      <c r="J183" s="111"/>
    </row>
    <row r="184" spans="1:10" s="210" customFormat="1" ht="15.75">
      <c r="A184" s="205"/>
      <c r="B184" s="126"/>
      <c r="C184" s="206" t="s">
        <v>1103</v>
      </c>
      <c r="D184" s="207"/>
      <c r="E184" s="208"/>
      <c r="F184" s="209"/>
      <c r="G184" s="208">
        <f>G14+G22+G36+G47+G60+G64+G74+G77+G105+G118+G126+G129+G140+G156+G164+G183</f>
        <v>317652.19999999995</v>
      </c>
      <c r="H184" s="109">
        <f>(G184/$G$184)*100</f>
        <v>100</v>
      </c>
      <c r="J184" s="211"/>
    </row>
  </sheetData>
  <sheetProtection/>
  <mergeCells count="32">
    <mergeCell ref="C36:E36"/>
    <mergeCell ref="C140:E140"/>
    <mergeCell ref="C126:E126"/>
    <mergeCell ref="C129:E129"/>
    <mergeCell ref="C183:E183"/>
    <mergeCell ref="F5:H5"/>
    <mergeCell ref="F6:H6"/>
    <mergeCell ref="F7:H7"/>
    <mergeCell ref="F8:H8"/>
    <mergeCell ref="C118:E118"/>
    <mergeCell ref="C14:E14"/>
    <mergeCell ref="C22:E22"/>
    <mergeCell ref="G10:G11"/>
    <mergeCell ref="H10:H11"/>
    <mergeCell ref="C156:E156"/>
    <mergeCell ref="C77:E77"/>
    <mergeCell ref="C105:E105"/>
    <mergeCell ref="C164:E164"/>
    <mergeCell ref="C47:E47"/>
    <mergeCell ref="C60:E60"/>
    <mergeCell ref="C64:E64"/>
    <mergeCell ref="C74:E74"/>
    <mergeCell ref="C1:E1"/>
    <mergeCell ref="C2:E2"/>
    <mergeCell ref="C3:E3"/>
    <mergeCell ref="A10:A11"/>
    <mergeCell ref="B10:B11"/>
    <mergeCell ref="C10:C11"/>
    <mergeCell ref="D10:D11"/>
    <mergeCell ref="E10:E11"/>
    <mergeCell ref="A9:H9"/>
    <mergeCell ref="F10:F11"/>
  </mergeCells>
  <printOptions horizontalCentered="1"/>
  <pageMargins left="0.5118110236220472" right="0.5118110236220472" top="0.7874015748031497" bottom="0.7874015748031497" header="0.31496062992125984" footer="0.31496062992125984"/>
  <pageSetup fitToHeight="1000" horizontalDpi="600" verticalDpi="600" orientation="portrait" paperSize="9" scale="53" r:id="rId2"/>
  <headerFooter>
    <oddFooter>&amp;L&amp;P/&amp;N</oddFooter>
  </headerFooter>
  <drawing r:id="rId1"/>
</worksheet>
</file>

<file path=xl/worksheets/sheet3.xml><?xml version="1.0" encoding="utf-8"?>
<worksheet xmlns="http://schemas.openxmlformats.org/spreadsheetml/2006/main" xmlns:r="http://schemas.openxmlformats.org/officeDocument/2006/relationships">
  <dimension ref="A1:X54"/>
  <sheetViews>
    <sheetView view="pageBreakPreview" zoomScale="70" zoomScaleSheetLayoutView="70" zoomScalePageLayoutView="0" workbookViewId="0" topLeftCell="D19">
      <selection activeCell="U55" sqref="U55"/>
    </sheetView>
  </sheetViews>
  <sheetFormatPr defaultColWidth="9.140625" defaultRowHeight="12.75"/>
  <cols>
    <col min="1" max="1" width="9.28125" style="0" bestFit="1" customWidth="1"/>
    <col min="2" max="2" width="27.421875" style="0" customWidth="1"/>
    <col min="3" max="3" width="16.7109375" style="0" customWidth="1"/>
    <col min="5" max="5" width="16.421875" style="0" bestFit="1" customWidth="1"/>
    <col min="6" max="6" width="10.28125" style="0" bestFit="1" customWidth="1"/>
    <col min="7" max="7" width="16.421875" style="0" bestFit="1" customWidth="1"/>
    <col min="8" max="8" width="9.28125" style="0" bestFit="1" customWidth="1"/>
    <col min="9" max="9" width="16.421875" style="0" bestFit="1" customWidth="1"/>
    <col min="10" max="10" width="9.00390625" style="0" bestFit="1" customWidth="1"/>
    <col min="11" max="11" width="16.421875" style="0" bestFit="1" customWidth="1"/>
    <col min="12" max="12" width="9.28125" style="0" bestFit="1" customWidth="1"/>
    <col min="13" max="13" width="16.421875" style="0" bestFit="1" customWidth="1"/>
    <col min="14" max="14" width="9.28125" style="0" bestFit="1" customWidth="1"/>
    <col min="15" max="15" width="16.421875" style="0" bestFit="1" customWidth="1"/>
    <col min="16" max="16" width="9.28125" style="0" bestFit="1" customWidth="1"/>
    <col min="17" max="17" width="15.140625" style="0" bestFit="1" customWidth="1"/>
    <col min="18" max="18" width="15.28125" style="0" customWidth="1"/>
    <col min="19" max="19" width="15.140625" style="0" bestFit="1" customWidth="1"/>
    <col min="20" max="20" width="12.57421875" style="0" customWidth="1"/>
    <col min="21" max="21" width="20.7109375" style="0" bestFit="1" customWidth="1"/>
    <col min="22" max="22" width="13.8515625" style="0" customWidth="1"/>
    <col min="23" max="23" width="9.140625" style="215" customWidth="1"/>
  </cols>
  <sheetData>
    <row r="1" spans="1:23" s="2" customFormat="1" ht="16.5" customHeight="1">
      <c r="A1" s="73"/>
      <c r="B1" s="74"/>
      <c r="C1" s="567" t="s">
        <v>12</v>
      </c>
      <c r="D1" s="568"/>
      <c r="E1" s="568"/>
      <c r="F1" s="568"/>
      <c r="G1" s="569"/>
      <c r="H1" s="569"/>
      <c r="I1" s="233"/>
      <c r="J1" s="233"/>
      <c r="K1" s="233"/>
      <c r="L1" s="233"/>
      <c r="M1" s="233"/>
      <c r="N1" s="233"/>
      <c r="O1" s="233"/>
      <c r="P1" s="233"/>
      <c r="Q1" s="37"/>
      <c r="R1" s="47"/>
      <c r="S1" s="234" t="s">
        <v>468</v>
      </c>
      <c r="T1" s="235" t="s">
        <v>470</v>
      </c>
      <c r="U1" s="235" t="s">
        <v>469</v>
      </c>
      <c r="W1" s="9"/>
    </row>
    <row r="2" spans="1:23" s="2" customFormat="1" ht="16.5" customHeight="1">
      <c r="A2" s="79"/>
      <c r="B2" s="80"/>
      <c r="C2" s="570" t="s">
        <v>8</v>
      </c>
      <c r="D2" s="571"/>
      <c r="E2" s="571"/>
      <c r="F2" s="572"/>
      <c r="G2" s="573"/>
      <c r="H2" s="574"/>
      <c r="I2" s="236"/>
      <c r="J2" s="236"/>
      <c r="K2" s="236"/>
      <c r="L2" s="236"/>
      <c r="M2" s="236"/>
      <c r="N2" s="236"/>
      <c r="O2" s="236"/>
      <c r="P2" s="236"/>
      <c r="Q2" s="40"/>
      <c r="R2" s="48"/>
      <c r="S2" s="234"/>
      <c r="T2" s="235"/>
      <c r="U2" s="235"/>
      <c r="W2" s="9"/>
    </row>
    <row r="3" spans="1:23" s="2" customFormat="1" ht="29.25" customHeight="1">
      <c r="A3" s="79"/>
      <c r="B3" s="80"/>
      <c r="C3" s="570" t="s">
        <v>9</v>
      </c>
      <c r="D3" s="571"/>
      <c r="E3" s="571"/>
      <c r="F3" s="572"/>
      <c r="G3" s="573"/>
      <c r="H3" s="574"/>
      <c r="I3" s="236"/>
      <c r="J3" s="236"/>
      <c r="K3" s="236"/>
      <c r="L3" s="236"/>
      <c r="M3" s="236"/>
      <c r="N3" s="236"/>
      <c r="O3" s="236"/>
      <c r="P3" s="236"/>
      <c r="Q3" s="40"/>
      <c r="R3" s="41"/>
      <c r="S3" s="38"/>
      <c r="T3" s="39"/>
      <c r="U3" s="44"/>
      <c r="W3" s="9"/>
    </row>
    <row r="4" spans="1:23" s="2" customFormat="1" ht="34.5" customHeight="1">
      <c r="A4" s="79"/>
      <c r="B4" s="80"/>
      <c r="C4" s="562" t="s">
        <v>454</v>
      </c>
      <c r="D4" s="563"/>
      <c r="E4" s="563"/>
      <c r="F4" s="564"/>
      <c r="G4" s="536"/>
      <c r="H4" s="537"/>
      <c r="I4" s="537"/>
      <c r="J4" s="537"/>
      <c r="K4" s="537"/>
      <c r="L4" s="537"/>
      <c r="M4" s="537"/>
      <c r="N4" s="537"/>
      <c r="O4" s="537"/>
      <c r="P4" s="537"/>
      <c r="Q4" s="536"/>
      <c r="R4" s="237"/>
      <c r="S4" s="49"/>
      <c r="T4" s="238"/>
      <c r="U4" s="239"/>
      <c r="W4" s="9"/>
    </row>
    <row r="5" spans="1:23" s="2" customFormat="1" ht="27" customHeight="1">
      <c r="A5" s="79"/>
      <c r="B5" s="80"/>
      <c r="C5" s="533" t="s">
        <v>620</v>
      </c>
      <c r="D5" s="534"/>
      <c r="E5" s="534"/>
      <c r="F5" s="535"/>
      <c r="G5" s="565"/>
      <c r="H5" s="566"/>
      <c r="I5" s="566"/>
      <c r="J5" s="566"/>
      <c r="K5" s="566"/>
      <c r="L5" s="566"/>
      <c r="M5" s="566"/>
      <c r="N5" s="566"/>
      <c r="O5" s="566"/>
      <c r="P5" s="566"/>
      <c r="Q5" s="538"/>
      <c r="R5" s="83" t="s">
        <v>277</v>
      </c>
      <c r="S5" s="521" t="s">
        <v>452</v>
      </c>
      <c r="T5" s="531"/>
      <c r="U5" s="532"/>
      <c r="W5" s="9"/>
    </row>
    <row r="6" spans="1:23" s="2" customFormat="1" ht="27" customHeight="1">
      <c r="A6" s="79"/>
      <c r="B6" s="80"/>
      <c r="C6" s="533" t="s">
        <v>193</v>
      </c>
      <c r="D6" s="534"/>
      <c r="E6" s="534"/>
      <c r="F6" s="535"/>
      <c r="G6" s="536"/>
      <c r="H6" s="537"/>
      <c r="I6" s="537"/>
      <c r="J6" s="537"/>
      <c r="K6" s="537"/>
      <c r="L6" s="537"/>
      <c r="M6" s="537"/>
      <c r="N6" s="537"/>
      <c r="O6" s="537"/>
      <c r="P6" s="537"/>
      <c r="Q6" s="538"/>
      <c r="R6" s="84" t="s">
        <v>278</v>
      </c>
      <c r="S6" s="521" t="s">
        <v>452</v>
      </c>
      <c r="T6" s="531"/>
      <c r="U6" s="532"/>
      <c r="W6" s="9"/>
    </row>
    <row r="7" spans="1:23" s="2" customFormat="1" ht="27" customHeight="1">
      <c r="A7" s="79"/>
      <c r="B7" s="80"/>
      <c r="C7" s="539" t="s">
        <v>1102</v>
      </c>
      <c r="D7" s="540"/>
      <c r="E7" s="540"/>
      <c r="F7" s="541"/>
      <c r="G7" s="540"/>
      <c r="H7" s="541"/>
      <c r="I7" s="541"/>
      <c r="J7" s="541"/>
      <c r="K7" s="541"/>
      <c r="L7" s="541"/>
      <c r="M7" s="541"/>
      <c r="N7" s="541"/>
      <c r="O7" s="541"/>
      <c r="P7" s="541"/>
      <c r="Q7" s="542"/>
      <c r="R7" s="84" t="s">
        <v>279</v>
      </c>
      <c r="S7" s="521" t="s">
        <v>619</v>
      </c>
      <c r="T7" s="531"/>
      <c r="U7" s="532"/>
      <c r="W7" s="9"/>
    </row>
    <row r="8" spans="1:23" s="2" customFormat="1" ht="27" customHeight="1">
      <c r="A8" s="240"/>
      <c r="B8" s="241"/>
      <c r="C8" s="543" t="s">
        <v>925</v>
      </c>
      <c r="D8" s="544"/>
      <c r="E8" s="544"/>
      <c r="F8" s="544"/>
      <c r="G8" s="545"/>
      <c r="H8" s="545"/>
      <c r="I8" s="545"/>
      <c r="J8" s="545"/>
      <c r="K8" s="545"/>
      <c r="L8" s="545"/>
      <c r="M8" s="545"/>
      <c r="N8" s="545"/>
      <c r="O8" s="545"/>
      <c r="P8" s="545"/>
      <c r="Q8" s="546"/>
      <c r="R8" s="85" t="s">
        <v>280</v>
      </c>
      <c r="S8" s="524" t="s">
        <v>453</v>
      </c>
      <c r="T8" s="525"/>
      <c r="U8" s="526"/>
      <c r="W8" s="9"/>
    </row>
    <row r="9" spans="1:21" ht="15">
      <c r="A9" s="230"/>
      <c r="B9" s="230"/>
      <c r="C9" s="230"/>
      <c r="D9" s="230"/>
      <c r="E9" s="230"/>
      <c r="F9" s="230"/>
      <c r="G9" s="230"/>
      <c r="H9" s="230"/>
      <c r="I9" s="230"/>
      <c r="J9" s="230"/>
      <c r="K9" s="230"/>
      <c r="L9" s="230"/>
      <c r="M9" s="230"/>
      <c r="N9" s="230"/>
      <c r="O9" s="230"/>
      <c r="P9" s="230"/>
      <c r="Q9" s="230"/>
      <c r="R9" s="230"/>
      <c r="S9" s="230"/>
      <c r="T9" s="230"/>
      <c r="U9" s="230"/>
    </row>
    <row r="10" spans="1:23" s="35" customFormat="1" ht="15.75">
      <c r="A10" s="527" t="s">
        <v>455</v>
      </c>
      <c r="B10" s="528"/>
      <c r="C10" s="528"/>
      <c r="D10" s="528"/>
      <c r="E10" s="528"/>
      <c r="F10" s="528"/>
      <c r="G10" s="528"/>
      <c r="H10" s="528"/>
      <c r="I10" s="528"/>
      <c r="J10" s="528"/>
      <c r="K10" s="528"/>
      <c r="L10" s="528"/>
      <c r="M10" s="528"/>
      <c r="N10" s="528"/>
      <c r="O10" s="528"/>
      <c r="P10" s="528"/>
      <c r="Q10" s="528"/>
      <c r="R10" s="528"/>
      <c r="S10" s="528"/>
      <c r="T10" s="528"/>
      <c r="U10" s="529"/>
      <c r="W10" s="214"/>
    </row>
    <row r="11" spans="1:21" ht="15">
      <c r="A11" s="230"/>
      <c r="B11" s="230"/>
      <c r="C11" s="230"/>
      <c r="D11" s="230"/>
      <c r="E11" s="230"/>
      <c r="F11" s="230"/>
      <c r="G11" s="230"/>
      <c r="H11" s="230"/>
      <c r="I11" s="230"/>
      <c r="J11" s="230"/>
      <c r="K11" s="230"/>
      <c r="L11" s="230"/>
      <c r="M11" s="230"/>
      <c r="N11" s="230"/>
      <c r="O11" s="230"/>
      <c r="P11" s="230"/>
      <c r="Q11" s="230"/>
      <c r="R11" s="230"/>
      <c r="S11" s="230"/>
      <c r="T11" s="230"/>
      <c r="U11" s="230"/>
    </row>
    <row r="12" spans="1:21" ht="15.75">
      <c r="A12" s="530" t="s">
        <v>0</v>
      </c>
      <c r="B12" s="530" t="s">
        <v>456</v>
      </c>
      <c r="C12" s="216" t="s">
        <v>457</v>
      </c>
      <c r="D12" s="217" t="s">
        <v>458</v>
      </c>
      <c r="E12" s="530" t="s">
        <v>459</v>
      </c>
      <c r="F12" s="530"/>
      <c r="G12" s="530" t="s">
        <v>460</v>
      </c>
      <c r="H12" s="530"/>
      <c r="I12" s="530" t="s">
        <v>461</v>
      </c>
      <c r="J12" s="530"/>
      <c r="K12" s="530" t="s">
        <v>462</v>
      </c>
      <c r="L12" s="530"/>
      <c r="M12" s="530" t="s">
        <v>1104</v>
      </c>
      <c r="N12" s="530"/>
      <c r="O12" s="530" t="s">
        <v>1105</v>
      </c>
      <c r="P12" s="530"/>
      <c r="Q12" s="530" t="s">
        <v>1106</v>
      </c>
      <c r="R12" s="530"/>
      <c r="S12" s="530" t="s">
        <v>1107</v>
      </c>
      <c r="T12" s="530"/>
      <c r="U12" s="530" t="s">
        <v>62</v>
      </c>
    </row>
    <row r="13" spans="1:21" ht="15.75">
      <c r="A13" s="530"/>
      <c r="B13" s="530"/>
      <c r="C13" s="218" t="s">
        <v>463</v>
      </c>
      <c r="D13" s="217" t="s">
        <v>464</v>
      </c>
      <c r="E13" s="219" t="s">
        <v>465</v>
      </c>
      <c r="F13" s="219" t="s">
        <v>5</v>
      </c>
      <c r="G13" s="219" t="s">
        <v>465</v>
      </c>
      <c r="H13" s="219" t="s">
        <v>5</v>
      </c>
      <c r="I13" s="219" t="s">
        <v>465</v>
      </c>
      <c r="J13" s="219" t="s">
        <v>5</v>
      </c>
      <c r="K13" s="219" t="s">
        <v>465</v>
      </c>
      <c r="L13" s="219" t="s">
        <v>5</v>
      </c>
      <c r="M13" s="219" t="s">
        <v>465</v>
      </c>
      <c r="N13" s="219" t="s">
        <v>5</v>
      </c>
      <c r="O13" s="219" t="s">
        <v>465</v>
      </c>
      <c r="P13" s="219" t="s">
        <v>5</v>
      </c>
      <c r="Q13" s="219" t="s">
        <v>465</v>
      </c>
      <c r="R13" s="219" t="s">
        <v>5</v>
      </c>
      <c r="S13" s="219" t="s">
        <v>465</v>
      </c>
      <c r="T13" s="219" t="s">
        <v>5</v>
      </c>
      <c r="U13" s="530"/>
    </row>
    <row r="14" spans="1:21" ht="15">
      <c r="A14" s="547">
        <v>1</v>
      </c>
      <c r="B14" s="547" t="s">
        <v>15</v>
      </c>
      <c r="C14" s="549">
        <f>U15/$U$46</f>
        <v>0.014444855096234183</v>
      </c>
      <c r="D14" s="220" t="s">
        <v>458</v>
      </c>
      <c r="E14" s="221"/>
      <c r="F14" s="222">
        <v>1</v>
      </c>
      <c r="G14" s="221"/>
      <c r="H14" s="221"/>
      <c r="I14" s="221"/>
      <c r="J14" s="221"/>
      <c r="K14" s="221"/>
      <c r="L14" s="221"/>
      <c r="M14" s="221"/>
      <c r="N14" s="221"/>
      <c r="O14" s="221"/>
      <c r="P14" s="221"/>
      <c r="Q14" s="221"/>
      <c r="R14" s="221"/>
      <c r="S14" s="221"/>
      <c r="T14" s="221"/>
      <c r="U14" s="223"/>
    </row>
    <row r="15" spans="1:23" ht="15">
      <c r="A15" s="548"/>
      <c r="B15" s="548"/>
      <c r="C15" s="550"/>
      <c r="D15" s="220" t="s">
        <v>464</v>
      </c>
      <c r="E15" s="224">
        <f>F14*$U$15</f>
        <v>4588.44</v>
      </c>
      <c r="F15" s="225"/>
      <c r="G15" s="226"/>
      <c r="H15" s="225"/>
      <c r="I15" s="225"/>
      <c r="J15" s="225"/>
      <c r="K15" s="225"/>
      <c r="L15" s="225"/>
      <c r="M15" s="225"/>
      <c r="N15" s="225"/>
      <c r="O15" s="225"/>
      <c r="P15" s="225"/>
      <c r="Q15" s="226"/>
      <c r="R15" s="225"/>
      <c r="S15" s="226"/>
      <c r="T15" s="225"/>
      <c r="U15" s="224">
        <f>'Orçamento com Desoneração '!G14</f>
        <v>4588.44</v>
      </c>
      <c r="V15" s="36">
        <f>E15+G15+I15+K15+M15+O15+Q15+S15</f>
        <v>4588.44</v>
      </c>
      <c r="W15" s="215">
        <f>U15-V15</f>
        <v>0</v>
      </c>
    </row>
    <row r="16" spans="1:23" ht="15">
      <c r="A16" s="547">
        <v>2</v>
      </c>
      <c r="B16" s="547" t="s">
        <v>29</v>
      </c>
      <c r="C16" s="549">
        <f>U17/$U$46</f>
        <v>0.0024888226809069796</v>
      </c>
      <c r="D16" s="220" t="s">
        <v>458</v>
      </c>
      <c r="E16" s="221"/>
      <c r="F16" s="222">
        <v>1</v>
      </c>
      <c r="G16" s="221"/>
      <c r="H16" s="227"/>
      <c r="I16" s="227"/>
      <c r="J16" s="227"/>
      <c r="K16" s="227"/>
      <c r="L16" s="227"/>
      <c r="M16" s="227"/>
      <c r="N16" s="227"/>
      <c r="O16" s="227"/>
      <c r="P16" s="227"/>
      <c r="Q16" s="221"/>
      <c r="R16" s="227"/>
      <c r="S16" s="227"/>
      <c r="T16" s="227"/>
      <c r="U16" s="223"/>
      <c r="V16" s="36"/>
      <c r="W16" s="215">
        <f aca="true" t="shared" si="0" ref="W16:W45">U16-V16</f>
        <v>0</v>
      </c>
    </row>
    <row r="17" spans="1:23" ht="15">
      <c r="A17" s="548"/>
      <c r="B17" s="548"/>
      <c r="C17" s="550"/>
      <c r="D17" s="220" t="s">
        <v>464</v>
      </c>
      <c r="E17" s="224">
        <f>F16*$U$17</f>
        <v>790.5799999999999</v>
      </c>
      <c r="F17" s="225"/>
      <c r="G17" s="226"/>
      <c r="H17" s="225"/>
      <c r="I17" s="225"/>
      <c r="J17" s="225"/>
      <c r="K17" s="225"/>
      <c r="L17" s="225"/>
      <c r="M17" s="225"/>
      <c r="N17" s="225"/>
      <c r="O17" s="225"/>
      <c r="P17" s="225"/>
      <c r="Q17" s="226"/>
      <c r="R17" s="225"/>
      <c r="S17" s="226"/>
      <c r="T17" s="225"/>
      <c r="U17" s="224">
        <f>'Orçamento com Desoneração '!G22</f>
        <v>790.5799999999999</v>
      </c>
      <c r="V17" s="36">
        <f>E17+G17+I17+K17+M17+O17+Q17+S17</f>
        <v>790.5799999999999</v>
      </c>
      <c r="W17" s="215">
        <f t="shared" si="0"/>
        <v>0</v>
      </c>
    </row>
    <row r="18" spans="1:23" ht="15">
      <c r="A18" s="547">
        <v>3</v>
      </c>
      <c r="B18" s="547" t="s">
        <v>18</v>
      </c>
      <c r="C18" s="549">
        <f>U19/$U$46</f>
        <v>0.06909749090357317</v>
      </c>
      <c r="D18" s="220" t="s">
        <v>458</v>
      </c>
      <c r="E18" s="221"/>
      <c r="F18" s="222">
        <v>1</v>
      </c>
      <c r="G18" s="221"/>
      <c r="H18" s="227"/>
      <c r="I18" s="227"/>
      <c r="J18" s="227"/>
      <c r="K18" s="227"/>
      <c r="L18" s="227"/>
      <c r="M18" s="227"/>
      <c r="N18" s="227"/>
      <c r="O18" s="227"/>
      <c r="P18" s="227"/>
      <c r="Q18" s="221"/>
      <c r="R18" s="227"/>
      <c r="S18" s="227"/>
      <c r="T18" s="227"/>
      <c r="U18" s="223"/>
      <c r="V18" s="36"/>
      <c r="W18" s="215">
        <f t="shared" si="0"/>
        <v>0</v>
      </c>
    </row>
    <row r="19" spans="1:23" ht="15">
      <c r="A19" s="548"/>
      <c r="B19" s="548"/>
      <c r="C19" s="550"/>
      <c r="D19" s="220" t="s">
        <v>464</v>
      </c>
      <c r="E19" s="224">
        <f>F18*$U$19</f>
        <v>21948.97</v>
      </c>
      <c r="F19" s="225"/>
      <c r="G19" s="226"/>
      <c r="H19" s="225"/>
      <c r="I19" s="225"/>
      <c r="J19" s="225"/>
      <c r="K19" s="225"/>
      <c r="L19" s="225"/>
      <c r="M19" s="225"/>
      <c r="N19" s="225"/>
      <c r="O19" s="225"/>
      <c r="P19" s="225"/>
      <c r="Q19" s="226"/>
      <c r="R19" s="225"/>
      <c r="S19" s="226"/>
      <c r="T19" s="225"/>
      <c r="U19" s="224">
        <f>'Orçamento com Desoneração '!G36</f>
        <v>21948.97</v>
      </c>
      <c r="V19" s="36">
        <f>E19+G19+I19+K19+M19+O19+Q19+S19</f>
        <v>21948.97</v>
      </c>
      <c r="W19" s="215">
        <f t="shared" si="0"/>
        <v>0</v>
      </c>
    </row>
    <row r="20" spans="1:23" ht="15">
      <c r="A20" s="547">
        <v>4</v>
      </c>
      <c r="B20" s="547" t="s">
        <v>25</v>
      </c>
      <c r="C20" s="549">
        <f>U21/$U$46</f>
        <v>0.011623719275358395</v>
      </c>
      <c r="D20" s="220" t="s">
        <v>458</v>
      </c>
      <c r="E20" s="221"/>
      <c r="F20" s="222">
        <v>1</v>
      </c>
      <c r="G20" s="221"/>
      <c r="H20" s="227"/>
      <c r="I20" s="227"/>
      <c r="J20" s="227"/>
      <c r="K20" s="227"/>
      <c r="L20" s="227"/>
      <c r="M20" s="227"/>
      <c r="N20" s="227"/>
      <c r="O20" s="227"/>
      <c r="P20" s="227"/>
      <c r="Q20" s="221"/>
      <c r="R20" s="227"/>
      <c r="S20" s="227"/>
      <c r="T20" s="227"/>
      <c r="U20" s="223"/>
      <c r="V20" s="36"/>
      <c r="W20" s="215">
        <f t="shared" si="0"/>
        <v>0</v>
      </c>
    </row>
    <row r="21" spans="1:23" ht="15">
      <c r="A21" s="548"/>
      <c r="B21" s="548"/>
      <c r="C21" s="550"/>
      <c r="D21" s="220" t="s">
        <v>464</v>
      </c>
      <c r="E21" s="224">
        <f>F20*$U$21</f>
        <v>3692.2999999999997</v>
      </c>
      <c r="F21" s="225"/>
      <c r="G21" s="226"/>
      <c r="H21" s="225"/>
      <c r="I21" s="225"/>
      <c r="J21" s="225"/>
      <c r="K21" s="225"/>
      <c r="L21" s="225"/>
      <c r="M21" s="225"/>
      <c r="N21" s="225"/>
      <c r="O21" s="225"/>
      <c r="P21" s="225"/>
      <c r="Q21" s="226"/>
      <c r="R21" s="225"/>
      <c r="S21" s="226"/>
      <c r="T21" s="225"/>
      <c r="U21" s="224">
        <f>'Orçamento com Desoneração '!G47</f>
        <v>3692.2999999999997</v>
      </c>
      <c r="V21" s="36">
        <f>E21+G21+I21+K21+M21+O21+Q21+S21</f>
        <v>3692.2999999999997</v>
      </c>
      <c r="W21" s="215">
        <f t="shared" si="0"/>
        <v>0</v>
      </c>
    </row>
    <row r="22" spans="1:23" ht="15">
      <c r="A22" s="547">
        <v>5</v>
      </c>
      <c r="B22" s="547" t="s">
        <v>405</v>
      </c>
      <c r="C22" s="549">
        <f>U23/$U$46</f>
        <v>0.011506389692877936</v>
      </c>
      <c r="D22" s="220" t="s">
        <v>458</v>
      </c>
      <c r="E22" s="221"/>
      <c r="F22" s="222">
        <v>0.9</v>
      </c>
      <c r="G22" s="221"/>
      <c r="H22" s="227"/>
      <c r="I22" s="227"/>
      <c r="J22" s="227"/>
      <c r="K22" s="227"/>
      <c r="L22" s="227"/>
      <c r="M22" s="227"/>
      <c r="N22" s="227"/>
      <c r="O22" s="227"/>
      <c r="P22" s="227"/>
      <c r="Q22" s="221"/>
      <c r="R22" s="227"/>
      <c r="S22" s="227"/>
      <c r="T22" s="222">
        <v>0.1</v>
      </c>
      <c r="U22" s="223"/>
      <c r="V22" s="36"/>
      <c r="W22" s="215">
        <f t="shared" si="0"/>
        <v>0</v>
      </c>
    </row>
    <row r="23" spans="1:23" ht="15">
      <c r="A23" s="548"/>
      <c r="B23" s="548"/>
      <c r="C23" s="550"/>
      <c r="D23" s="220" t="s">
        <v>464</v>
      </c>
      <c r="E23" s="224">
        <f>F22*$U$23</f>
        <v>3289.527</v>
      </c>
      <c r="F23" s="225"/>
      <c r="G23" s="226"/>
      <c r="H23" s="225"/>
      <c r="I23" s="225"/>
      <c r="J23" s="225"/>
      <c r="K23" s="225"/>
      <c r="L23" s="225"/>
      <c r="M23" s="225"/>
      <c r="N23" s="225"/>
      <c r="O23" s="225"/>
      <c r="P23" s="225"/>
      <c r="Q23" s="226"/>
      <c r="R23" s="225"/>
      <c r="S23" s="224">
        <f>T22*$U$23</f>
        <v>365.50300000000004</v>
      </c>
      <c r="T23" s="225"/>
      <c r="U23" s="224">
        <f>'Orçamento com Desoneração '!G60</f>
        <v>3655.03</v>
      </c>
      <c r="V23" s="36">
        <f>E23+G23+I23+K23+M23+O23+Q23+S23</f>
        <v>3655.03</v>
      </c>
      <c r="W23" s="215">
        <f t="shared" si="0"/>
        <v>0</v>
      </c>
    </row>
    <row r="24" spans="1:24" ht="15">
      <c r="A24" s="547">
        <v>6</v>
      </c>
      <c r="B24" s="547" t="s">
        <v>31</v>
      </c>
      <c r="C24" s="549">
        <f>U25/$U$46</f>
        <v>0.009299258749034324</v>
      </c>
      <c r="D24" s="220" t="s">
        <v>458</v>
      </c>
      <c r="E24" s="221"/>
      <c r="F24" s="227"/>
      <c r="G24" s="221"/>
      <c r="H24" s="222">
        <v>0.1</v>
      </c>
      <c r="I24" s="227"/>
      <c r="J24" s="222">
        <v>0.2</v>
      </c>
      <c r="K24" s="227"/>
      <c r="L24" s="222">
        <v>0.2</v>
      </c>
      <c r="M24" s="227"/>
      <c r="N24" s="222">
        <v>0.2</v>
      </c>
      <c r="O24" s="227"/>
      <c r="P24" s="222">
        <v>0.1</v>
      </c>
      <c r="Q24" s="221"/>
      <c r="R24" s="222">
        <v>0.1</v>
      </c>
      <c r="S24" s="227"/>
      <c r="T24" s="222">
        <v>0.1</v>
      </c>
      <c r="U24" s="223"/>
      <c r="V24" s="36"/>
      <c r="W24" s="215">
        <f t="shared" si="0"/>
        <v>0</v>
      </c>
      <c r="X24" s="36"/>
    </row>
    <row r="25" spans="1:23" ht="15">
      <c r="A25" s="548"/>
      <c r="B25" s="548"/>
      <c r="C25" s="550"/>
      <c r="D25" s="220" t="s">
        <v>464</v>
      </c>
      <c r="E25" s="226"/>
      <c r="F25" s="225"/>
      <c r="G25" s="224">
        <f>H24*$U$25</f>
        <v>295.39300000000003</v>
      </c>
      <c r="H25" s="225"/>
      <c r="I25" s="224">
        <f>J24*$U$25</f>
        <v>590.7860000000001</v>
      </c>
      <c r="J25" s="225"/>
      <c r="K25" s="224">
        <f>L24*$U$25</f>
        <v>590.7860000000001</v>
      </c>
      <c r="L25" s="225"/>
      <c r="M25" s="224">
        <f>N24*$U$25</f>
        <v>590.7860000000001</v>
      </c>
      <c r="N25" s="225"/>
      <c r="O25" s="224">
        <f>P24*$U$25</f>
        <v>295.39300000000003</v>
      </c>
      <c r="P25" s="225"/>
      <c r="Q25" s="224">
        <f>R24*$U$25</f>
        <v>295.39300000000003</v>
      </c>
      <c r="R25" s="225"/>
      <c r="S25" s="224">
        <f>T24*$U$25</f>
        <v>295.39300000000003</v>
      </c>
      <c r="T25" s="225"/>
      <c r="U25" s="224">
        <f>'Orçamento com Desoneração '!G64</f>
        <v>2953.9300000000003</v>
      </c>
      <c r="V25" s="36">
        <f>E25+G25+I25+K25+M25+O25+Q25+S25</f>
        <v>2953.9300000000003</v>
      </c>
      <c r="W25" s="215">
        <f t="shared" si="0"/>
        <v>0</v>
      </c>
    </row>
    <row r="26" spans="1:23" ht="15">
      <c r="A26" s="547">
        <v>7</v>
      </c>
      <c r="B26" s="547" t="s">
        <v>79</v>
      </c>
      <c r="C26" s="549">
        <f>U27/$U$46</f>
        <v>0.09777139903328232</v>
      </c>
      <c r="D26" s="220" t="s">
        <v>458</v>
      </c>
      <c r="E26" s="221"/>
      <c r="F26" s="227"/>
      <c r="G26" s="221"/>
      <c r="H26" s="222">
        <v>0.1</v>
      </c>
      <c r="I26" s="227"/>
      <c r="J26" s="222">
        <v>0.1</v>
      </c>
      <c r="K26" s="227"/>
      <c r="L26" s="222">
        <v>0.3</v>
      </c>
      <c r="M26" s="227"/>
      <c r="N26" s="222">
        <v>0.2</v>
      </c>
      <c r="O26" s="227"/>
      <c r="P26" s="222">
        <v>0.1</v>
      </c>
      <c r="Q26" s="221"/>
      <c r="R26" s="222">
        <v>0.1</v>
      </c>
      <c r="S26" s="227"/>
      <c r="T26" s="222">
        <v>0.1</v>
      </c>
      <c r="U26" s="223"/>
      <c r="V26" s="36"/>
      <c r="W26" s="215">
        <f t="shared" si="0"/>
        <v>0</v>
      </c>
    </row>
    <row r="27" spans="1:23" ht="15">
      <c r="A27" s="548"/>
      <c r="B27" s="548"/>
      <c r="C27" s="550"/>
      <c r="D27" s="220" t="s">
        <v>464</v>
      </c>
      <c r="E27" s="226"/>
      <c r="F27" s="225"/>
      <c r="G27" s="224">
        <f>H26*$U$27</f>
        <v>3105.7299999999996</v>
      </c>
      <c r="H27" s="225"/>
      <c r="I27" s="224">
        <f>J26*$U$27</f>
        <v>3105.7299999999996</v>
      </c>
      <c r="J27" s="225"/>
      <c r="K27" s="224">
        <f>L26*$U$27</f>
        <v>9317.189999999999</v>
      </c>
      <c r="L27" s="225"/>
      <c r="M27" s="224">
        <f>N26*$U$27</f>
        <v>6211.459999999999</v>
      </c>
      <c r="N27" s="225"/>
      <c r="O27" s="224">
        <f>P26*$U$27</f>
        <v>3105.7299999999996</v>
      </c>
      <c r="P27" s="225"/>
      <c r="Q27" s="224">
        <f>R26*$U$27</f>
        <v>3105.7299999999996</v>
      </c>
      <c r="R27" s="225"/>
      <c r="S27" s="224">
        <f>T26*$U$27</f>
        <v>3105.7299999999996</v>
      </c>
      <c r="T27" s="225"/>
      <c r="U27" s="224">
        <f>'Orçamento com Desoneração '!G74</f>
        <v>31057.299999999996</v>
      </c>
      <c r="V27" s="36">
        <f>E27+G27+I27+K27+M27+O27+Q27+S27</f>
        <v>31057.299999999996</v>
      </c>
      <c r="W27" s="215">
        <f t="shared" si="0"/>
        <v>0</v>
      </c>
    </row>
    <row r="28" spans="1:23" ht="15">
      <c r="A28" s="547">
        <v>8</v>
      </c>
      <c r="B28" s="547" t="s">
        <v>299</v>
      </c>
      <c r="C28" s="549">
        <f>U29/$U$46</f>
        <v>0.03864320788585756</v>
      </c>
      <c r="D28" s="220" t="s">
        <v>458</v>
      </c>
      <c r="E28" s="221"/>
      <c r="F28" s="227"/>
      <c r="G28" s="221"/>
      <c r="H28" s="222">
        <v>0.1</v>
      </c>
      <c r="I28" s="227"/>
      <c r="J28" s="222">
        <v>0.1</v>
      </c>
      <c r="K28" s="227"/>
      <c r="L28" s="222">
        <v>0.3</v>
      </c>
      <c r="M28" s="227"/>
      <c r="N28" s="222">
        <v>0.2</v>
      </c>
      <c r="O28" s="227"/>
      <c r="P28" s="222">
        <v>0.1</v>
      </c>
      <c r="Q28" s="221"/>
      <c r="R28" s="222">
        <v>0.1</v>
      </c>
      <c r="S28" s="227"/>
      <c r="T28" s="222">
        <v>0.1</v>
      </c>
      <c r="U28" s="223"/>
      <c r="V28" s="36"/>
      <c r="W28" s="215">
        <f t="shared" si="0"/>
        <v>0</v>
      </c>
    </row>
    <row r="29" spans="1:23" ht="15">
      <c r="A29" s="548"/>
      <c r="B29" s="548"/>
      <c r="C29" s="550"/>
      <c r="D29" s="220" t="s">
        <v>464</v>
      </c>
      <c r="E29" s="226"/>
      <c r="F29" s="225"/>
      <c r="G29" s="224">
        <f>H28*$U$29</f>
        <v>1227.51</v>
      </c>
      <c r="H29" s="225"/>
      <c r="I29" s="224">
        <f>J28*$U$29</f>
        <v>1227.51</v>
      </c>
      <c r="J29" s="225"/>
      <c r="K29" s="224">
        <f>L28*$U$29</f>
        <v>3682.53</v>
      </c>
      <c r="L29" s="225"/>
      <c r="M29" s="224">
        <f>N28*$U$29</f>
        <v>2455.02</v>
      </c>
      <c r="N29" s="225"/>
      <c r="O29" s="224">
        <f>P28*$U$29</f>
        <v>1227.51</v>
      </c>
      <c r="P29" s="225"/>
      <c r="Q29" s="224">
        <f>R28*$U$29</f>
        <v>1227.51</v>
      </c>
      <c r="R29" s="225"/>
      <c r="S29" s="224">
        <f>T28*$U$29</f>
        <v>1227.51</v>
      </c>
      <c r="T29" s="225"/>
      <c r="U29" s="224">
        <f>'Orçamento com Desoneração '!G77</f>
        <v>12275.1</v>
      </c>
      <c r="V29" s="36">
        <f>E29+G29+I29+K29+M29+O29+Q29+S29</f>
        <v>12275.1</v>
      </c>
      <c r="W29" s="215">
        <f t="shared" si="0"/>
        <v>0</v>
      </c>
    </row>
    <row r="30" spans="1:23" ht="15">
      <c r="A30" s="547">
        <v>9</v>
      </c>
      <c r="B30" s="547" t="s">
        <v>600</v>
      </c>
      <c r="C30" s="549">
        <f>U31/$U$46</f>
        <v>0.005819194704144976</v>
      </c>
      <c r="D30" s="220" t="s">
        <v>458</v>
      </c>
      <c r="E30" s="221"/>
      <c r="F30" s="227"/>
      <c r="G30" s="221"/>
      <c r="H30" s="222">
        <v>0.1</v>
      </c>
      <c r="I30" s="227"/>
      <c r="J30" s="222">
        <v>0.2</v>
      </c>
      <c r="K30" s="227"/>
      <c r="L30" s="222">
        <v>0.3</v>
      </c>
      <c r="M30" s="227"/>
      <c r="N30" s="222">
        <v>0.1</v>
      </c>
      <c r="O30" s="227"/>
      <c r="P30" s="222">
        <v>0.1</v>
      </c>
      <c r="Q30" s="221"/>
      <c r="R30" s="222">
        <v>0.1</v>
      </c>
      <c r="S30" s="227"/>
      <c r="T30" s="222">
        <v>0.1</v>
      </c>
      <c r="U30" s="223"/>
      <c r="V30" s="36"/>
      <c r="W30" s="215">
        <f t="shared" si="0"/>
        <v>0</v>
      </c>
    </row>
    <row r="31" spans="1:23" ht="15">
      <c r="A31" s="548"/>
      <c r="B31" s="548"/>
      <c r="C31" s="550"/>
      <c r="D31" s="220" t="s">
        <v>464</v>
      </c>
      <c r="E31" s="226"/>
      <c r="F31" s="225"/>
      <c r="G31" s="224">
        <f>H30*$U$31</f>
        <v>184.84800000000004</v>
      </c>
      <c r="H31" s="225"/>
      <c r="I31" s="224">
        <f>J30*$U$31</f>
        <v>369.6960000000001</v>
      </c>
      <c r="J31" s="225"/>
      <c r="K31" s="224">
        <f>L30*$U$31</f>
        <v>554.5440000000001</v>
      </c>
      <c r="L31" s="225"/>
      <c r="M31" s="224">
        <f>N30*$U$31</f>
        <v>184.84800000000004</v>
      </c>
      <c r="N31" s="225"/>
      <c r="O31" s="224">
        <f>P30*$U$31</f>
        <v>184.84800000000004</v>
      </c>
      <c r="P31" s="225"/>
      <c r="Q31" s="224">
        <f>R30*$U$31</f>
        <v>184.84800000000004</v>
      </c>
      <c r="R31" s="225"/>
      <c r="S31" s="224">
        <f>T30*$U$31</f>
        <v>184.84800000000004</v>
      </c>
      <c r="T31" s="225"/>
      <c r="U31" s="224">
        <f>'Orçamento com Desoneração '!G105</f>
        <v>1848.4800000000002</v>
      </c>
      <c r="V31" s="36">
        <f>E31+G31+I31+K31+M31+O31+Q31+S31</f>
        <v>1848.48</v>
      </c>
      <c r="W31" s="215">
        <f t="shared" si="0"/>
        <v>0</v>
      </c>
    </row>
    <row r="32" spans="1:23" ht="15">
      <c r="A32" s="547">
        <v>10</v>
      </c>
      <c r="B32" s="547" t="s">
        <v>350</v>
      </c>
      <c r="C32" s="549">
        <f>U33/$U$46</f>
        <v>0.09812829881234887</v>
      </c>
      <c r="D32" s="220" t="s">
        <v>458</v>
      </c>
      <c r="E32" s="221"/>
      <c r="F32" s="227"/>
      <c r="G32" s="221"/>
      <c r="H32" s="222">
        <v>0.1</v>
      </c>
      <c r="I32" s="227"/>
      <c r="J32" s="222">
        <v>0.1</v>
      </c>
      <c r="K32" s="227"/>
      <c r="L32" s="222">
        <v>0.2</v>
      </c>
      <c r="M32" s="227"/>
      <c r="N32" s="222">
        <v>0.3</v>
      </c>
      <c r="O32" s="227"/>
      <c r="P32" s="222">
        <v>0.2</v>
      </c>
      <c r="Q32" s="221"/>
      <c r="R32" s="222">
        <v>0.1</v>
      </c>
      <c r="S32" s="227"/>
      <c r="T32" s="222"/>
      <c r="U32" s="223"/>
      <c r="V32" s="36"/>
      <c r="W32" s="215">
        <f t="shared" si="0"/>
        <v>0</v>
      </c>
    </row>
    <row r="33" spans="1:23" ht="15">
      <c r="A33" s="548"/>
      <c r="B33" s="548"/>
      <c r="C33" s="550"/>
      <c r="D33" s="220" t="s">
        <v>464</v>
      </c>
      <c r="E33" s="226"/>
      <c r="F33" s="225"/>
      <c r="G33" s="224">
        <f>H32*$U$33</f>
        <v>3117.0670000000005</v>
      </c>
      <c r="H33" s="225"/>
      <c r="I33" s="224">
        <f>J32*$U$33</f>
        <v>3117.0670000000005</v>
      </c>
      <c r="J33" s="225"/>
      <c r="K33" s="224">
        <f>L32*$U$33</f>
        <v>6234.134000000001</v>
      </c>
      <c r="L33" s="225"/>
      <c r="M33" s="224">
        <f>N32*$U$33</f>
        <v>9351.201000000001</v>
      </c>
      <c r="N33" s="225"/>
      <c r="O33" s="224">
        <f>P32*$U$33</f>
        <v>6234.134000000001</v>
      </c>
      <c r="P33" s="225"/>
      <c r="Q33" s="224">
        <f>R32*$U$33</f>
        <v>3117.0670000000005</v>
      </c>
      <c r="R33" s="225"/>
      <c r="S33" s="224"/>
      <c r="T33" s="225"/>
      <c r="U33" s="224">
        <f>'Orçamento com Desoneração '!G118</f>
        <v>31170.670000000002</v>
      </c>
      <c r="V33" s="36">
        <f>E33+G33+I33+K33+M33+O33+Q33+S33</f>
        <v>31170.670000000006</v>
      </c>
      <c r="W33" s="215">
        <f t="shared" si="0"/>
        <v>0</v>
      </c>
    </row>
    <row r="34" spans="1:23" ht="15">
      <c r="A34" s="547">
        <v>11</v>
      </c>
      <c r="B34" s="547" t="s">
        <v>38</v>
      </c>
      <c r="C34" s="549">
        <f>U35/$U$46</f>
        <v>0.13897224700474295</v>
      </c>
      <c r="D34" s="220" t="s">
        <v>458</v>
      </c>
      <c r="E34" s="221"/>
      <c r="F34" s="227"/>
      <c r="G34" s="221"/>
      <c r="H34" s="222">
        <v>0.05</v>
      </c>
      <c r="I34" s="227"/>
      <c r="J34" s="222">
        <v>0.1</v>
      </c>
      <c r="K34" s="227"/>
      <c r="L34" s="222">
        <v>0.1</v>
      </c>
      <c r="M34" s="227"/>
      <c r="N34" s="222">
        <v>0.15</v>
      </c>
      <c r="O34" s="227"/>
      <c r="P34" s="222">
        <v>0.2</v>
      </c>
      <c r="Q34" s="221"/>
      <c r="R34" s="222">
        <v>0.2</v>
      </c>
      <c r="S34" s="227"/>
      <c r="T34" s="222">
        <v>0.2</v>
      </c>
      <c r="U34" s="223"/>
      <c r="V34" s="36"/>
      <c r="W34" s="215">
        <f t="shared" si="0"/>
        <v>0</v>
      </c>
    </row>
    <row r="35" spans="1:23" ht="15">
      <c r="A35" s="548"/>
      <c r="B35" s="548"/>
      <c r="C35" s="550"/>
      <c r="D35" s="220" t="s">
        <v>464</v>
      </c>
      <c r="E35" s="226"/>
      <c r="F35" s="225"/>
      <c r="G35" s="224">
        <f>H34*$U$35</f>
        <v>2207.242</v>
      </c>
      <c r="H35" s="225"/>
      <c r="I35" s="224">
        <f>J34*$U$35</f>
        <v>4414.484</v>
      </c>
      <c r="J35" s="225"/>
      <c r="K35" s="224">
        <f>L34*$U$35</f>
        <v>4414.484</v>
      </c>
      <c r="L35" s="225"/>
      <c r="M35" s="224">
        <f>N34*$U$35</f>
        <v>6621.726000000001</v>
      </c>
      <c r="N35" s="225"/>
      <c r="O35" s="224">
        <f>P34*$U$35</f>
        <v>8828.968</v>
      </c>
      <c r="P35" s="225"/>
      <c r="Q35" s="224">
        <f>R34*$U$35</f>
        <v>8828.968</v>
      </c>
      <c r="R35" s="225"/>
      <c r="S35" s="224">
        <f>T34*$U$35</f>
        <v>8828.968</v>
      </c>
      <c r="T35" s="225"/>
      <c r="U35" s="224">
        <f>'Orçamento com Desoneração '!G126</f>
        <v>44144.840000000004</v>
      </c>
      <c r="V35" s="36">
        <f>E35+G35+I35+K35+M35+O35+Q35+S35</f>
        <v>44144.840000000004</v>
      </c>
      <c r="W35" s="215">
        <f t="shared" si="0"/>
        <v>0</v>
      </c>
    </row>
    <row r="36" spans="1:24" ht="15">
      <c r="A36" s="547">
        <v>12</v>
      </c>
      <c r="B36" s="547" t="s">
        <v>39</v>
      </c>
      <c r="C36" s="549">
        <f>U37/$U$46</f>
        <v>0.00014755131555833708</v>
      </c>
      <c r="D36" s="220" t="s">
        <v>458</v>
      </c>
      <c r="E36" s="221"/>
      <c r="F36" s="227"/>
      <c r="G36" s="221"/>
      <c r="H36" s="227"/>
      <c r="I36" s="227"/>
      <c r="J36" s="227"/>
      <c r="K36" s="227"/>
      <c r="L36" s="227"/>
      <c r="M36" s="227"/>
      <c r="N36" s="227"/>
      <c r="O36" s="227"/>
      <c r="P36" s="227"/>
      <c r="Q36" s="227"/>
      <c r="R36" s="222">
        <v>1</v>
      </c>
      <c r="S36" s="227"/>
      <c r="T36" s="227"/>
      <c r="U36" s="223"/>
      <c r="V36" s="36"/>
      <c r="W36" s="215">
        <f t="shared" si="0"/>
        <v>0</v>
      </c>
      <c r="X36" s="36"/>
    </row>
    <row r="37" spans="1:23" ht="15">
      <c r="A37" s="548"/>
      <c r="B37" s="548"/>
      <c r="C37" s="550"/>
      <c r="D37" s="220" t="s">
        <v>464</v>
      </c>
      <c r="E37" s="226"/>
      <c r="F37" s="225"/>
      <c r="G37" s="226"/>
      <c r="H37" s="225"/>
      <c r="I37" s="225"/>
      <c r="J37" s="225"/>
      <c r="K37" s="225"/>
      <c r="L37" s="225"/>
      <c r="M37" s="225"/>
      <c r="N37" s="225"/>
      <c r="O37" s="225"/>
      <c r="P37" s="225"/>
      <c r="Q37" s="224">
        <f>R36*$U$37</f>
        <v>46.87</v>
      </c>
      <c r="R37" s="225"/>
      <c r="S37" s="226"/>
      <c r="T37" s="225"/>
      <c r="U37" s="224">
        <f>'Orçamento com Desoneração '!G129</f>
        <v>46.87</v>
      </c>
      <c r="V37" s="36">
        <f>E37+G37+I37+K37+M37+O37+Q37+S37</f>
        <v>46.87</v>
      </c>
      <c r="W37" s="215">
        <f t="shared" si="0"/>
        <v>0</v>
      </c>
    </row>
    <row r="38" spans="1:23" ht="15">
      <c r="A38" s="547">
        <v>13</v>
      </c>
      <c r="B38" s="547" t="s">
        <v>41</v>
      </c>
      <c r="C38" s="549">
        <f>U39/$U$46</f>
        <v>0.15963679773034786</v>
      </c>
      <c r="D38" s="220" t="s">
        <v>458</v>
      </c>
      <c r="E38" s="221"/>
      <c r="F38" s="227"/>
      <c r="G38" s="221"/>
      <c r="H38" s="222">
        <v>0.2</v>
      </c>
      <c r="I38" s="227"/>
      <c r="J38" s="222">
        <v>0.2</v>
      </c>
      <c r="K38" s="227"/>
      <c r="L38" s="222">
        <v>0.2</v>
      </c>
      <c r="M38" s="227"/>
      <c r="N38" s="222">
        <v>0.2</v>
      </c>
      <c r="O38" s="227"/>
      <c r="P38" s="222">
        <v>0.1</v>
      </c>
      <c r="Q38" s="221"/>
      <c r="R38" s="222">
        <v>0.1</v>
      </c>
      <c r="S38" s="227"/>
      <c r="T38" s="227"/>
      <c r="U38" s="223"/>
      <c r="V38" s="36"/>
      <c r="W38" s="215">
        <f t="shared" si="0"/>
        <v>0</v>
      </c>
    </row>
    <row r="39" spans="1:23" ht="15">
      <c r="A39" s="548"/>
      <c r="B39" s="548"/>
      <c r="C39" s="550"/>
      <c r="D39" s="220" t="s">
        <v>464</v>
      </c>
      <c r="E39" s="226"/>
      <c r="F39" s="225"/>
      <c r="G39" s="224">
        <f>H38*$U$39</f>
        <v>10141.796</v>
      </c>
      <c r="H39" s="225"/>
      <c r="I39" s="224">
        <f>J38*$U$39</f>
        <v>10141.796</v>
      </c>
      <c r="J39" s="225"/>
      <c r="K39" s="224">
        <f>L38*$U$39</f>
        <v>10141.796</v>
      </c>
      <c r="L39" s="225"/>
      <c r="M39" s="224">
        <f>N38*$U$39</f>
        <v>10141.796</v>
      </c>
      <c r="N39" s="225"/>
      <c r="O39" s="224">
        <f>P38*$U$39</f>
        <v>5070.898</v>
      </c>
      <c r="P39" s="225"/>
      <c r="Q39" s="224">
        <f>R38*$U$39</f>
        <v>5070.898</v>
      </c>
      <c r="R39" s="225"/>
      <c r="S39" s="226"/>
      <c r="T39" s="225"/>
      <c r="U39" s="224">
        <f>'Orçamento com Desoneração '!G140</f>
        <v>50708.979999999996</v>
      </c>
      <c r="V39" s="36">
        <f>E39+G39+I39+K39+M39+O39+Q39+S39</f>
        <v>50708.98</v>
      </c>
      <c r="W39" s="215">
        <f t="shared" si="0"/>
        <v>0</v>
      </c>
    </row>
    <row r="40" spans="1:23" ht="15">
      <c r="A40" s="547">
        <v>14</v>
      </c>
      <c r="B40" s="547" t="s">
        <v>43</v>
      </c>
      <c r="C40" s="549">
        <f>U41/$U$46</f>
        <v>0.11699424716718475</v>
      </c>
      <c r="D40" s="220" t="s">
        <v>458</v>
      </c>
      <c r="E40" s="221"/>
      <c r="F40" s="227"/>
      <c r="G40" s="221"/>
      <c r="H40" s="222">
        <v>0.1</v>
      </c>
      <c r="I40" s="227"/>
      <c r="J40" s="222">
        <v>0.2</v>
      </c>
      <c r="K40" s="227"/>
      <c r="L40" s="222">
        <v>0.2</v>
      </c>
      <c r="M40" s="227"/>
      <c r="N40" s="222">
        <v>0.2</v>
      </c>
      <c r="O40" s="227"/>
      <c r="P40" s="222">
        <v>0.1</v>
      </c>
      <c r="Q40" s="221"/>
      <c r="R40" s="222">
        <v>0.1</v>
      </c>
      <c r="S40" s="227"/>
      <c r="T40" s="222">
        <v>0.1</v>
      </c>
      <c r="U40" s="223"/>
      <c r="V40" s="36"/>
      <c r="W40" s="215">
        <f t="shared" si="0"/>
        <v>0</v>
      </c>
    </row>
    <row r="41" spans="1:23" ht="15">
      <c r="A41" s="548"/>
      <c r="B41" s="548"/>
      <c r="C41" s="550"/>
      <c r="D41" s="220" t="s">
        <v>464</v>
      </c>
      <c r="E41" s="226"/>
      <c r="F41" s="225"/>
      <c r="G41" s="224">
        <f>H40*$U$41</f>
        <v>3716.348</v>
      </c>
      <c r="H41" s="225"/>
      <c r="I41" s="224">
        <f>J40*$U$41</f>
        <v>7432.696</v>
      </c>
      <c r="J41" s="225"/>
      <c r="K41" s="224">
        <f>L40*$U$41</f>
        <v>7432.696</v>
      </c>
      <c r="L41" s="225"/>
      <c r="M41" s="224">
        <f>N40*$U$41</f>
        <v>7432.696</v>
      </c>
      <c r="N41" s="225"/>
      <c r="O41" s="224">
        <f>P40*$U$41</f>
        <v>3716.348</v>
      </c>
      <c r="P41" s="225"/>
      <c r="Q41" s="224">
        <f>R40*$U$41</f>
        <v>3716.348</v>
      </c>
      <c r="R41" s="225"/>
      <c r="S41" s="224">
        <f>T40*$U$41</f>
        <v>3716.348</v>
      </c>
      <c r="T41" s="225"/>
      <c r="U41" s="224">
        <f>'Orçamento com Desoneração '!G156</f>
        <v>37163.479999999996</v>
      </c>
      <c r="V41" s="36">
        <f>E41+G41+I41+K41+M41+O41+Q41+S41</f>
        <v>37163.479999999996</v>
      </c>
      <c r="W41" s="215">
        <f t="shared" si="0"/>
        <v>0</v>
      </c>
    </row>
    <row r="42" spans="1:23" ht="15">
      <c r="A42" s="547">
        <v>15</v>
      </c>
      <c r="B42" s="547" t="s">
        <v>339</v>
      </c>
      <c r="C42" s="549">
        <f>U43/$U$46</f>
        <v>0.033753898131352475</v>
      </c>
      <c r="D42" s="220" t="s">
        <v>458</v>
      </c>
      <c r="E42" s="221"/>
      <c r="F42" s="227"/>
      <c r="G42" s="221"/>
      <c r="H42" s="222">
        <v>0.1</v>
      </c>
      <c r="I42" s="227"/>
      <c r="J42" s="222">
        <v>0.2</v>
      </c>
      <c r="K42" s="227"/>
      <c r="L42" s="222">
        <v>0.2</v>
      </c>
      <c r="M42" s="227"/>
      <c r="N42" s="222">
        <v>0.2</v>
      </c>
      <c r="O42" s="227"/>
      <c r="P42" s="222">
        <v>0.1</v>
      </c>
      <c r="Q42" s="221"/>
      <c r="R42" s="222">
        <v>0.1</v>
      </c>
      <c r="S42" s="227"/>
      <c r="T42" s="222">
        <v>0.1</v>
      </c>
      <c r="U42" s="223"/>
      <c r="V42" s="36"/>
      <c r="W42" s="215">
        <f t="shared" si="0"/>
        <v>0</v>
      </c>
    </row>
    <row r="43" spans="1:23" ht="15">
      <c r="A43" s="548"/>
      <c r="B43" s="548"/>
      <c r="C43" s="550"/>
      <c r="D43" s="220" t="s">
        <v>464</v>
      </c>
      <c r="E43" s="226"/>
      <c r="F43" s="225"/>
      <c r="G43" s="224">
        <f>H42*$U$43</f>
        <v>1072.2</v>
      </c>
      <c r="H43" s="225"/>
      <c r="I43" s="224">
        <f>J42*$U$43</f>
        <v>2144.4</v>
      </c>
      <c r="J43" s="225"/>
      <c r="K43" s="224">
        <f>L42*$U$43</f>
        <v>2144.4</v>
      </c>
      <c r="L43" s="225"/>
      <c r="M43" s="224">
        <f>N42*$U$43</f>
        <v>2144.4</v>
      </c>
      <c r="N43" s="225"/>
      <c r="O43" s="224">
        <f>P42*$U$43</f>
        <v>1072.2</v>
      </c>
      <c r="P43" s="225"/>
      <c r="Q43" s="224">
        <f>R42*$U$43</f>
        <v>1072.2</v>
      </c>
      <c r="R43" s="225"/>
      <c r="S43" s="224">
        <f>T42*$U$43</f>
        <v>1072.2</v>
      </c>
      <c r="T43" s="225"/>
      <c r="U43" s="224">
        <f>'Orçamento com Desoneração '!G164</f>
        <v>10722</v>
      </c>
      <c r="V43" s="36">
        <f>E43+G43+I43+K43+M43+O43+Q43+S43</f>
        <v>10722.000000000002</v>
      </c>
      <c r="W43" s="215">
        <f t="shared" si="0"/>
        <v>0</v>
      </c>
    </row>
    <row r="44" spans="1:23" ht="15">
      <c r="A44" s="547">
        <v>16</v>
      </c>
      <c r="B44" s="547" t="s">
        <v>46</v>
      </c>
      <c r="C44" s="549">
        <f>U45/$U$46</f>
        <v>0.19167262181719505</v>
      </c>
      <c r="D44" s="220" t="s">
        <v>458</v>
      </c>
      <c r="E44" s="221"/>
      <c r="F44" s="227"/>
      <c r="G44" s="221"/>
      <c r="H44" s="222">
        <v>0.1</v>
      </c>
      <c r="I44" s="227"/>
      <c r="J44" s="222">
        <v>0.1</v>
      </c>
      <c r="K44" s="227"/>
      <c r="L44" s="222">
        <v>0.2</v>
      </c>
      <c r="M44" s="227"/>
      <c r="N44" s="222">
        <v>0.2</v>
      </c>
      <c r="O44" s="227"/>
      <c r="P44" s="222">
        <v>0.2</v>
      </c>
      <c r="Q44" s="221"/>
      <c r="R44" s="222">
        <v>0.1</v>
      </c>
      <c r="S44" s="227"/>
      <c r="T44" s="222">
        <v>0.1</v>
      </c>
      <c r="U44" s="223"/>
      <c r="V44" s="36"/>
      <c r="W44" s="215">
        <f t="shared" si="0"/>
        <v>0</v>
      </c>
    </row>
    <row r="45" spans="1:23" ht="15">
      <c r="A45" s="548"/>
      <c r="B45" s="548"/>
      <c r="C45" s="550"/>
      <c r="D45" s="220" t="s">
        <v>464</v>
      </c>
      <c r="E45" s="226"/>
      <c r="F45" s="225"/>
      <c r="G45" s="224">
        <f>H44*$U$45</f>
        <v>6088.523</v>
      </c>
      <c r="H45" s="225"/>
      <c r="I45" s="224">
        <f>J44*$U$45</f>
        <v>6088.523</v>
      </c>
      <c r="J45" s="225"/>
      <c r="K45" s="224">
        <f>L44*$U$45</f>
        <v>12177.046</v>
      </c>
      <c r="L45" s="225"/>
      <c r="M45" s="224">
        <f>N44*$U$45</f>
        <v>12177.046</v>
      </c>
      <c r="N45" s="225"/>
      <c r="O45" s="224">
        <f>P44*$U$45</f>
        <v>12177.046</v>
      </c>
      <c r="P45" s="225"/>
      <c r="Q45" s="224">
        <f>R44*$U$45</f>
        <v>6088.523</v>
      </c>
      <c r="R45" s="225"/>
      <c r="S45" s="224">
        <f>T44*$U$45</f>
        <v>6088.523</v>
      </c>
      <c r="T45" s="225" t="s">
        <v>1119</v>
      </c>
      <c r="U45" s="224">
        <f>'Orçamento com Desoneração '!G183</f>
        <v>60885.229999999996</v>
      </c>
      <c r="V45" s="36">
        <f>E45+G45+I45+K45+M45+O45+Q45+S45</f>
        <v>60885.23</v>
      </c>
      <c r="W45" s="215">
        <f t="shared" si="0"/>
        <v>0</v>
      </c>
    </row>
    <row r="46" spans="1:23" ht="15.75">
      <c r="A46" s="217"/>
      <c r="B46" s="217" t="s">
        <v>62</v>
      </c>
      <c r="C46" s="228">
        <f>SUM(C14:C45)</f>
        <v>1.0000000000000002</v>
      </c>
      <c r="D46" s="217" t="s">
        <v>464</v>
      </c>
      <c r="E46" s="217"/>
      <c r="F46" s="217"/>
      <c r="G46" s="217"/>
      <c r="H46" s="217"/>
      <c r="I46" s="217"/>
      <c r="J46" s="217"/>
      <c r="K46" s="217"/>
      <c r="L46" s="217"/>
      <c r="M46" s="217"/>
      <c r="N46" s="217"/>
      <c r="O46" s="217"/>
      <c r="P46" s="217"/>
      <c r="Q46" s="217"/>
      <c r="R46" s="217"/>
      <c r="S46" s="218"/>
      <c r="T46" s="218"/>
      <c r="U46" s="229">
        <f>SUM(U14:U45)</f>
        <v>317652.19999999995</v>
      </c>
      <c r="W46" s="215">
        <f>SUM(W15:W45)</f>
        <v>0</v>
      </c>
    </row>
    <row r="47" spans="1:21" ht="15">
      <c r="A47" s="230"/>
      <c r="B47" s="230"/>
      <c r="C47" s="230"/>
      <c r="D47" s="230"/>
      <c r="E47" s="230"/>
      <c r="F47" s="230"/>
      <c r="G47" s="230"/>
      <c r="H47" s="230"/>
      <c r="I47" s="230"/>
      <c r="J47" s="230"/>
      <c r="K47" s="230"/>
      <c r="L47" s="230"/>
      <c r="M47" s="230"/>
      <c r="N47" s="230"/>
      <c r="O47" s="230"/>
      <c r="P47" s="230"/>
      <c r="Q47" s="230"/>
      <c r="R47" s="230"/>
      <c r="S47" s="230"/>
      <c r="T47" s="230"/>
      <c r="U47" s="230"/>
    </row>
    <row r="48" spans="1:21" ht="15">
      <c r="A48" s="553" t="s">
        <v>466</v>
      </c>
      <c r="B48" s="554"/>
      <c r="C48" s="555"/>
      <c r="D48" s="220" t="s">
        <v>465</v>
      </c>
      <c r="E48" s="551">
        <f>SUM(E14:E45)</f>
        <v>34309.817</v>
      </c>
      <c r="F48" s="552"/>
      <c r="G48" s="551">
        <f aca="true" t="shared" si="1" ref="G48:O48">SUM(G14:G45)</f>
        <v>31156.657000000003</v>
      </c>
      <c r="H48" s="552"/>
      <c r="I48" s="551">
        <f t="shared" si="1"/>
        <v>38632.688</v>
      </c>
      <c r="J48" s="552"/>
      <c r="K48" s="551">
        <f t="shared" si="1"/>
        <v>56689.60600000001</v>
      </c>
      <c r="L48" s="552"/>
      <c r="M48" s="551">
        <f t="shared" si="1"/>
        <v>57310.979000000014</v>
      </c>
      <c r="N48" s="552"/>
      <c r="O48" s="551">
        <f t="shared" si="1"/>
        <v>41913.075000000004</v>
      </c>
      <c r="P48" s="552"/>
      <c r="Q48" s="551">
        <f>SUM(Q14:Q45)</f>
        <v>32754.355000000007</v>
      </c>
      <c r="R48" s="552"/>
      <c r="S48" s="551">
        <f>SUM(S14:S45)</f>
        <v>24885.023000000005</v>
      </c>
      <c r="T48" s="552"/>
      <c r="U48" s="231">
        <f>U46</f>
        <v>317652.19999999995</v>
      </c>
    </row>
    <row r="49" spans="1:21" ht="15">
      <c r="A49" s="556"/>
      <c r="B49" s="557"/>
      <c r="C49" s="558"/>
      <c r="D49" s="220" t="s">
        <v>5</v>
      </c>
      <c r="E49" s="550">
        <f>E48/$U$48</f>
        <v>0.10801063867966287</v>
      </c>
      <c r="F49" s="550"/>
      <c r="G49" s="550">
        <f>G48/$U$48</f>
        <v>0.09808418452634676</v>
      </c>
      <c r="H49" s="550"/>
      <c r="I49" s="550">
        <f>I48/$U$48</f>
        <v>0.12161945675175556</v>
      </c>
      <c r="J49" s="550"/>
      <c r="K49" s="550">
        <f>K48/$U$48</f>
        <v>0.17846438966895245</v>
      </c>
      <c r="L49" s="550"/>
      <c r="M49" s="550">
        <f>M48/$U$48</f>
        <v>0.1804205322676815</v>
      </c>
      <c r="N49" s="550"/>
      <c r="O49" s="550">
        <f>O48/$U$48</f>
        <v>0.13194643386697782</v>
      </c>
      <c r="P49" s="550"/>
      <c r="Q49" s="550">
        <f>Q48/$U$48</f>
        <v>0.10311389311958177</v>
      </c>
      <c r="R49" s="550"/>
      <c r="S49" s="550">
        <f>S48/$U$48</f>
        <v>0.07834047111904155</v>
      </c>
      <c r="T49" s="550"/>
      <c r="U49" s="232"/>
    </row>
    <row r="50" spans="1:21" ht="15">
      <c r="A50" s="553" t="s">
        <v>467</v>
      </c>
      <c r="B50" s="554"/>
      <c r="C50" s="555"/>
      <c r="D50" s="220" t="s">
        <v>465</v>
      </c>
      <c r="E50" s="559">
        <f>E48</f>
        <v>34309.817</v>
      </c>
      <c r="F50" s="559"/>
      <c r="G50" s="559">
        <f>E50+G48</f>
        <v>65466.474</v>
      </c>
      <c r="H50" s="559"/>
      <c r="I50" s="559">
        <f>G50+I48</f>
        <v>104099.16200000001</v>
      </c>
      <c r="J50" s="559"/>
      <c r="K50" s="559">
        <f>I50+K48</f>
        <v>160788.768</v>
      </c>
      <c r="L50" s="559"/>
      <c r="M50" s="559">
        <f>K50+M48</f>
        <v>218099.74700000003</v>
      </c>
      <c r="N50" s="559"/>
      <c r="O50" s="559">
        <f>M50+O48</f>
        <v>260012.82200000004</v>
      </c>
      <c r="P50" s="559"/>
      <c r="Q50" s="559">
        <f>O50+Q48</f>
        <v>292767.177</v>
      </c>
      <c r="R50" s="559"/>
      <c r="S50" s="559">
        <f>Q50+S48</f>
        <v>317652.2</v>
      </c>
      <c r="T50" s="559"/>
      <c r="U50" s="223"/>
    </row>
    <row r="51" spans="1:21" ht="15">
      <c r="A51" s="556"/>
      <c r="B51" s="557"/>
      <c r="C51" s="558"/>
      <c r="D51" s="220" t="s">
        <v>5</v>
      </c>
      <c r="E51" s="560">
        <f>E49</f>
        <v>0.10801063867966287</v>
      </c>
      <c r="F51" s="561"/>
      <c r="G51" s="560">
        <f>E51+G49</f>
        <v>0.20609482320600964</v>
      </c>
      <c r="H51" s="561"/>
      <c r="I51" s="560">
        <f>G51+I49</f>
        <v>0.3277142799577652</v>
      </c>
      <c r="J51" s="561"/>
      <c r="K51" s="560">
        <f>I51+K49</f>
        <v>0.5061786696267176</v>
      </c>
      <c r="L51" s="561"/>
      <c r="M51" s="560">
        <f>K51+M49</f>
        <v>0.6865992018943992</v>
      </c>
      <c r="N51" s="561"/>
      <c r="O51" s="560">
        <f>M51+O49</f>
        <v>0.818545635761377</v>
      </c>
      <c r="P51" s="561"/>
      <c r="Q51" s="560">
        <f>O51+Q49</f>
        <v>0.9216595288809587</v>
      </c>
      <c r="R51" s="561"/>
      <c r="S51" s="560">
        <f>Q51+S49</f>
        <v>1.0000000000000002</v>
      </c>
      <c r="T51" s="561"/>
      <c r="U51" s="232"/>
    </row>
    <row r="53" ht="12.75">
      <c r="U53">
        <v>299396</v>
      </c>
    </row>
    <row r="54" ht="12.75">
      <c r="U54" s="36">
        <f>U48-U53</f>
        <v>18256.199999999953</v>
      </c>
    </row>
  </sheetData>
  <sheetProtection/>
  <mergeCells count="106">
    <mergeCell ref="A32:A33"/>
    <mergeCell ref="B32:B33"/>
    <mergeCell ref="C32:C33"/>
    <mergeCell ref="A26:A27"/>
    <mergeCell ref="B26:B27"/>
    <mergeCell ref="C26:C27"/>
    <mergeCell ref="A28:A29"/>
    <mergeCell ref="B28:B29"/>
    <mergeCell ref="C28:C29"/>
    <mergeCell ref="A30:A31"/>
    <mergeCell ref="B30:B31"/>
    <mergeCell ref="C30:C31"/>
    <mergeCell ref="A22:A23"/>
    <mergeCell ref="B22:B23"/>
    <mergeCell ref="C22:C23"/>
    <mergeCell ref="A24:A25"/>
    <mergeCell ref="B24:B25"/>
    <mergeCell ref="C24:C25"/>
    <mergeCell ref="S5:U5"/>
    <mergeCell ref="C4:Q4"/>
    <mergeCell ref="C5:Q5"/>
    <mergeCell ref="C1:H1"/>
    <mergeCell ref="C2:H2"/>
    <mergeCell ref="C3:H3"/>
    <mergeCell ref="S50:T50"/>
    <mergeCell ref="E51:F51"/>
    <mergeCell ref="G51:H51"/>
    <mergeCell ref="Q51:R51"/>
    <mergeCell ref="S51:T51"/>
    <mergeCell ref="I51:J51"/>
    <mergeCell ref="K51:L51"/>
    <mergeCell ref="M51:N51"/>
    <mergeCell ref="O51:P51"/>
    <mergeCell ref="I50:J50"/>
    <mergeCell ref="I49:J49"/>
    <mergeCell ref="K49:L49"/>
    <mergeCell ref="M49:N49"/>
    <mergeCell ref="K48:L48"/>
    <mergeCell ref="M48:N48"/>
    <mergeCell ref="Q50:R50"/>
    <mergeCell ref="O49:P49"/>
    <mergeCell ref="K50:L50"/>
    <mergeCell ref="M50:N50"/>
    <mergeCell ref="O50:P50"/>
    <mergeCell ref="A50:C51"/>
    <mergeCell ref="E50:F50"/>
    <mergeCell ref="G50:H50"/>
    <mergeCell ref="Q48:R48"/>
    <mergeCell ref="S48:T48"/>
    <mergeCell ref="E49:F49"/>
    <mergeCell ref="G49:H49"/>
    <mergeCell ref="Q49:R49"/>
    <mergeCell ref="S49:T49"/>
    <mergeCell ref="I48:J48"/>
    <mergeCell ref="O48:P48"/>
    <mergeCell ref="A42:A43"/>
    <mergeCell ref="B42:B43"/>
    <mergeCell ref="C42:C43"/>
    <mergeCell ref="A44:A45"/>
    <mergeCell ref="B44:B45"/>
    <mergeCell ref="C44:C45"/>
    <mergeCell ref="A48:C49"/>
    <mergeCell ref="E48:F48"/>
    <mergeCell ref="G48:H48"/>
    <mergeCell ref="A38:A39"/>
    <mergeCell ref="B38:B39"/>
    <mergeCell ref="C38:C39"/>
    <mergeCell ref="A40:A41"/>
    <mergeCell ref="B40:B41"/>
    <mergeCell ref="C40:C41"/>
    <mergeCell ref="A34:A35"/>
    <mergeCell ref="B34:B35"/>
    <mergeCell ref="C34:C35"/>
    <mergeCell ref="A36:A37"/>
    <mergeCell ref="B36:B37"/>
    <mergeCell ref="C36:C37"/>
    <mergeCell ref="A18:A19"/>
    <mergeCell ref="B18:B19"/>
    <mergeCell ref="C18:C19"/>
    <mergeCell ref="A20:A21"/>
    <mergeCell ref="B20:B21"/>
    <mergeCell ref="C20:C21"/>
    <mergeCell ref="A14:A15"/>
    <mergeCell ref="B14:B15"/>
    <mergeCell ref="C14:C15"/>
    <mergeCell ref="A16:A17"/>
    <mergeCell ref="B16:B17"/>
    <mergeCell ref="C16:C17"/>
    <mergeCell ref="G12:H12"/>
    <mergeCell ref="Q12:R12"/>
    <mergeCell ref="S12:T12"/>
    <mergeCell ref="U12:U13"/>
    <mergeCell ref="I12:J12"/>
    <mergeCell ref="K12:L12"/>
    <mergeCell ref="M12:N12"/>
    <mergeCell ref="O12:P12"/>
    <mergeCell ref="A10:U10"/>
    <mergeCell ref="A12:A13"/>
    <mergeCell ref="S6:U6"/>
    <mergeCell ref="S7:U7"/>
    <mergeCell ref="S8:U8"/>
    <mergeCell ref="C6:Q6"/>
    <mergeCell ref="C7:Q7"/>
    <mergeCell ref="C8:Q8"/>
    <mergeCell ref="B12:B13"/>
    <mergeCell ref="E12:F12"/>
  </mergeCells>
  <printOptions/>
  <pageMargins left="0.5118110236220472" right="0.5118110236220472" top="0.7874015748031497" bottom="0.7874015748031497" header="0.31496062992125984" footer="0.31496062992125984"/>
  <pageSetup horizontalDpi="600" verticalDpi="600" orientation="landscape" paperSize="9" scale="46" r:id="rId2"/>
  <headerFooter>
    <oddFooter>&amp;C&amp;22&amp;A&amp;R&amp;22Página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PMVR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ippu</dc:creator>
  <cp:keywords/>
  <dc:description/>
  <cp:lastModifiedBy>Alfredo Antonio Nicolau Macedo Cunha</cp:lastModifiedBy>
  <cp:lastPrinted>2018-12-18T12:33:13Z</cp:lastPrinted>
  <dcterms:created xsi:type="dcterms:W3CDTF">2007-05-03T19:44:03Z</dcterms:created>
  <dcterms:modified xsi:type="dcterms:W3CDTF">2018-12-18T12:37:57Z</dcterms:modified>
  <cp:category/>
  <cp:version/>
  <cp:contentType/>
  <cp:contentStatus/>
</cp:coreProperties>
</file>