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7" yWindow="32767" windowWidth="23040" windowHeight="9036" tabRatio="832" activeTab="0"/>
  </bookViews>
  <sheets>
    <sheet name="MEMÓRIA DESO " sheetId="1" r:id="rId1"/>
    <sheet name="resumida DESO  " sheetId="2" r:id="rId2"/>
    <sheet name="cronograma" sheetId="3" r:id="rId3"/>
    <sheet name="MEMÓRIA onerada" sheetId="4" r:id="rId4"/>
  </sheets>
  <definedNames>
    <definedName name="_xlnm.Print_Area" localSheetId="0">'MEMÓRIA DESO '!$A$1:$I$242</definedName>
    <definedName name="_xlnm.Print_Area" localSheetId="3">'MEMÓRIA onerada'!$A$1:$I$242</definedName>
    <definedName name="_xlnm.Print_Area" localSheetId="1">'resumida DESO  '!$A$1:$I$60</definedName>
    <definedName name="_xlnm.Print_Titles" localSheetId="0">'MEMÓRIA DESO '!$12:$13</definedName>
    <definedName name="_xlnm.Print_Titles" localSheetId="3">'MEMÓRIA onerada'!$12:$13</definedName>
    <definedName name="_xlnm.Print_Titles" localSheetId="1">'resumida DESO  '!$12:$13</definedName>
  </definedNames>
  <calcPr fullCalcOnLoad="1"/>
</workbook>
</file>

<file path=xl/sharedStrings.xml><?xml version="1.0" encoding="utf-8"?>
<sst xmlns="http://schemas.openxmlformats.org/spreadsheetml/2006/main" count="1639" uniqueCount="556">
  <si>
    <t>ORÇAMENTO:</t>
  </si>
  <si>
    <t>1.5</t>
  </si>
  <si>
    <t>1.4</t>
  </si>
  <si>
    <t>1.1</t>
  </si>
  <si>
    <t>H</t>
  </si>
  <si>
    <t>1.3</t>
  </si>
  <si>
    <t>PREÇOS (R$)</t>
  </si>
  <si>
    <t>ITEM</t>
  </si>
  <si>
    <t>CÓDIGO</t>
  </si>
  <si>
    <t>M</t>
  </si>
  <si>
    <t>M2</t>
  </si>
  <si>
    <t>00453</t>
  </si>
  <si>
    <t>TOTAL GERAL</t>
  </si>
  <si>
    <t>DISCRIMINAÇÃO</t>
  </si>
  <si>
    <t>UN</t>
  </si>
  <si>
    <t>QUANT.</t>
  </si>
  <si>
    <t>TOTAL</t>
  </si>
  <si>
    <t>SERVIÇOS PRELIMINARES</t>
  </si>
  <si>
    <t>SUBTOTAL 1.0</t>
  </si>
  <si>
    <t>KG</t>
  </si>
  <si>
    <t xml:space="preserve"> </t>
  </si>
  <si>
    <t>20132</t>
  </si>
  <si>
    <t>MAO-DE-OBRA DE SERVENTE DA CONSTRUCAO CIVIL, INCLUSIVE ENCARGOS SOCIAIS DESONERADOS</t>
  </si>
  <si>
    <t>20115</t>
  </si>
  <si>
    <t>MAO-DE-OBRA DE PEDREIRO, INCLUSIVE ENCARGOS SOCIAIS DESONERADOS</t>
  </si>
  <si>
    <t>20046</t>
  </si>
  <si>
    <t>MAO-DE-OBRA DE CARPINTEIRO DE FORMA DE CONCRETO, INCLUSIVE ENCARGOS SOCIAIS DESONERADOS</t>
  </si>
  <si>
    <t>X</t>
  </si>
  <si>
    <t>UNIT s/ BDI</t>
  </si>
  <si>
    <t>UNITc/ BDI</t>
  </si>
  <si>
    <t>TOTAL s/ BDI</t>
  </si>
  <si>
    <t>TOTAL c/ BDI</t>
  </si>
  <si>
    <t>Eng. Patrick Suckow</t>
  </si>
  <si>
    <t>ORÇAMENTO DESONERADO</t>
  </si>
  <si>
    <t>SI00000088316</t>
  </si>
  <si>
    <t>SERVENTE COM ENCARGOS COMPLEMENTARES</t>
  </si>
  <si>
    <t>1.6</t>
  </si>
  <si>
    <t>1.7</t>
  </si>
  <si>
    <t>1.8</t>
  </si>
  <si>
    <t xml:space="preserve">DATA: </t>
  </si>
  <si>
    <t>PLANILHA DE ORÇAMENTO</t>
  </si>
  <si>
    <t>PREGO COM OU SEM CABECA, EM CAIXAS DE 50KG, OU QUANTIDADES EQUIVALENTES, Nº12X12A 18X30</t>
  </si>
  <si>
    <t>16.007.0021-A</t>
  </si>
  <si>
    <t>COBERTURA COM TELHAS TRAPEZOIDAIS EM ACO GALVANIZADO,ESPESSURA DE 0,5MM,INCLUSIVE FIXACOES E MEDIDA PELA AREA REAL DA CO BERTURA (OBS.:3%-DESGASTE DE FERRAMENTAS E EPI 2%-FIXACAO).</t>
  </si>
  <si>
    <t>13732</t>
  </si>
  <si>
    <t>TELHA TRAPEZOIDAL EM ACO GALVANIZADO, ESPESSURA DE 0,5MM</t>
  </si>
  <si>
    <t>02.020.0001-A</t>
  </si>
  <si>
    <t>PLACA DE IDENTIFICACAO DE OBRA PUBLICA,INCLUSIVE PINTURA E SUPORTES DE MADEIRA.FORNECIMENTO E COLOCACAO</t>
  </si>
  <si>
    <t>00368</t>
  </si>
  <si>
    <t>PINUS, EM PECAS DE 7,50X7,50CM (3"X3")</t>
  </si>
  <si>
    <t>00294</t>
  </si>
  <si>
    <t>TINTA A OLEO BRILHANTE, P/USO GERAL, EMINTERIORES E EXTERIORES</t>
  </si>
  <si>
    <t>GL</t>
  </si>
  <si>
    <t>00160</t>
  </si>
  <si>
    <t>CHAPA DE ACO CARBONO, GALVANIZADA, PARAUSOS GERAIS, TAMANHO PADRAO, PRECO DE REVENDEDOR, COM ESPESSURA DE 0,5MM</t>
  </si>
  <si>
    <t>20118</t>
  </si>
  <si>
    <t>MAO-DE-OBRA DE PINTOR, INCLUSIVE ENCARGOS SOCIAIS DESONERADOS</t>
  </si>
  <si>
    <t>20045</t>
  </si>
  <si>
    <t>MAO-DE-OBRA DE CARPINTEIRO DE ESQUADRIASDE MADEIRA, INCLUSIVE ENCARGOS SOCIAISDESONERADOS</t>
  </si>
  <si>
    <t>30411</t>
  </si>
  <si>
    <t>19.004.0001-C CAMINHAO CARROC. FIXA, 3,5T (CP)</t>
  </si>
  <si>
    <t>02.015.0001-A</t>
  </si>
  <si>
    <t>INSTALACAO E LIGACAO PROVISORIA PARA ABASTECIMENTO DE AGUA EESGOTAMENTO SANITARIO EM CANTEIRO DE OBRAS,INCLUSIVE ESCAVACAO,EXCLUSIVE REPOSICAO DA PAVIMENTACAO DO LOGRADOURO PUBLICO</t>
  </si>
  <si>
    <t>00872</t>
  </si>
  <si>
    <t>CURVA 45º OU 90º DE CERAMICA PARA ESGOTOCOM JUNTA ARGAMASSA, DE 0100MM</t>
  </si>
  <si>
    <t>00559</t>
  </si>
  <si>
    <t>TIJOLO CERAMICO, FURADO, DE (10X20X20)CM</t>
  </si>
  <si>
    <t>00702</t>
  </si>
  <si>
    <t>REGISTRO DE GAVETA DE BRONZE, DE 1ª QUALIDADE COM ROSCA DE AMBOS OS LADOS, DE 3/4"</t>
  </si>
  <si>
    <t>00148</t>
  </si>
  <si>
    <t>TUBO DE ACO GALVANIZADO, COM COSTURA, PESADO, NBR 5580, DN=3/4"</t>
  </si>
  <si>
    <t>00843</t>
  </si>
  <si>
    <t>TUBO CERAMICO, ESGOTO SANITARIO, DE 100MM E COM COMPRIMENTO DE 1,00M</t>
  </si>
  <si>
    <t>00788</t>
  </si>
  <si>
    <t>CAIXA D'AGUA DE FIBRA DE VIDRO OU POLIETILENO, COM CAPACIDADE DE 1000 LITROS</t>
  </si>
  <si>
    <t>20039</t>
  </si>
  <si>
    <t>MAO-DE-OBRA DE BOMBEIRO HIDRAULICO DA CONSTRUCAO CIVIL, INCLUSIVE ENCARGOS SOCIAIS DESONERADOS</t>
  </si>
  <si>
    <t>00688</t>
  </si>
  <si>
    <t>LIGACAO DE AGUA CEDAE, PARA INSTALACAO NO PASSEIO, DE 3/4", VAZAO DE 3,0M3/H (VALOR TOTAL)</t>
  </si>
  <si>
    <t>31011</t>
  </si>
  <si>
    <t>59.003.0010-B PINUS,PECA 1" X 12" E 1" X 9"</t>
  </si>
  <si>
    <t>30163</t>
  </si>
  <si>
    <t>07.002.0025-B ARGAMASSA CIM.,AREIA TRACO 1:3,PREPAROMECANICO</t>
  </si>
  <si>
    <t>M3</t>
  </si>
  <si>
    <t>30403</t>
  </si>
  <si>
    <t>15.071.0012-B LIGACAO AGUAS PLUVIAIS OU DOMICILIARES</t>
  </si>
  <si>
    <t>02.016.0001-A</t>
  </si>
  <si>
    <t>INSTALACAO E LIGACAO PROVISORIA DE ALIMENTACAO DE ENERGIA ELETRICA,EM BAIXA TENSAO,PARA CANTEIRO DE OBRAS,M3-CHAVE 100A,CARGA 3KW,20CV,EXCLUSIVE O FORNECIMENTO DO MEDIDOR</t>
  </si>
  <si>
    <t>05268</t>
  </si>
  <si>
    <t>ABRACADEIRA TIPO COPO, DE 1/2"</t>
  </si>
  <si>
    <t>04406</t>
  </si>
  <si>
    <t>ISOLADOR DE PINO "HI-TOP", CLASSE 15KV</t>
  </si>
  <si>
    <t>04210</t>
  </si>
  <si>
    <t>ISOLADOR TIPO CARRETILHA, MARROM, DE (72X72)MM</t>
  </si>
  <si>
    <t>02602</t>
  </si>
  <si>
    <t>MACARANDUBA EM PECAS, DE 7,50X15,00CM (3"X6")</t>
  </si>
  <si>
    <t>02501</t>
  </si>
  <si>
    <t>CONDUITE FLEXIVEL, GALVANIZADO DE 1.1/2"</t>
  </si>
  <si>
    <t>02441</t>
  </si>
  <si>
    <t>DISJUNTOR, TRIPOLAR, DE 80 A 100A, 3KA,MODELO DIN, TIPO C</t>
  </si>
  <si>
    <t>02379</t>
  </si>
  <si>
    <t>CURVA 90º DE PVC RIGIDO, ROSQUEAVEL, PARA ELETRODUTO, DE 1.1/2"</t>
  </si>
  <si>
    <t>02376</t>
  </si>
  <si>
    <t>FUSIVEL FACA, DE 250V, DE 100A</t>
  </si>
  <si>
    <t>02338</t>
  </si>
  <si>
    <t>ELETRODUTO DE PVC PRETO,RIGIDO ROSQUEAVEL,COM ROSCA EM AMBAS EXTREMIDADES,EM BARRAS DE 3 METROS,DE 1/2"</t>
  </si>
  <si>
    <t>00282</t>
  </si>
  <si>
    <t>CABO DE COBRE FLEXIVEL COM ISOLAMENTO TERMOPLASTICO, DE 450/750V, DE 16MM2</t>
  </si>
  <si>
    <t>00196</t>
  </si>
  <si>
    <t>TUBO DE ACO GALVANIZADO, COM COSTURA, PESADO, NBR 5580, DN=2.1/2"</t>
  </si>
  <si>
    <t>20060</t>
  </si>
  <si>
    <t>MAO-DE-OBRA DE ELETRICISTA DA CONSTRUCAOCIVIL, INCLUSIVE ENCARGOS SOCIAIS DESONERADOS</t>
  </si>
  <si>
    <t>09.005.0029-A</t>
  </si>
  <si>
    <t>CAPINA DE CONSERVACAO(1 VEZ POR ANO),EM TERRENO DE VEGETACAOPOUCO DENSA,COM RETIRADA OU QUEIMA DE RESIDUOS</t>
  </si>
  <si>
    <t>20133</t>
  </si>
  <si>
    <t>MAO-DE-OBRA DE SERVENTE PARA SERVICOS DECONSERVACAO, INCLUSIVE ENCARGOS SOCIAISDESONERADOS</t>
  </si>
  <si>
    <t>01.016.0203-A</t>
  </si>
  <si>
    <t>LEVANTAMENTO TOPOGRAFICO PLANIALTIMETRICO E CADASTRAL,COM CURVAS DE NIVEL A CADA 1,00M,CONSIDERANDO TERRENO DE OROGRAFIAACIDENTADA,VEGETACAO RALA E EDIFICACAO LEVE.CUSTO PARA AREAATE 5000M2 (ESCALA 1:250/500)</t>
  </si>
  <si>
    <t>20149</t>
  </si>
  <si>
    <t>MAO-DE-OBRA DE TOPOGRAFO A (SERVICO DE CAMPO E ESCRIT.COM RESPONSAB. DIRIGI-LOS), INCLUSIVE ENCARGOS SOCIAIS DESONERADOS</t>
  </si>
  <si>
    <t>20071</t>
  </si>
  <si>
    <t>MAO-DE-OBRA DE ENGENHEIRO OU ARQUITETO SENIOR, INCLUSIVE ENCARGOS SOCIAIS DESONERADOS</t>
  </si>
  <si>
    <t>20054</t>
  </si>
  <si>
    <t>MAO-DE-OBRA DE DESENHISTA A (DESENHO TOPOGRAFICO A PARTIR DE CADERNETAS), INCLUSIVE E ENCARGOS SOCIAIS DESONERADOS</t>
  </si>
  <si>
    <t>20032</t>
  </si>
  <si>
    <t>MAO-DE-OBRA DE AUXILIAR DE TOPOGRAFIA, INCLUSIVE ENCARGOS SOCIAIS DESONERADOS</t>
  </si>
  <si>
    <t>20026</t>
  </si>
  <si>
    <t>MAO-DE-OBRA DE AUXILIAR DE CALCULO TOPOGRAFICO, INCLUSIVE ENCARGOS SOCIAIS DESONERADOS</t>
  </si>
  <si>
    <t>30848</t>
  </si>
  <si>
    <t>19.011.0019-C ESTACAO TOTAL,COM PRECISAO ANGULAR DE 1"A 2",ALCANCE MINIMO DE 500M SEM PRISMA,EA 2",ALCANCE MINIMO DE 500M SEM PRISMA,E</t>
  </si>
  <si>
    <t>30465</t>
  </si>
  <si>
    <t>19.004.0035-C MICRO-ONIBUS,CAPACIDADE MINIMA 15 LUGARES,MOTOR DIESEL,INCLUSIVE MOTORISTA (CP)</t>
  </si>
  <si>
    <t>01.018.0001-A</t>
  </si>
  <si>
    <t>MARCACAO DE OBRA SEM INSTRUMENTO TOPOGRAFICO,CONSIDERADA A PROJECAO HORIZONTAL DA AREA ENVOLVENTE</t>
  </si>
  <si>
    <t>00349</t>
  </si>
  <si>
    <t>PINUS, EM PECAS DE 2,50X30,00CM (1"X12")</t>
  </si>
  <si>
    <t>00004</t>
  </si>
  <si>
    <t>ARAME RECOZIDO Nº 18</t>
  </si>
  <si>
    <t>03.001.0001-B</t>
  </si>
  <si>
    <t>ESCAVACAO MANUAL DE VALA/CAVA EM MATERIAL DE 1ª CATEGORIA (A(AREIA,ARGILA OU PICARRA),ATE 1,50M DE PROFUNDIDADE,EXCLUSIVE ESCORAMENTO E ESGOTAMENTO</t>
  </si>
  <si>
    <t>03.011.0015-B</t>
  </si>
  <si>
    <t>REATERRO DE VALA/CAVA COM MATERIAL DE BOA QUALIDADE,UTILIZANDO VIBRO COMPACTADOR PORTATIL,EXCLUSIVE MATERIAL</t>
  </si>
  <si>
    <t>20111</t>
  </si>
  <si>
    <t>MAO-DE-OBRA DE OPERADOR DE MAQUINA (TRATOR, ETC.), INCLUSIVE ENCARGOS SOCIAIS DESONERADOS</t>
  </si>
  <si>
    <t>30694</t>
  </si>
  <si>
    <t>19.006.0030-E SOQUETE VIBRATORIO 78KG; 2,5CV (CI)</t>
  </si>
  <si>
    <t>30693</t>
  </si>
  <si>
    <t>19.006.0030-C SOQUETE VIBRATORIO 78KG; 2,5CV (CP)</t>
  </si>
  <si>
    <t>ESTRUTURA</t>
  </si>
  <si>
    <t>11.003.0006-A</t>
  </si>
  <si>
    <t>CONCRETO DOSADO RACIONALMENTE PARA UMA RESISTENCIA CARACTERISTICA A COMPRESSAO DE 30MPA,INCLUSIVE MATERIAIS,TRANSPORTE,PREPARO COM BETONEIRA,LANCAMENTO E ADENSAMENTO</t>
  </si>
  <si>
    <t>30260</t>
  </si>
  <si>
    <t>11.002.0023-B LANCAMENTO CONC.C/ARM.2,0M3/H,HORIZ/VERT</t>
  </si>
  <si>
    <t>30254</t>
  </si>
  <si>
    <t>11.002.0013-B PREPARO CONCR. BETON. 320L; 2,0M3/H</t>
  </si>
  <si>
    <t>30249</t>
  </si>
  <si>
    <t>11.001.0008-B CONCRETO FCK 30MPA</t>
  </si>
  <si>
    <t>SI00000095241</t>
  </si>
  <si>
    <t>LASTRO DE CONCRETO MAGRO, APLICADO EM PISOS, LAJES SOBRE SOLO OU RADIERS, ESPESSURA DE 5 CM. AF_07/2016</t>
  </si>
  <si>
    <t>SI00000088309</t>
  </si>
  <si>
    <t>PEDREIRO COM ENCARGOS COMPLEMENTARES</t>
  </si>
  <si>
    <t>SI00000094968</t>
  </si>
  <si>
    <t>SI00000094968 CONCRETO MAGRO PARA LASTRO, TRAÇO 1:4,5:4,5 (EM MASSA SECA DE CIMENTO/ AREIA MÉDIA/ BRITA 1) - PREPARO MECÂNICO COM BETONEIRA 600 L. AF_05/2021</t>
  </si>
  <si>
    <t>11.009.0072-1</t>
  </si>
  <si>
    <t>BARRA DE ACO CA-50,COM SALIENCIA OU MOSSA,COEFICIENTE DE CONFORMACAO SUPERFICIAL MINIMO (ADERENCIA) IGUAL A 1,5,DIAMETRODE 8 A 12,5MM,DESTINADA A ARMADURA DE CONCRETO ARMADO,COMPREENDENDO 10% DE PERDAS DE PONTAS E ARAME 18.FORNECIMENTO,CORTE,DOBRAGEM,MONTAGEM E COLOCACAO DO ACO NAS FORMAS</t>
  </si>
  <si>
    <t>03053</t>
  </si>
  <si>
    <t>11.011.0030-1 CORTE ACO CA-50B DIAM.ENTRE 8MM A 12,5MM</t>
  </si>
  <si>
    <t>03050</t>
  </si>
  <si>
    <t>11.009.0014-1 BARRA ACO CA-50,DIAM.DE 8 A 12,5MM</t>
  </si>
  <si>
    <t>11.009.0070-1</t>
  </si>
  <si>
    <t>BARRA DE ACO CA-50,COM SALIENCIA OU MOSSA,COEFICIENTE DE CONFORMACAO SUPERFICIAL MINIMO (ADERENCIA) IGUAL A 1,5,DIAMETRODE 6,3MM,DESTINADA A ARMADURA DE CONCRETO ARMADO,COMPREENDENDO 10% DE PERDAS DE PONTAS E ARAME 18.FORNECIMENTO,CORTE,DOBRAGEM,MONTAGEM E COLOCACAO DO ACO NAS FORMAS</t>
  </si>
  <si>
    <t>01999</t>
  </si>
  <si>
    <t>MAO-DE-OBRA DE SERVENTE DA CONSTRUCAO CIVIL, INCLUSIVE ENCARGOS SOCIAIS</t>
  </si>
  <si>
    <t>01998</t>
  </si>
  <si>
    <t>MAO-DE-OBRA DE ARMADOR DE CONCRETO ARMADO, INCLUSIVE ENCARGOS SOCIAIS</t>
  </si>
  <si>
    <t>11.004.0020-1</t>
  </si>
  <si>
    <t>FORMAS DE MADEIRA DE 3ª PARA MOLDAGEM DE PECAS DE CONCRETO ARMADO COM PARAMENTOS PLANOS,EM LAJES,VIGAS,PAREDES,ETC,SERVINDO A MADEIRA 3 VEZES,INCLUSIVE DESMOLDAGEM,EXCLUSIVE ESCORAMENTO.</t>
  </si>
  <si>
    <t>00350</t>
  </si>
  <si>
    <t>54.001.0178-1 PINUS EM PECAS DE 2,50X22,50CM, (1"X9")</t>
  </si>
  <si>
    <t>01990</t>
  </si>
  <si>
    <t>MAO-DE-OBRA DE CARPINTEIRO DE FORMA DE CONCRETO, INCLUSIVE ENCARGOS SOCIAIS</t>
  </si>
  <si>
    <t>01787</t>
  </si>
  <si>
    <t>17.025.0040-1 PINTURA C/EMULSAO OLEOSA</t>
  </si>
  <si>
    <t>12.005.0030-A</t>
  </si>
  <si>
    <t>ALVENARIA DE BLOCOS DE CONCRETO 15X20X40CM,ASSENTES COM ARGAMASSA DE CIMENTO E AREIA,NO TRACO 1:8,EM PAREDES DE 0,15M DEESPESSURA,DE SUPERFICIE CORRIDA,ATE 3,00M DE ALTURA E MEDIDA PELA AREA REAL</t>
  </si>
  <si>
    <t>10768</t>
  </si>
  <si>
    <t>BLOCO CONCRETO PRENSADO, DE (15X20X40)CM</t>
  </si>
  <si>
    <t>30167</t>
  </si>
  <si>
    <t>07.002.0045-B ARGAMASSA CIM.,AREIA TRACO 1:8,PREPAROMECANICO</t>
  </si>
  <si>
    <t>REVESTIMENTO</t>
  </si>
  <si>
    <t>13.001.0065-B</t>
  </si>
  <si>
    <t>REVESTIMENTO EXTERNO,EMBOCO,DE UMA VEZ,COM ARGAMASSA DE CIMENTO,CAL HIDRATADA ADITIVADA E AREIA,NO TRACO 1:1:12,COM ESPESSURA DE 2,5CM,INCLUSIVE CHAPISCO DE CIMENTO E AREIA,NO TRACO 1:3</t>
  </si>
  <si>
    <t>30350</t>
  </si>
  <si>
    <t>13.001.0010-B CHAPISCO SUPERF. CONCR./ALVEN.,COM ARGAMASSA DE CIMENTO E AREIA NO TRACO 1:3</t>
  </si>
  <si>
    <t>30175</t>
  </si>
  <si>
    <t>07.005.0035-B ARGAMASSA CIM.,CAL HIDR.AREIA-EMBOC.EXT.PREPARO MECANICO</t>
  </si>
  <si>
    <t>17.017.0320-A</t>
  </si>
  <si>
    <t>PINTURA INTERNA OU EXTERNA SOBRE FERRO,COM ESMALTE SINTETICOBRILHANTE OU ACETINADO APOS LIXAMENTO,LIMPEZA,DESENGORDURAMENTO,UMA DEMAO DE FUNDO ANTICORROSIVO NA COR LARANJA DE SECAGEM RAPIDA E DUAS DEMAOS DE ACABAMENTO</t>
  </si>
  <si>
    <t>06021</t>
  </si>
  <si>
    <t>FUNDO ANTICORROSIVO DE SECAGEM RAPIDA LARANJA</t>
  </si>
  <si>
    <t>02385</t>
  </si>
  <si>
    <t>LIXA D'AGUA Nº 100</t>
  </si>
  <si>
    <t>00124</t>
  </si>
  <si>
    <t>ESMALTE SINTETICO ALQUIDICO ALTO BRILHO,BRILHANTE, ACETINADO OU FOSCO</t>
  </si>
  <si>
    <t>SI00000088489</t>
  </si>
  <si>
    <t>APLICAÇÃO MANUAL DE PINTURA COM TINTA LÁTEX ACRÍLICA EM PAREDES, DUAS DEMÃOS. AF_06/2014</t>
  </si>
  <si>
    <t>0007356</t>
  </si>
  <si>
    <t>TINTA LATEX ACRILICA PREMIUM, COR BRANCO FOSCO</t>
  </si>
  <si>
    <t>L</t>
  </si>
  <si>
    <t>SI00000088310</t>
  </si>
  <si>
    <t>PINTOR COM ENCARGOS COMPLEMENTARES</t>
  </si>
  <si>
    <t>03868</t>
  </si>
  <si>
    <t>MASSA CORRIDA A BASE DE PVA, EM LATAS DE18 LITROS</t>
  </si>
  <si>
    <t>01966</t>
  </si>
  <si>
    <t>MAO-DE-OBRA DE PINTOR, INCLUSIVE ENCARGOS SOCIAIS</t>
  </si>
  <si>
    <t>17.017.0010-0</t>
  </si>
  <si>
    <t>PREPARO DE SUPERFICIES NOVAS,COM REVESTIMENTO LISO,INCLUSIVELIXAMENTO,LIMPEZA,UMA DEMAO DE SELADOR ACRILICO,UMA DEMAO DE MASSA CORRIDA OU ACRILICA E NOVO LIXAMENTO COM REMOCAO DOPO RESIDUAL</t>
  </si>
  <si>
    <t>07182</t>
  </si>
  <si>
    <t>FUNDO PREPARADOR DE PAREDES ACRILICO, BASE D`AGUA, INCOLOR</t>
  </si>
  <si>
    <t>00324</t>
  </si>
  <si>
    <t>LIXA P/MADEIRA Nº100</t>
  </si>
  <si>
    <t>DRENAGEM</t>
  </si>
  <si>
    <t>06.100.0010-A</t>
  </si>
  <si>
    <t>MANTA GEOTEXTIL, EM DRENOS SUBTERRANEOS.FORNECIMENTO E COLOCACAO</t>
  </si>
  <si>
    <t>13663</t>
  </si>
  <si>
    <t>MANTA GEOTEXTIL NAO TECIDO POLIESTER LARG.2,30M, RESIST.TRACAO FAIXA LARGA RUPTURA DE 21KN/M E AO PUNCION. 700N</t>
  </si>
  <si>
    <t>06.082.0050-A</t>
  </si>
  <si>
    <t>DRENO OU BARBACA EM TUBO DE PVC,DIAMETRO DE 2",INCLUSIVE FORNECIMENTO DO TUBO E MATERIAL DRENANTE</t>
  </si>
  <si>
    <t>14559</t>
  </si>
  <si>
    <t>BRITA 3, PARA REGIAO METROPOLITANA DO RIO DE JANEIRO</t>
  </si>
  <si>
    <t>T</t>
  </si>
  <si>
    <t>02615</t>
  </si>
  <si>
    <t>TUBO DE PVC RIGIDO, PONTA/BOLSA COM VIROLA, EM BARRAS DE 6,00M, DE 050MM</t>
  </si>
  <si>
    <t>13.302.0010-A</t>
  </si>
  <si>
    <t>14551</t>
  </si>
  <si>
    <t>BRITA 2, PARA REGIAO DE BARRA MANSA, EXCLUSIVE TRANSPORTE</t>
  </si>
  <si>
    <t>CAMADA DE BRITA 2,COM ESPESSURA ESTIMADA DE 3CM,ESPALHAMENTOMANUAL</t>
  </si>
  <si>
    <t>06.100.0150-A</t>
  </si>
  <si>
    <t>GEOCOMPOSTO PARA DRENAGEM,FORMADO POR GEOMANTA TRIDIMENSIONAL COM 20MM DE ESPESSURA,FABRICADO COM FILAMENTOS DE POLIPROPILENO TERMOSOLDADA A UM GEOTEXTIL NAO TECIDO DE POLIESTER.FORNECIMENTO E COLOCACAO</t>
  </si>
  <si>
    <t>07936</t>
  </si>
  <si>
    <t>GEOCOMPOSTO P/DREN.C/NUCLEO DRENANTE, C/FILAM.GROS.DE POLIPROP., C/ESPES.20MM EC/UM GEOT.NAO TEC.POLIESTER PONT.CONTATO</t>
  </si>
  <si>
    <t>SI00000098554</t>
  </si>
  <si>
    <t>IMPERMEABILIZAÇÃO DE SUPERFÍCIE COM MEMBRANA À BASE DE RESINA ACRÍLICA, 3 DEMÃOS. AF_06/2018</t>
  </si>
  <si>
    <t>0043147</t>
  </si>
  <si>
    <t>MEMBRANA IMPERMEABILIZANTE ACRILICA MONOCOMPONENTE</t>
  </si>
  <si>
    <t>SI00000088270</t>
  </si>
  <si>
    <t>IMPERMEABILIZADOR COM ENCARGOS COMPLEMENTARES</t>
  </si>
  <si>
    <t>SI00000088243</t>
  </si>
  <si>
    <t>AJUDANTE ESPECIALIZADO COM ENCARGOS COMPLEMENTARES</t>
  </si>
  <si>
    <t>ESQUADRIA</t>
  </si>
  <si>
    <t>TRANSPORTE BOTA-FORA</t>
  </si>
  <si>
    <t>05.006.0001-1</t>
  </si>
  <si>
    <t>LOCACAO DE ANDAIME COM ELEMENTOS TUBULARES SOBRE SAPATAS FIXAS,CONSIDERANDO-SE A AREA DA PROJECAO VERTICAL DO ANDAIME EPAGO PELO TEMPO NECESSARIO A SUA UTILIZACAO,EXCLUSIVE TRANSPORTE DOS ELEMENTOS DO ANDAIME ATE A OBRA,PLATAFORMA OU PASSARELA DE PINHO,MONTAGEM E DESMONTAGEM DOS ANDAIMES</t>
  </si>
  <si>
    <t>M2XMES</t>
  </si>
  <si>
    <t>14836</t>
  </si>
  <si>
    <t>LOCACAO DE ANDAIME METALICO COM ELEMENTOS TUBULARES SOBRE SAPATAS,C/ESCADA DE ACESSO E GUARDA-CORPO,EXCL.PISO E TRANSP.</t>
  </si>
  <si>
    <t>04.014.0095-A</t>
  </si>
  <si>
    <t>RETIRADA DE ENTULHO DE OBRA COM CACAMBA DE ACO TIPO CONTAINER COM 5M3 DE CAPACIDADE,INCLUSIVE CARREGAMENTO,TRANSPORTE EDESCARREGAMENTO.CUSTO POR UNIDADE DE CACAMBA E INCLUI A TAXA PARA DESCARGA EM LOCAIS AUTORIZADOS</t>
  </si>
  <si>
    <t>10962</t>
  </si>
  <si>
    <t>ALUGUEL CACAMBA DE ACO TIPO CONTAINER C/5M3 CAPAC.P/RETIRADA ENTULHO OBRA,INCL.CARREGA.,TRANSP.E DESCAR.LOCAIS AUTORIZ.</t>
  </si>
  <si>
    <t>1.2</t>
  </si>
  <si>
    <t>2.0</t>
  </si>
  <si>
    <t>2.1</t>
  </si>
  <si>
    <t>2.2</t>
  </si>
  <si>
    <t>2.3</t>
  </si>
  <si>
    <t>2.4</t>
  </si>
  <si>
    <t>2.5</t>
  </si>
  <si>
    <t>2.6</t>
  </si>
  <si>
    <t>3.0</t>
  </si>
  <si>
    <t>3.1</t>
  </si>
  <si>
    <t>3.2</t>
  </si>
  <si>
    <t>3.3</t>
  </si>
  <si>
    <t>3.4</t>
  </si>
  <si>
    <t>4.0</t>
  </si>
  <si>
    <t>4.1</t>
  </si>
  <si>
    <t>4.2</t>
  </si>
  <si>
    <t>4.3</t>
  </si>
  <si>
    <t>4.4</t>
  </si>
  <si>
    <t>4.5</t>
  </si>
  <si>
    <t>SUBTOTAL 4.0</t>
  </si>
  <si>
    <t>SUBTOTAL 3.0</t>
  </si>
  <si>
    <t>5.0</t>
  </si>
  <si>
    <t>6.1</t>
  </si>
  <si>
    <t>6.2</t>
  </si>
  <si>
    <t>6.0</t>
  </si>
  <si>
    <t>SUBTOTAL 6.0</t>
  </si>
  <si>
    <t>05.020.0030-A</t>
  </si>
  <si>
    <t>SINALIZACAO MANUAL DE FAIXAS E FIGURAS PARA PEDESTRES,COM TINTA A BASE DE RESINA ACRILICA,EM VIAS URBANAS,COM UTILIZACAODE PISTOLA PNEUMATICA(SPRAY),CONFORME NORMAS DO DER-RJ</t>
  </si>
  <si>
    <t>02996</t>
  </si>
  <si>
    <t>SOLVENTE P/TINTA DE DEMARCACAO A BASE DERESINA ACRILICA, EM BALDES DE 18 LITROS</t>
  </si>
  <si>
    <t>02995</t>
  </si>
  <si>
    <t>MICRO-ESFERA DE VIDRO, TIPO "PRE-MIX"</t>
  </si>
  <si>
    <t>02994</t>
  </si>
  <si>
    <t>MICRO-ESFERA DE VIDRO, TIPO "DROP-ON"</t>
  </si>
  <si>
    <t>02992</t>
  </si>
  <si>
    <t>TINTA A BASE DE RESINA ACRILICA, PARA SINALIZACAO HORIZONTAL, P/2 ANOS DE DURACAO, EM BALDES DE 18 LITROS</t>
  </si>
  <si>
    <t>20031</t>
  </si>
  <si>
    <t>MAO-DE-OBRA DE AUXILIAR DE MECANICO, INCLUSIVE ENCARGOS SOCIAIS DESONERADOS</t>
  </si>
  <si>
    <t>30699</t>
  </si>
  <si>
    <t>19.006.0035-C MAQUINA DEMARCACAO DE FAIXA A FRIO (CP)</t>
  </si>
  <si>
    <t>05.015.0050-A</t>
  </si>
  <si>
    <t>PLACA DE SINALIZACAO DE RODOVIAS,EM CHAPA DE ACO Nº16,TRATADA QUIMICAMENTE,INCLUSIVE PINTURA COM METAL PRIMER NAS DUAS FACES E ESMALTE SINTETICO PRETO NO VERSO.APLICACAO DE PELICULAS REFLETIVAS NO GRAU TECNICO E PELICULA PARA LEGENDA FIXADAATRAVES DE CASTANHAS DUPLAS EM POSTE DE CONCRETO ARMADO.FORNECIMENTO E COLOCACAO</t>
  </si>
  <si>
    <t>30959</t>
  </si>
  <si>
    <t>55.100.0071-B IMPLANTACAO DE PLACAS DE SINALIZACAO VERTICAL EM RODOVIAIS, INCL.TRANSP.,C/MOTORTICAL EM RODOVIAIS, INCL.TRANSP.,C/MOTOR</t>
  </si>
  <si>
    <t>30880</t>
  </si>
  <si>
    <t>54.001.0073-B MONTAGEM PLACA ACO P/SINALIZACAO VERT.POSTE CONCR.ARMADO INCL.FIX.CASTANHAS DUPLSTE CONCR.ARMADO INCL.FIX.CASTANHAS DUPL</t>
  </si>
  <si>
    <t>30879</t>
  </si>
  <si>
    <t>54.001.0071-B REVEST. DE PLACAS DE ACO P/SINALIZACAO VERTICAL C/PELICULA REFLETIVA GRAU TECNICERTICAL C/PELICULA REFLETIVA GRAU TECNIC</t>
  </si>
  <si>
    <t>30878</t>
  </si>
  <si>
    <t>54.001.0070-B PINTURA A PISTOLA S/PLACA ACO 16,C/PRIMER SINT.SURFACE SINT.ESMALTE SINT.C/TANTAR SINT.SURFACE SINT.ESMALTE SINT.C/TANTA</t>
  </si>
  <si>
    <t>30877</t>
  </si>
  <si>
    <t>54.001.0069-B PREPARO CHAPA ACO 16 P/PLACA SINALIZACAOVERTICAL,INCL.CORTETRATAMENTO DESENGORDVERTICAL,INCL.CORTETRATAMENTO DESENGORD</t>
  </si>
  <si>
    <t>So00000095241</t>
  </si>
  <si>
    <t>So00000088316</t>
  </si>
  <si>
    <t>So00000088309</t>
  </si>
  <si>
    <t>So00000094968</t>
  </si>
  <si>
    <t>So00000094968 CONCRETO MAGRO PARA LASTRO, TRAÇO 1:4,5:4,5 (EM MASSA SECA DE CIMENTO/ AREIA MÉDIA/ BRITA 1) - PREPARO MECÂNICO COM BETONEIRA 600 L. AF_05/2021</t>
  </si>
  <si>
    <t>11.009.0072-B</t>
  </si>
  <si>
    <t>30309</t>
  </si>
  <si>
    <t>11.011.0030-B CORTE ACO CA-50B DIAM.ENTRE 8MM A 12,5MM</t>
  </si>
  <si>
    <t>30302</t>
  </si>
  <si>
    <t>11.009.0014-B BARRA ACO CA-50,DIAM.DE 8 A 12,5MM</t>
  </si>
  <si>
    <t>11.009.0070-B</t>
  </si>
  <si>
    <t>20015</t>
  </si>
  <si>
    <t>MAO-DE-OBRA DE ARMADOR DE CONCRETO ARMADO, INCLUSIVE ENCARGOS SOCIAIS DESONERADOS</t>
  </si>
  <si>
    <t>00014</t>
  </si>
  <si>
    <t>ACO CA-60, ESTIRADO, PRECO DE REVENDEDOR, NO DIAMETRO DE 05,0MM</t>
  </si>
  <si>
    <t>11.004.0020-B</t>
  </si>
  <si>
    <t>31052</t>
  </si>
  <si>
    <t>54.001.0178-B PINUS EM PECAS DE 2,50X22,50M, (1"X9")</t>
  </si>
  <si>
    <t>30408</t>
  </si>
  <si>
    <t>17.025.0040-B PINTURA C/EMULSAO OLEOSA</t>
  </si>
  <si>
    <t>17.017.0010-A</t>
  </si>
  <si>
    <t>05.006.0001-B</t>
  </si>
  <si>
    <t>SUBTOTAL 2.0</t>
  </si>
  <si>
    <t>02.020.0001-0</t>
  </si>
  <si>
    <t>01967</t>
  </si>
  <si>
    <t>MAO-DE-OBRA DE CARPINTEIRO DE ESQUADRIASDE MADEIRA INCLUSIVE ENCARGOS SOCIAIS</t>
  </si>
  <si>
    <t>01001</t>
  </si>
  <si>
    <t>19.004.0001-2 CAMINHAO CARROC. FIXA, 3,5T (CP)</t>
  </si>
  <si>
    <t>02.015.0001-0</t>
  </si>
  <si>
    <t>01968</t>
  </si>
  <si>
    <t>MAO-DE-OBRA DE PEDREIRO, INCLUSIVE ENCARGOS SOCIAIS</t>
  </si>
  <si>
    <t>01993</t>
  </si>
  <si>
    <t>MAO-DE-OBRA DE BOMBEIRO HIDRAULICO DA CONSTRUCAO CIVIL, INCLUSIVE ENCARGOS SOCIAIS</t>
  </si>
  <si>
    <t>02082</t>
  </si>
  <si>
    <t>15.071.0012-1 LIGACAO AGUAS PLUVIAIS OU DOMICILIARES</t>
  </si>
  <si>
    <t>01605</t>
  </si>
  <si>
    <t>07.002.0025-1 ARGAMASSA CIM.,AREIA TRACO 1:3,PREPAROMECANICO</t>
  </si>
  <si>
    <t>00365</t>
  </si>
  <si>
    <t>59.003.0010-1 PINUS,PECA 1" X 12" E 1" X 9"</t>
  </si>
  <si>
    <t>02.016.0001-0</t>
  </si>
  <si>
    <t>01983</t>
  </si>
  <si>
    <t>MAO-DE-OBRA DE ELETRICISTA DE CONSTRUCAOCIVIL, INCLUSIVE ENCARGOS SOCIAIS</t>
  </si>
  <si>
    <t>09.005.0029-0</t>
  </si>
  <si>
    <t>01901</t>
  </si>
  <si>
    <t>MAO-DE-OBRA DE SERVENTE PARA SERVICOS DECONSERVACAO, INCLUSIVE ENCARGOS SOCIAIS</t>
  </si>
  <si>
    <t>01.016.0203-0</t>
  </si>
  <si>
    <t>01995</t>
  </si>
  <si>
    <t>MAO-DE-OBRA DE AUXILIAR DE TOPOGRAFIA, INCLUSIVE ENCARGOS SOCIAIS</t>
  </si>
  <si>
    <t>01985</t>
  </si>
  <si>
    <t>MAO-DE-OBRA DE ENGENHEIRO OU ARQUITETO SENIOR, INCLUSIVE ENCARGOS SOCIAIS</t>
  </si>
  <si>
    <t>01952</t>
  </si>
  <si>
    <t>MAO-DE-OBRA DE AUXILIAR DE CALCULO TOPOGRAFICO, INCLUSIVE ENCARGOS SOCIAIS</t>
  </si>
  <si>
    <t>01951</t>
  </si>
  <si>
    <t>MAO-DE-OBRA DE DESENHISTA A (DESENHO TOPOGRAFICO A PARTIR DE CADERNETAS), INCLUSIVE ENCARGOS SOCIAIS</t>
  </si>
  <si>
    <t>01950</t>
  </si>
  <si>
    <t>MAO-DE-OBRA DE TOPOGRAFO A (SERVICOS DECAMPO E ESCRITORIO, COM RESPONSABILIDADEDE DIRIGI-LOS),INCLUSIVE ENCARGOS SOCIAI</t>
  </si>
  <si>
    <t>01858</t>
  </si>
  <si>
    <t>19.011.0019-2 ESTACAO TOTAL,COM PRECISAO ANGULAR DE 1"A 2",ALCANCE MINIMO DE 500M SEM PRISMA,EA 2",ALCANCE MINIMO DE 500M SEM PRISMA,E</t>
  </si>
  <si>
    <t>01019</t>
  </si>
  <si>
    <t>19.004.0035-2 MICRO-ONIBUS,CAPACIDADE MINIMA 15 LUGARES,MOTOR DIESEL,INCLUSIVE MOTORISTA (CP)</t>
  </si>
  <si>
    <t>01.018.0001-0</t>
  </si>
  <si>
    <t>03.001.0001-1</t>
  </si>
  <si>
    <t>03.011.0015-1</t>
  </si>
  <si>
    <t>01970</t>
  </si>
  <si>
    <t>MAO-DE-OBRA DE OPERADOR DE MAQUINA (TRATOR, ETC), INCLUSIVE ENCARGOS SOCIAIS</t>
  </si>
  <si>
    <t>02176</t>
  </si>
  <si>
    <t>19.006.0030-4 SOQUETE VIBRATORIO 78KG; 2,5CV (CI)</t>
  </si>
  <si>
    <t>02175</t>
  </si>
  <si>
    <t>19.006.0030-2 SOQUETE VIBRATORIO 78KG; 2,5CV (CP)</t>
  </si>
  <si>
    <t>11.003.0006-0</t>
  </si>
  <si>
    <t>03378</t>
  </si>
  <si>
    <t>11.001.0008-1 CONCRETO FCK 30MPA</t>
  </si>
  <si>
    <t>01752</t>
  </si>
  <si>
    <t>11.002.0023-1 LANCAMENTO CONC.C/ARM.2,0M3/H,HORIZ/VERT</t>
  </si>
  <si>
    <t>01745</t>
  </si>
  <si>
    <t>11.002.0013-1 PREPARO CONCR. BETON. 320L; 2,0M3/H</t>
  </si>
  <si>
    <t>12.005.0030-0</t>
  </si>
  <si>
    <t>01609</t>
  </si>
  <si>
    <t>07.002.0045-1 ARGAMASSA CIM.,AREIA TRACO 1:8,PREPAROMECANICO</t>
  </si>
  <si>
    <t>13.001.0065-1</t>
  </si>
  <si>
    <t>15235</t>
  </si>
  <si>
    <t>07.005.0035-1 ARGAMASSA CIM.,CAL HIDR.AREIA-EMBOC.EXT.PREPARO MECANICO</t>
  </si>
  <si>
    <t>03084</t>
  </si>
  <si>
    <t>13.001.0010-1 CHAPISCO SUPERF. CONCR./ALVEN.,COM ARGAMASSA DE CIMENTO E AREIA NO TRACO 1:3</t>
  </si>
  <si>
    <t>17.017.0320-0</t>
  </si>
  <si>
    <t>So00000088489</t>
  </si>
  <si>
    <t>06.100.0010-0</t>
  </si>
  <si>
    <t>06.082.0050-0</t>
  </si>
  <si>
    <t>13.302.0010-0</t>
  </si>
  <si>
    <t>CAMADA DE BRITA 1,COM ESPESSURA ESTIMADA DE 3CM,ESPALHAMENTOMANUAL</t>
  </si>
  <si>
    <t>14566</t>
  </si>
  <si>
    <t>BRITA CORRIDA, PARA REGIAO METROPOLITANADO RIO DE JANEIRO</t>
  </si>
  <si>
    <t>06.100.0150-0</t>
  </si>
  <si>
    <t>So00000098554</t>
  </si>
  <si>
    <t>So0043147</t>
  </si>
  <si>
    <t>So00000088270</t>
  </si>
  <si>
    <t>So00000088243</t>
  </si>
  <si>
    <t>04.014.0095-0</t>
  </si>
  <si>
    <t>SUBTOTAL 5.0</t>
  </si>
  <si>
    <t xml:space="preserve">Estado do Rio de Janeiro                                                        </t>
  </si>
  <si>
    <t>Prefeitura Municipal de Barra Mansa</t>
  </si>
  <si>
    <r>
      <t>Secretaria Municipal de Planejamento Urbano</t>
    </r>
    <r>
      <rPr>
        <sz val="20"/>
        <rFont val="Arial"/>
        <family val="2"/>
      </rPr>
      <t xml:space="preserve"> </t>
    </r>
  </si>
  <si>
    <t xml:space="preserve">CRONOGRAMA  FÍSICO-FINANCEIRO </t>
  </si>
  <si>
    <t>DESCRIÇÃO</t>
  </si>
  <si>
    <t>PERÍODO</t>
  </si>
  <si>
    <t>30 DIAS</t>
  </si>
  <si>
    <t>60 DIAS</t>
  </si>
  <si>
    <t>90 DIAS</t>
  </si>
  <si>
    <t>TOTAL DOS</t>
  </si>
  <si>
    <t>FÍSICO</t>
  </si>
  <si>
    <t>FINANCEIRO</t>
  </si>
  <si>
    <t>SERVIÇOS</t>
  </si>
  <si>
    <t>1.0</t>
  </si>
  <si>
    <t>TOTAL DA OBRA POR MEDIÇÃO</t>
  </si>
  <si>
    <t>TOTAL ACUMULADO DA OBRA</t>
  </si>
  <si>
    <t>Desembolso parcial por medição %</t>
  </si>
  <si>
    <t>Desembolso máximo acumulado %</t>
  </si>
  <si>
    <t>.</t>
  </si>
  <si>
    <t>20131</t>
  </si>
  <si>
    <t>MAO-DE-OBRA DE SERRALHEIRO DA CONSTRUCAOCIVIL, INCLUSIVE ENCARGOS SOCIAIS DESONERADOS</t>
  </si>
  <si>
    <t>00011</t>
  </si>
  <si>
    <t>CANTONEIRA DE ACO DOCE, P/SERRALHERIA, PRECO DE REVENDEDOR, DE 5/8"X1/8" ATE 1.1/2"X1/8"</t>
  </si>
  <si>
    <t>20.012.0006-A</t>
  </si>
  <si>
    <t>RECOLOCACAO DE PLACA DE SINALIZACAO</t>
  </si>
  <si>
    <t>20102</t>
  </si>
  <si>
    <t>MAO-DE-OBRA DE MONTADOR A (MONTAGEM DE ESTRUTURAS METALICAS), INCLUSIVE ENCARGOSSOCIAIS DESONERADOS</t>
  </si>
  <si>
    <t>05.001.0147-A</t>
  </si>
  <si>
    <t>ARRANCAMENTO DE GRADES,GRADIS,ALAMBRADOS,CERCAS E PORTOES</t>
  </si>
  <si>
    <t>11243</t>
  </si>
  <si>
    <t>CHAPA DE ACO GALVANIZADO, Nº26 (0,50MM)</t>
  </si>
  <si>
    <t>20004</t>
  </si>
  <si>
    <t>MAO-DE-OBRA DE AJUDANTE DA CONSTRUCAO CIVIL, INCLUSIVE ENCARGOS SOCIAIS DESONERADOS</t>
  </si>
  <si>
    <t>SI00000097360</t>
  </si>
  <si>
    <t>QUADRO DE MEDIÇÃO GERAL DE ENERGIA COM 12 MEDIDORES - FORNECIMENTO E INSTALAÇÃO. AF_10/2020</t>
  </si>
  <si>
    <t>0043091</t>
  </si>
  <si>
    <t>CENTRO DE MEDICAO AGRUPADA, EM POLICARBONATO / PVC, COM 12 MEDIDORES E PROTECAO GERAL (INCLUI BARRAMENTO, DISJUNTORES E ACESSORIOS DE FIXACAO) (PADRAO CONCESSIONARIA LOCAL)</t>
  </si>
  <si>
    <t>SI00000088264</t>
  </si>
  <si>
    <t>ELETRICISTA COM ENCARGOS COMPLEMENTARES</t>
  </si>
  <si>
    <t>SI00000088247</t>
  </si>
  <si>
    <t>AUXILIAR DE ELETRICISTA COM ENCARGOS COMPLEMENTARES</t>
  </si>
  <si>
    <t>SI00000095641</t>
  </si>
  <si>
    <t>KIT CAVALETE PARA MEDIÇÃO DE ÁGUA - ENTRADA INDIVIDUALIZADA, EM PVC DN 25 (¾), PARA 2 MEDIDORES  FORNECIMENTO E INSTALAÇÃO (EXCLUSIVE HIDRÔMETRO). AF_11/2016</t>
  </si>
  <si>
    <t>0038383</t>
  </si>
  <si>
    <t>LIXA D'AGUA EM FOLHA, GRAO 100</t>
  </si>
  <si>
    <t>0020083</t>
  </si>
  <si>
    <t>SOLUCAO PREPARADORA / LIMPADORA PARA PVC, FRASCO COM 1000 CM3</t>
  </si>
  <si>
    <t>0020080</t>
  </si>
  <si>
    <t>ADESIVO PLASTICO PARA PVC, FRASCO COM 175 GR</t>
  </si>
  <si>
    <t>0009875</t>
  </si>
  <si>
    <t>TUBO PVC, SOLDAVEL, DN 50 MM, PARA AGUA FRIA (NBR-5648)</t>
  </si>
  <si>
    <t>0009868</t>
  </si>
  <si>
    <t>TUBO PVC, SOLDAVEL, DN 25 MM, AGUA FRIA (NBR-5648)</t>
  </si>
  <si>
    <t>0007142</t>
  </si>
  <si>
    <t>TE SOLDAVEL, PVC, 90 GRAUS,50 MM, PARA AGUA FRIA PREDIAL (NBR 5648)</t>
  </si>
  <si>
    <t>0006016</t>
  </si>
  <si>
    <t>REGISTRO GAVETA BRUTO EM LATAO FORJADO, BITOLA 3/4 " (REF 1509)</t>
  </si>
  <si>
    <t>0003540</t>
  </si>
  <si>
    <t>JOELHO PVC, SOLDAVEL, 90 GRAUS, 50 MM, PARA AGUA FRIA PREDIAL</t>
  </si>
  <si>
    <t>0003529</t>
  </si>
  <si>
    <t>JOELHO PVC, SOLDAVEL, 90 GRAUS, 25 MM, PARA AGUA FRIA PREDIAL</t>
  </si>
  <si>
    <t>0000813</t>
  </si>
  <si>
    <t>BUCHA DE REDUCAO DE PVC, SOLDAVEL, LONGA, COM 50 X 25 MM, PARA AGUA FRIA PREDIAL</t>
  </si>
  <si>
    <t>0000065</t>
  </si>
  <si>
    <t>ADAPTADOR PVC SOLDAVEL CURTO COM BOLSA E ROSCA, 25 MM X 3/4", PARA AGUA FRIA</t>
  </si>
  <si>
    <t>SI00000088267</t>
  </si>
  <si>
    <t>ENCANADOR OU BOMBEIRO HIDRÁULICO COM ENCARGOS COMPLEMENTARES</t>
  </si>
  <si>
    <t>SI00000088248</t>
  </si>
  <si>
    <t>AUXILIAR DE ENCANADOR OU BOMBEIRO HIDRÁULICO COM ENCARGOS COMPLEMENTARES</t>
  </si>
  <si>
    <t>ESQUADRIA INSTALAÇÃO</t>
  </si>
  <si>
    <t>05.001.0023-A</t>
  </si>
  <si>
    <t>DEMOLICAO MANUAL DE ALVENARIA DE TIJOLOS FURADOS,INCLUSIVE EMPILHAMENTO LATERAL DENTRO DO CANTEIRO DE SERVICO</t>
  </si>
  <si>
    <t xml:space="preserve">COLOCAÇÃO DE PORTAO DE CHAPA DE FERRO GALVANIZADO,COM ESPESSURA DE 0,5MM,COM ALTURA ENTRE 2M E 3M E AREA TOTAL DE 6M2 A 9M2. </t>
  </si>
  <si>
    <r>
      <t xml:space="preserve">GRADE DE FERRO FORMADA DE BARRAS VERTICAIS DE 1.1/2"X3/8" ACADA 10CM,QUATRO BARRAS HORIZONTAIS DE 2"X3/8" CHUMBADAS NOVAO,SENDO DUAS DAS EXTREMIDADES E DUAS DIVIDINDO A GRADE EM3 PARTES IGUAIS,COM MONTANTES DE 1.1/2"X1.1/2" A CADA 2,00MCHUMBADAS POR BAIXO </t>
    </r>
    <r>
      <rPr>
        <b/>
        <sz val="11"/>
        <rFont val="Arial"/>
        <family val="2"/>
      </rPr>
      <t>(SOMENTE INSTALAÇÃO)</t>
    </r>
  </si>
  <si>
    <r>
      <t xml:space="preserve">14.002.0133-A </t>
    </r>
    <r>
      <rPr>
        <b/>
        <sz val="11"/>
        <rFont val="Arial"/>
        <family val="2"/>
      </rPr>
      <t>(MODIFICADO)</t>
    </r>
  </si>
  <si>
    <r>
      <t xml:space="preserve">14.002.0071-A </t>
    </r>
    <r>
      <rPr>
        <b/>
        <sz val="11"/>
        <rFont val="Arial"/>
        <family val="2"/>
      </rPr>
      <t>(MODIFICADO)</t>
    </r>
  </si>
  <si>
    <t>SUPORTE MÃO FRANCESA EM ACO, ABAS IGUAIS 40 CM, CAPACIDADE MINIMA 70 KG, BRANCO - FORNECIMENTO E INSTALAÇÃO. AF_01/2020</t>
  </si>
  <si>
    <t>0037591</t>
  </si>
  <si>
    <t>SUPORTE MAO-FRANCESA EM ACO, ABAS IGUAIS 40 CM, CAPACIDADE MINIMA 70 KG, BRANCO</t>
  </si>
  <si>
    <t>0007568</t>
  </si>
  <si>
    <t>BUCHA DE NYLON SEM ABA S10, COM PARAFUSO DE 6,10 X 65 MM EM ACO ZINCADO COM ROSCA SOBERBA, CABECA CHATA E FENDA PHILLIPS</t>
  </si>
  <si>
    <t>SUPORTE MÃO FRANCESA EM ACO, INSTALACÃO (COBERTURA PEDESTRE)</t>
  </si>
  <si>
    <r>
      <t xml:space="preserve">SI00000100862 </t>
    </r>
    <r>
      <rPr>
        <b/>
        <sz val="11"/>
        <rFont val="Arial"/>
        <family val="2"/>
      </rPr>
      <t>(MODIFICADO)</t>
    </r>
  </si>
  <si>
    <t>05.001.0023-0</t>
  </si>
  <si>
    <t>05.001.0147-0</t>
  </si>
  <si>
    <t>06913</t>
  </si>
  <si>
    <t>MAO-DE-OBRA DE SERRALHEIRO DA CONSTRUCAOCIVIL, INCLUSIVE ENCARGOS SOCIAIS</t>
  </si>
  <si>
    <t>01921</t>
  </si>
  <si>
    <t>MAO-DE-OBRA DE AJUDANTE DE CONSTRUCAO CIVIL, INCLUSIVE ENCARGOS SOCIAIS</t>
  </si>
  <si>
    <t>GRADE DE FERRO FORMADA DE BARRAS VERTICAIS DE 1.1/2"X3/8" ACADA 10CM,QUATRO BARRAS HORIZONTAIS DE 2"X3/8" CHUMBADAS NOVAO,SENDO DUAS DAS EXTREMIDADES E DUAS DIVIDINDO A GRADE EM3 PARTES IGUAIS,COM MONTANTES DE 1.1/2"X1.1/2" A CADA 2,00MCHUMBADAS POR BAIXO E POR CIMA DA GRADE.FORNECIMENTO E COLOCACAO</t>
  </si>
  <si>
    <t>20.012.0006-0</t>
  </si>
  <si>
    <t>01975</t>
  </si>
  <si>
    <t>MAO-DE-OBRA DE MONTADOR A (MONTAGEM DE ESTRUTURAS METALICAS), INCLUSIVE ENCARGOSSOCIAIS</t>
  </si>
  <si>
    <t>So0037591</t>
  </si>
  <si>
    <t>So0007568</t>
  </si>
  <si>
    <t>So00000088267</t>
  </si>
  <si>
    <t>So00000097360</t>
  </si>
  <si>
    <t>So0043091</t>
  </si>
  <si>
    <t>So00000088264</t>
  </si>
  <si>
    <t>So00000088247</t>
  </si>
  <si>
    <t>So00000095641</t>
  </si>
  <si>
    <t>So0038383</t>
  </si>
  <si>
    <t>So0020083</t>
  </si>
  <si>
    <t>So0020080</t>
  </si>
  <si>
    <t>So0009875</t>
  </si>
  <si>
    <t>So0009868</t>
  </si>
  <si>
    <t>So0007142</t>
  </si>
  <si>
    <t>So0006016</t>
  </si>
  <si>
    <t>So0003540</t>
  </si>
  <si>
    <t>So0003529</t>
  </si>
  <si>
    <t>So0000813</t>
  </si>
  <si>
    <t>So0000065</t>
  </si>
  <si>
    <t>So00000088248</t>
  </si>
  <si>
    <r>
      <t xml:space="preserve">14.002.0071-0 </t>
    </r>
    <r>
      <rPr>
        <b/>
        <sz val="11"/>
        <rFont val="Arial"/>
        <family val="2"/>
      </rPr>
      <t>(MODIFICADO)</t>
    </r>
  </si>
  <si>
    <r>
      <t xml:space="preserve">14.002.0133-0 </t>
    </r>
    <r>
      <rPr>
        <b/>
        <sz val="11"/>
        <rFont val="Arial"/>
        <family val="2"/>
      </rPr>
      <t>(MODIFICADO)</t>
    </r>
  </si>
  <si>
    <r>
      <t xml:space="preserve">So00000100862 </t>
    </r>
    <r>
      <rPr>
        <b/>
        <sz val="11"/>
        <rFont val="Arial"/>
        <family val="2"/>
      </rPr>
      <t>(MODIFICADO)</t>
    </r>
  </si>
  <si>
    <t>5.1</t>
  </si>
  <si>
    <t>5.2</t>
  </si>
  <si>
    <t>5.3</t>
  </si>
  <si>
    <t>5.4</t>
  </si>
  <si>
    <t>5.5</t>
  </si>
  <si>
    <t>5.6</t>
  </si>
  <si>
    <t>1.9</t>
  </si>
  <si>
    <t>1.10</t>
  </si>
  <si>
    <t>03.020.0200-A</t>
  </si>
  <si>
    <t>ESCAVACAO MECANICA,PARA ACERTO DE TALUDES,EM MATERIAL DE 1ªCATEGORIA,UTILIZANDO ESCAVADEIRA HIDRAULICA DE 0,78M3</t>
  </si>
  <si>
    <t>30556</t>
  </si>
  <si>
    <t>19.005.0008-E ESCAVADEIRA HIDRAULICA,MOTOR DIESEL 111CV,CAPACIDADE 0,78M3 (CI)</t>
  </si>
  <si>
    <t>30554</t>
  </si>
  <si>
    <t>19.005.0008-C ESCAVADEIRA HIDRAULICA,MOTOR DIESEL 111CV,CAPACIDADE 0,78M3 (CP)</t>
  </si>
  <si>
    <t>1.11</t>
  </si>
  <si>
    <t>03.020.0200-0</t>
  </si>
  <si>
    <t>01116</t>
  </si>
  <si>
    <t>19.005.0008-4 ESCAVADEIRA HIDRAULICA,MOTOR DIESEL 111CV,CAPACIDADE 0,78M3 (CI)</t>
  </si>
  <si>
    <t>01114</t>
  </si>
  <si>
    <t>19.005.0008-2 ESCAVADEIRA HIDRAULICA,MOTOR DIESEL 111CV,CAPACIDADE 0,78M3 (CP)</t>
  </si>
  <si>
    <t>OBRA/SERVIÇO:  REFORMA DE MURO DE CONTENÇÃO DO COLEGIO MUNICIPAL JÚLIO BRANCO</t>
  </si>
  <si>
    <t>LOCAL: COLEGIO MUNICIPAL JÚLIO BRANCO, RUA IMACULADA CONCEIÇÃO N°1697, KM4, BARRA MANSA - RJ</t>
  </si>
  <si>
    <t>Data-Base:   EMOP -  RJ / SINAPI e SCO-RJ-  Desonerado - Base JANEIRO - 2022</t>
  </si>
  <si>
    <t>PROJETO:</t>
  </si>
  <si>
    <t>LEVANTAMENTO:</t>
  </si>
  <si>
    <t>APROVAÇÃO:</t>
  </si>
  <si>
    <t>Eng. Jefferson Martins</t>
  </si>
  <si>
    <t>Eng. Eros dos Santos</t>
  </si>
  <si>
    <t>MEMORIA DE CALCULO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</si>
</sst>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&quot;R$&quot;* #,##0_);_(&quot;R$&quot;* \(#,##0\);_(&quot;R$&quot;* &quot;-&quot;_);_(@_)"/>
    <numFmt numFmtId="167" formatCode="_(&quot;R$&quot;* #,##0.00_);_(&quot;R$&quot;* \(#,##0.00\);_(&quot;R$&quot;* &quot;-&quot;??_);_(@_)"/>
    <numFmt numFmtId="168" formatCode="_ * #,##0.00_ ;_ * \-#,##0.00_ ;_ * &quot;-&quot;??_ ;_ @_ "/>
    <numFmt numFmtId="169" formatCode="0.00;[Red]0.00"/>
    <numFmt numFmtId="170" formatCode="_([$€]* #,##0.00_);_([$€]* \(#,##0.00\);_([$€]* &quot;-&quot;??_);_(@_)"/>
    <numFmt numFmtId="171" formatCode="#,##0.0"/>
    <numFmt numFmtId="172" formatCode="dd/mm/yy;@"/>
    <numFmt numFmtId="173" formatCode="#,##0.000"/>
    <numFmt numFmtId="174" formatCode="#,##0.0000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  <numFmt numFmtId="179" formatCode="#,##0.00;[Red]#,##0.00"/>
    <numFmt numFmtId="180" formatCode="&quot;Ativar&quot;;&quot;Ativar&quot;;&quot;Desativar&quot;"/>
    <numFmt numFmtId="181" formatCode="0.0"/>
    <numFmt numFmtId="182" formatCode="_(* #,##0.000_);_(* \(#,##0.000\);_(* &quot;-&quot;??_);_(@_)"/>
    <numFmt numFmtId="183" formatCode="_(* #,##0.0000_);_(* \(#,##0.0000\);_(* &quot;-&quot;??_);_(@_)"/>
    <numFmt numFmtId="184" formatCode="_(* #,##0.00000_);_(* \(#,##0.00000\);_(* &quot;-&quot;??_);_(@_)"/>
    <numFmt numFmtId="185" formatCode="_(* #,##0.0_);_(* \(#,##0.0\);_(* &quot;-&quot;??_);_(@_)"/>
    <numFmt numFmtId="186" formatCode="_(* #,##0_);_(* \(#,##0\);_(* &quot;-&quot;??_);_(@_)"/>
    <numFmt numFmtId="187" formatCode="[$-416]dddd\,\ d&quot; de &quot;mmmm&quot; de &quot;yyyy"/>
    <numFmt numFmtId="188" formatCode="0.0%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8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20"/>
      <name val="Arial"/>
      <family val="2"/>
    </font>
    <font>
      <sz val="10"/>
      <name val="Switzerland"/>
      <family val="0"/>
    </font>
    <font>
      <sz val="14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b/>
      <sz val="2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499969989061355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17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32" borderId="0" applyNumberFormat="0" applyBorder="0" applyAlignment="0" applyProtection="0"/>
    <xf numFmtId="0" fontId="40" fillId="21" borderId="5" applyNumberFormat="0" applyAlignment="0" applyProtection="0"/>
    <xf numFmtId="16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65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4" fontId="5" fillId="0" borderId="13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172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3" fillId="0" borderId="14" xfId="0" applyFont="1" applyBorder="1" applyAlignment="1">
      <alignment vertical="center"/>
    </xf>
    <xf numFmtId="0" fontId="5" fillId="0" borderId="15" xfId="0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0" xfId="55" applyFont="1" applyFill="1" applyBorder="1" applyAlignment="1">
      <alignment horizontal="justify" vertical="top" wrapText="1"/>
      <protection/>
    </xf>
    <xf numFmtId="4" fontId="5" fillId="0" borderId="0" xfId="55" applyNumberFormat="1" applyFont="1" applyFill="1" applyBorder="1" applyAlignment="1">
      <alignment/>
      <protection/>
    </xf>
    <xf numFmtId="4" fontId="5" fillId="0" borderId="0" xfId="55" applyNumberFormat="1" applyFont="1" applyFill="1" applyBorder="1" applyAlignment="1">
      <alignment horizontal="right"/>
      <protection/>
    </xf>
    <xf numFmtId="4" fontId="5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 wrapText="1"/>
    </xf>
    <xf numFmtId="0" fontId="6" fillId="0" borderId="17" xfId="0" applyFont="1" applyFill="1" applyBorder="1" applyAlignment="1">
      <alignment horizontal="right" vertical="justify" wrapText="1"/>
    </xf>
    <xf numFmtId="0" fontId="6" fillId="0" borderId="18" xfId="0" applyFont="1" applyFill="1" applyBorder="1" applyAlignment="1">
      <alignment horizontal="right" vertical="justify" wrapText="1"/>
    </xf>
    <xf numFmtId="0" fontId="6" fillId="0" borderId="19" xfId="0" applyFont="1" applyFill="1" applyBorder="1" applyAlignment="1">
      <alignment horizontal="right" vertical="justify" wrapText="1"/>
    </xf>
    <xf numFmtId="4" fontId="6" fillId="0" borderId="16" xfId="0" applyNumberFormat="1" applyFont="1" applyFill="1" applyBorder="1" applyAlignment="1">
      <alignment horizontal="right" wrapText="1"/>
    </xf>
    <xf numFmtId="0" fontId="5" fillId="0" borderId="0" xfId="55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5" fillId="0" borderId="0" xfId="0" applyFont="1" applyFill="1" applyBorder="1" applyAlignment="1">
      <alignment/>
    </xf>
    <xf numFmtId="0" fontId="6" fillId="0" borderId="1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6" fillId="0" borderId="1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21" xfId="0" applyFont="1" applyBorder="1" applyAlignment="1">
      <alignment horizontal="left" vertical="center"/>
    </xf>
    <xf numFmtId="0" fontId="5" fillId="0" borderId="0" xfId="55" applyFont="1" applyFill="1" applyBorder="1" applyAlignment="1">
      <alignment horizontal="center" vertical="center"/>
      <protection/>
    </xf>
    <xf numFmtId="4" fontId="5" fillId="0" borderId="0" xfId="55" applyNumberFormat="1" applyFont="1" applyFill="1" applyBorder="1" applyAlignment="1">
      <alignment horizontal="center" vertical="center"/>
      <protection/>
    </xf>
    <xf numFmtId="0" fontId="3" fillId="0" borderId="17" xfId="0" applyFont="1" applyBorder="1" applyAlignment="1">
      <alignment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/>
    </xf>
    <xf numFmtId="4" fontId="5" fillId="0" borderId="18" xfId="0" applyNumberFormat="1" applyFont="1" applyBorder="1" applyAlignment="1">
      <alignment horizontal="righ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6" fillId="0" borderId="18" xfId="0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5" fillId="19" borderId="16" xfId="55" applyFont="1" applyFill="1" applyBorder="1" applyAlignment="1">
      <alignment horizontal="center" vertical="center"/>
      <protection/>
    </xf>
    <xf numFmtId="0" fontId="5" fillId="19" borderId="16" xfId="55" applyFont="1" applyFill="1" applyBorder="1" applyAlignment="1">
      <alignment horizontal="center" vertical="center" wrapText="1"/>
      <protection/>
    </xf>
    <xf numFmtId="0" fontId="5" fillId="19" borderId="16" xfId="55" applyFont="1" applyFill="1" applyBorder="1" applyAlignment="1">
      <alignment horizontal="justify" vertical="top" wrapText="1"/>
      <protection/>
    </xf>
    <xf numFmtId="4" fontId="5" fillId="19" borderId="16" xfId="55" applyNumberFormat="1" applyFont="1" applyFill="1" applyBorder="1" applyAlignment="1">
      <alignment horizontal="center" vertical="center"/>
      <protection/>
    </xf>
    <xf numFmtId="4" fontId="5" fillId="19" borderId="16" xfId="55" applyNumberFormat="1" applyFont="1" applyFill="1" applyBorder="1" applyAlignment="1">
      <alignment/>
      <protection/>
    </xf>
    <xf numFmtId="4" fontId="5" fillId="19" borderId="16" xfId="55" applyNumberFormat="1" applyFont="1" applyFill="1" applyBorder="1" applyAlignment="1">
      <alignment horizontal="right"/>
      <protection/>
    </xf>
    <xf numFmtId="4" fontId="5" fillId="19" borderId="16" xfId="0" applyNumberFormat="1" applyFont="1" applyFill="1" applyBorder="1" applyAlignment="1">
      <alignment horizontal="right"/>
    </xf>
    <xf numFmtId="0" fontId="5" fillId="19" borderId="0" xfId="0" applyFont="1" applyFill="1" applyBorder="1" applyAlignment="1">
      <alignment/>
    </xf>
    <xf numFmtId="4" fontId="5" fillId="19" borderId="0" xfId="0" applyNumberFormat="1" applyFont="1" applyFill="1" applyBorder="1" applyAlignment="1">
      <alignment horizontal="right" wrapText="1"/>
    </xf>
    <xf numFmtId="0" fontId="6" fillId="0" borderId="17" xfId="0" applyFont="1" applyFill="1" applyBorder="1" applyAlignment="1">
      <alignment horizontal="left" vertical="justify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justify" wrapText="1"/>
    </xf>
    <xf numFmtId="0" fontId="6" fillId="0" borderId="0" xfId="0" applyFont="1" applyFill="1" applyBorder="1" applyAlignment="1">
      <alignment horizontal="left" vertical="justify" wrapText="1"/>
    </xf>
    <xf numFmtId="0" fontId="6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right" wrapText="1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0" fontId="6" fillId="0" borderId="0" xfId="55" applyFont="1" applyFill="1" applyBorder="1" applyAlignment="1">
      <alignment horizontal="justify" vertical="top" wrapText="1"/>
      <protection/>
    </xf>
    <xf numFmtId="4" fontId="6" fillId="0" borderId="0" xfId="55" applyNumberFormat="1" applyFont="1" applyFill="1" applyBorder="1" applyAlignment="1">
      <alignment horizontal="center" vertical="center"/>
      <protection/>
    </xf>
    <xf numFmtId="4" fontId="6" fillId="0" borderId="0" xfId="55" applyNumberFormat="1" applyFont="1" applyFill="1" applyBorder="1" applyAlignment="1">
      <alignment/>
      <protection/>
    </xf>
    <xf numFmtId="4" fontId="6" fillId="0" borderId="0" xfId="55" applyNumberFormat="1" applyFont="1" applyFill="1" applyBorder="1" applyAlignment="1">
      <alignment horizontal="right"/>
      <protection/>
    </xf>
    <xf numFmtId="4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5" fillId="16" borderId="16" xfId="55" applyFont="1" applyFill="1" applyBorder="1" applyAlignment="1">
      <alignment horizontal="center" vertical="center"/>
      <protection/>
    </xf>
    <xf numFmtId="0" fontId="5" fillId="16" borderId="16" xfId="55" applyFont="1" applyFill="1" applyBorder="1" applyAlignment="1">
      <alignment horizontal="center" vertical="center" wrapText="1"/>
      <protection/>
    </xf>
    <xf numFmtId="0" fontId="5" fillId="16" borderId="16" xfId="55" applyFont="1" applyFill="1" applyBorder="1" applyAlignment="1">
      <alignment horizontal="justify" vertical="top" wrapText="1"/>
      <protection/>
    </xf>
    <xf numFmtId="4" fontId="5" fillId="16" borderId="16" xfId="55" applyNumberFormat="1" applyFont="1" applyFill="1" applyBorder="1" applyAlignment="1">
      <alignment horizontal="center" vertical="center"/>
      <protection/>
    </xf>
    <xf numFmtId="4" fontId="5" fillId="16" borderId="16" xfId="55" applyNumberFormat="1" applyFont="1" applyFill="1" applyBorder="1" applyAlignment="1">
      <alignment/>
      <protection/>
    </xf>
    <xf numFmtId="4" fontId="5" fillId="16" borderId="16" xfId="55" applyNumberFormat="1" applyFont="1" applyFill="1" applyBorder="1" applyAlignment="1">
      <alignment horizontal="right"/>
      <protection/>
    </xf>
    <xf numFmtId="4" fontId="5" fillId="16" borderId="16" xfId="0" applyNumberFormat="1" applyFont="1" applyFill="1" applyBorder="1" applyAlignment="1">
      <alignment horizontal="right"/>
    </xf>
    <xf numFmtId="0" fontId="10" fillId="0" borderId="12" xfId="51" applyFont="1" applyBorder="1">
      <alignment/>
      <protection/>
    </xf>
    <xf numFmtId="0" fontId="8" fillId="0" borderId="18" xfId="52" applyFont="1" applyFill="1" applyBorder="1" applyAlignment="1">
      <alignment vertical="top"/>
      <protection/>
    </xf>
    <xf numFmtId="10" fontId="8" fillId="0" borderId="18" xfId="52" applyNumberFormat="1" applyFont="1" applyFill="1" applyBorder="1" applyAlignment="1">
      <alignment vertical="top"/>
      <protection/>
    </xf>
    <xf numFmtId="39" fontId="11" fillId="0" borderId="18" xfId="51" applyNumberFormat="1" applyFont="1" applyBorder="1" applyAlignment="1">
      <alignment/>
      <protection/>
    </xf>
    <xf numFmtId="0" fontId="8" fillId="0" borderId="16" xfId="54" applyFont="1" applyFill="1" applyBorder="1" applyAlignment="1">
      <alignment vertical="top"/>
      <protection/>
    </xf>
    <xf numFmtId="0" fontId="11" fillId="0" borderId="16" xfId="54" applyFont="1" applyFill="1" applyBorder="1" applyAlignment="1">
      <alignment horizontal="left" vertical="top"/>
      <protection/>
    </xf>
    <xf numFmtId="10" fontId="11" fillId="0" borderId="16" xfId="58" applyNumberFormat="1" applyFont="1" applyFill="1" applyBorder="1" applyAlignment="1">
      <alignment/>
    </xf>
    <xf numFmtId="167" fontId="11" fillId="0" borderId="16" xfId="47" applyFont="1" applyFill="1" applyBorder="1" applyAlignment="1">
      <alignment/>
    </xf>
    <xf numFmtId="10" fontId="11" fillId="0" borderId="16" xfId="47" applyNumberFormat="1" applyFont="1" applyFill="1" applyBorder="1" applyAlignment="1">
      <alignment/>
    </xf>
    <xf numFmtId="167" fontId="8" fillId="0" borderId="16" xfId="47" applyFont="1" applyFill="1" applyBorder="1" applyAlignment="1">
      <alignment/>
    </xf>
    <xf numFmtId="0" fontId="11" fillId="0" borderId="16" xfId="54" applyFont="1" applyFill="1" applyBorder="1" applyAlignment="1">
      <alignment horizontal="justify" vertical="justify" wrapText="1"/>
      <protection/>
    </xf>
    <xf numFmtId="10" fontId="11" fillId="33" borderId="16" xfId="58" applyNumberFormat="1" applyFont="1" applyFill="1" applyBorder="1" applyAlignment="1">
      <alignment/>
    </xf>
    <xf numFmtId="4" fontId="11" fillId="33" borderId="20" xfId="50" applyNumberFormat="1" applyFont="1" applyFill="1" applyBorder="1">
      <alignment/>
      <protection/>
    </xf>
    <xf numFmtId="0" fontId="11" fillId="33" borderId="22" xfId="50" applyFont="1" applyFill="1" applyBorder="1">
      <alignment/>
      <protection/>
    </xf>
    <xf numFmtId="188" fontId="8" fillId="33" borderId="22" xfId="58" applyNumberFormat="1" applyFont="1" applyFill="1" applyBorder="1" applyAlignment="1">
      <alignment horizontal="center"/>
    </xf>
    <xf numFmtId="0" fontId="11" fillId="33" borderId="23" xfId="51" applyFont="1" applyFill="1" applyBorder="1">
      <alignment/>
      <protection/>
    </xf>
    <xf numFmtId="0" fontId="5" fillId="0" borderId="0" xfId="0" applyFont="1" applyFill="1" applyBorder="1" applyAlignment="1">
      <alignment horizontal="right" vertical="justify" wrapText="1"/>
    </xf>
    <xf numFmtId="0" fontId="5" fillId="0" borderId="0" xfId="0" applyFont="1" applyFill="1" applyBorder="1" applyAlignment="1">
      <alignment horizontal="left" vertical="justify" wrapText="1"/>
    </xf>
    <xf numFmtId="0" fontId="5" fillId="0" borderId="0" xfId="0" applyFont="1" applyFill="1" applyBorder="1" applyAlignment="1">
      <alignment horizontal="center" vertical="center" wrapText="1"/>
    </xf>
    <xf numFmtId="10" fontId="0" fillId="0" borderId="0" xfId="0" applyNumberFormat="1" applyAlignment="1">
      <alignment/>
    </xf>
    <xf numFmtId="0" fontId="12" fillId="0" borderId="16" xfId="51" applyFont="1" applyBorder="1" applyAlignment="1">
      <alignment horizontal="center" vertical="center"/>
      <protection/>
    </xf>
    <xf numFmtId="0" fontId="12" fillId="0" borderId="20" xfId="51" applyFont="1" applyBorder="1" applyAlignment="1">
      <alignment horizontal="center" vertical="center"/>
      <protection/>
    </xf>
    <xf numFmtId="0" fontId="12" fillId="0" borderId="10" xfId="51" applyFont="1" applyBorder="1" applyAlignment="1">
      <alignment horizontal="center" vertical="center"/>
      <protection/>
    </xf>
    <xf numFmtId="167" fontId="11" fillId="33" borderId="16" xfId="47" applyFont="1" applyFill="1" applyBorder="1" applyAlignment="1">
      <alignment/>
    </xf>
    <xf numFmtId="10" fontId="11" fillId="33" borderId="16" xfId="47" applyNumberFormat="1" applyFont="1" applyFill="1" applyBorder="1" applyAlignment="1">
      <alignment/>
    </xf>
    <xf numFmtId="0" fontId="13" fillId="33" borderId="16" xfId="54" applyFont="1" applyFill="1" applyBorder="1" applyAlignment="1">
      <alignment vertical="top"/>
      <protection/>
    </xf>
    <xf numFmtId="0" fontId="13" fillId="33" borderId="16" xfId="54" applyFont="1" applyFill="1" applyBorder="1" applyAlignment="1">
      <alignment horizontal="left" vertical="top"/>
      <protection/>
    </xf>
    <xf numFmtId="0" fontId="6" fillId="0" borderId="20" xfId="0" applyFont="1" applyFill="1" applyBorder="1" applyAlignment="1">
      <alignment horizontal="left" vertical="top" wrapText="1"/>
    </xf>
    <xf numFmtId="0" fontId="4" fillId="0" borderId="21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4" fontId="6" fillId="0" borderId="16" xfId="0" applyNumberFormat="1" applyFont="1" applyFill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0" fontId="12" fillId="0" borderId="17" xfId="51" applyFont="1" applyBorder="1" applyAlignment="1">
      <alignment horizontal="center" vertical="center"/>
      <protection/>
    </xf>
    <xf numFmtId="0" fontId="12" fillId="0" borderId="19" xfId="51" applyFont="1" applyBorder="1" applyAlignment="1">
      <alignment horizontal="center" vertical="center"/>
      <protection/>
    </xf>
    <xf numFmtId="0" fontId="8" fillId="0" borderId="16" xfId="52" applyFont="1" applyFill="1" applyBorder="1" applyAlignment="1">
      <alignment horizontal="center" vertical="top"/>
      <protection/>
    </xf>
    <xf numFmtId="0" fontId="8" fillId="0" borderId="17" xfId="52" applyFont="1" applyFill="1" applyBorder="1" applyAlignment="1">
      <alignment horizontal="center" vertical="top"/>
      <protection/>
    </xf>
    <xf numFmtId="0" fontId="11" fillId="0" borderId="14" xfId="54" applyFont="1" applyFill="1" applyBorder="1" applyAlignment="1">
      <alignment horizontal="center"/>
      <protection/>
    </xf>
    <xf numFmtId="0" fontId="11" fillId="0" borderId="0" xfId="54" applyFont="1" applyFill="1" applyBorder="1" applyAlignment="1">
      <alignment horizontal="center"/>
      <protection/>
    </xf>
    <xf numFmtId="0" fontId="11" fillId="0" borderId="11" xfId="54" applyFont="1" applyFill="1" applyBorder="1" applyAlignment="1">
      <alignment horizontal="center"/>
      <protection/>
    </xf>
    <xf numFmtId="4" fontId="8" fillId="0" borderId="17" xfId="53" applyNumberFormat="1" applyFont="1" applyBorder="1" applyAlignment="1">
      <alignment horizontal="center"/>
      <protection/>
    </xf>
    <xf numFmtId="4" fontId="8" fillId="0" borderId="19" xfId="53" applyNumberFormat="1" applyFont="1" applyBorder="1" applyAlignment="1">
      <alignment horizontal="center"/>
      <protection/>
    </xf>
    <xf numFmtId="4" fontId="11" fillId="0" borderId="24" xfId="54" applyNumberFormat="1" applyFont="1" applyFill="1" applyBorder="1" applyAlignment="1">
      <alignment horizontal="center" vertical="center" wrapText="1"/>
      <protection/>
    </xf>
    <xf numFmtId="4" fontId="11" fillId="0" borderId="15" xfId="54" applyNumberFormat="1" applyFont="1" applyFill="1" applyBorder="1" applyAlignment="1">
      <alignment horizontal="center" vertical="center" wrapText="1"/>
      <protection/>
    </xf>
    <xf numFmtId="0" fontId="8" fillId="0" borderId="17" xfId="54" applyFont="1" applyFill="1" applyBorder="1" applyAlignment="1">
      <alignment horizontal="center" vertical="center" wrapText="1"/>
      <protection/>
    </xf>
    <xf numFmtId="0" fontId="8" fillId="0" borderId="18" xfId="54" applyFont="1" applyFill="1" applyBorder="1" applyAlignment="1">
      <alignment horizontal="center" vertical="center" wrapText="1"/>
      <protection/>
    </xf>
    <xf numFmtId="0" fontId="8" fillId="0" borderId="19" xfId="54" applyFont="1" applyFill="1" applyBorder="1" applyAlignment="1">
      <alignment horizontal="center" vertical="center" wrapText="1"/>
      <protection/>
    </xf>
    <xf numFmtId="0" fontId="12" fillId="0" borderId="20" xfId="51" applyFont="1" applyBorder="1" applyAlignment="1">
      <alignment horizontal="center" vertical="center" wrapText="1"/>
      <protection/>
    </xf>
    <xf numFmtId="0" fontId="12" fillId="0" borderId="22" xfId="51" applyFont="1" applyBorder="1" applyAlignment="1">
      <alignment horizontal="center" vertical="center" wrapText="1"/>
      <protection/>
    </xf>
    <xf numFmtId="0" fontId="12" fillId="0" borderId="23" xfId="51" applyFont="1" applyBorder="1" applyAlignment="1">
      <alignment horizontal="center" vertical="center" wrapText="1"/>
      <protection/>
    </xf>
    <xf numFmtId="10" fontId="8" fillId="0" borderId="17" xfId="58" applyNumberFormat="1" applyFont="1" applyBorder="1" applyAlignment="1">
      <alignment horizontal="center"/>
    </xf>
    <xf numFmtId="10" fontId="8" fillId="0" borderId="19" xfId="58" applyNumberFormat="1" applyFont="1" applyBorder="1" applyAlignment="1">
      <alignment horizontal="center"/>
    </xf>
    <xf numFmtId="44" fontId="8" fillId="0" borderId="21" xfId="50" applyNumberFormat="1" applyFont="1" applyBorder="1" applyAlignment="1">
      <alignment horizontal="center" vertical="center" wrapText="1" readingOrder="1"/>
      <protection/>
    </xf>
    <xf numFmtId="44" fontId="8" fillId="0" borderId="13" xfId="50" applyNumberFormat="1" applyFont="1" applyBorder="1" applyAlignment="1">
      <alignment horizontal="center" vertical="center" wrapText="1" readingOrder="1"/>
      <protection/>
    </xf>
    <xf numFmtId="44" fontId="8" fillId="0" borderId="10" xfId="50" applyNumberFormat="1" applyFont="1" applyBorder="1" applyAlignment="1">
      <alignment horizontal="center" vertical="center" wrapText="1" readingOrder="1"/>
      <protection/>
    </xf>
    <xf numFmtId="44" fontId="8" fillId="0" borderId="14" xfId="50" applyNumberFormat="1" applyFont="1" applyBorder="1" applyAlignment="1">
      <alignment horizontal="center" vertical="center" wrapText="1" readingOrder="1"/>
      <protection/>
    </xf>
    <xf numFmtId="44" fontId="8" fillId="0" borderId="0" xfId="50" applyNumberFormat="1" applyFont="1" applyBorder="1" applyAlignment="1">
      <alignment horizontal="center" vertical="center" wrapText="1" readingOrder="1"/>
      <protection/>
    </xf>
    <xf numFmtId="44" fontId="8" fillId="0" borderId="11" xfId="50" applyNumberFormat="1" applyFont="1" applyBorder="1" applyAlignment="1">
      <alignment horizontal="center" vertical="center" wrapText="1" readingOrder="1"/>
      <protection/>
    </xf>
    <xf numFmtId="4" fontId="11" fillId="0" borderId="14" xfId="50" applyNumberFormat="1" applyFont="1" applyFill="1" applyBorder="1" applyAlignment="1">
      <alignment horizontal="center" vertical="center" wrapText="1" readingOrder="1"/>
      <protection/>
    </xf>
    <xf numFmtId="4" fontId="11" fillId="0" borderId="0" xfId="50" applyNumberFormat="1" applyFont="1" applyFill="1" applyBorder="1" applyAlignment="1">
      <alignment horizontal="center" vertical="center" wrapText="1" readingOrder="1"/>
      <protection/>
    </xf>
    <xf numFmtId="4" fontId="11" fillId="0" borderId="11" xfId="50" applyNumberFormat="1" applyFont="1" applyFill="1" applyBorder="1" applyAlignment="1">
      <alignment horizontal="center" vertical="center" wrapText="1" readingOrder="1"/>
      <protection/>
    </xf>
    <xf numFmtId="1" fontId="8" fillId="0" borderId="17" xfId="51" applyNumberFormat="1" applyFont="1" applyBorder="1" applyAlignment="1">
      <alignment horizontal="left" vertical="top"/>
      <protection/>
    </xf>
    <xf numFmtId="1" fontId="8" fillId="0" borderId="19" xfId="51" applyNumberFormat="1" applyFont="1" applyBorder="1" applyAlignment="1">
      <alignment horizontal="left" vertical="top"/>
      <protection/>
    </xf>
    <xf numFmtId="39" fontId="8" fillId="0" borderId="17" xfId="51" applyNumberFormat="1" applyFont="1" applyBorder="1" applyAlignment="1">
      <alignment horizontal="center"/>
      <protection/>
    </xf>
    <xf numFmtId="39" fontId="8" fillId="0" borderId="19" xfId="51" applyNumberFormat="1" applyFont="1" applyBorder="1" applyAlignment="1">
      <alignment horizontal="center"/>
      <protection/>
    </xf>
    <xf numFmtId="4" fontId="11" fillId="0" borderId="14" xfId="54" applyNumberFormat="1" applyFont="1" applyFill="1" applyBorder="1" applyAlignment="1">
      <alignment horizontal="center" vertical="center" wrapText="1"/>
      <protection/>
    </xf>
    <xf numFmtId="4" fontId="11" fillId="0" borderId="0" xfId="54" applyNumberFormat="1" applyFont="1" applyFill="1" applyBorder="1" applyAlignment="1">
      <alignment horizontal="center" vertical="center" wrapText="1"/>
      <protection/>
    </xf>
    <xf numFmtId="4" fontId="11" fillId="0" borderId="11" xfId="54" applyNumberFormat="1" applyFont="1" applyFill="1" applyBorder="1" applyAlignment="1">
      <alignment horizontal="center" vertical="center" wrapText="1"/>
      <protection/>
    </xf>
    <xf numFmtId="0" fontId="12" fillId="0" borderId="18" xfId="51" applyFont="1" applyBorder="1" applyAlignment="1">
      <alignment horizontal="center" vertical="center"/>
      <protection/>
    </xf>
    <xf numFmtId="0" fontId="8" fillId="0" borderId="17" xfId="51" applyFont="1" applyBorder="1" applyAlignment="1">
      <alignment horizontal="left" vertical="top"/>
      <protection/>
    </xf>
    <xf numFmtId="0" fontId="8" fillId="0" borderId="19" xfId="51" applyFont="1" applyBorder="1" applyAlignment="1">
      <alignment horizontal="left" vertical="top"/>
      <protection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Hyperlink" xfId="45"/>
    <cellStyle name="Followed Hyperlink" xfId="46"/>
    <cellStyle name="Currency" xfId="47"/>
    <cellStyle name="Currency [0]" xfId="48"/>
    <cellStyle name="Neutro" xfId="49"/>
    <cellStyle name="Normal 2 3" xfId="50"/>
    <cellStyle name="Normal_CRONOGRAMA" xfId="51"/>
    <cellStyle name="Normal_CRUZEI~1" xfId="52"/>
    <cellStyle name="Normal_Orçamento nº057-2003- Esc. Munic. AMPARO revisão" xfId="53"/>
    <cellStyle name="Normal_P_Getulio Vargas 2" xfId="54"/>
    <cellStyle name="Normal_RUAS 3,4,7 e 8 R-1" xfId="55"/>
    <cellStyle name="Nota" xfId="56"/>
    <cellStyle name="Percent" xfId="57"/>
    <cellStyle name="Porcentagem 2" xfId="58"/>
    <cellStyle name="Ruim" xfId="59"/>
    <cellStyle name="Saída" xfId="60"/>
    <cellStyle name="Comma [0]" xfId="61"/>
    <cellStyle name="Texto de Aviso" xfId="62"/>
    <cellStyle name="Texto Explicativo" xfId="63"/>
    <cellStyle name="Título" xfId="64"/>
    <cellStyle name="Título 1" xfId="65"/>
    <cellStyle name="Título 2" xfId="66"/>
    <cellStyle name="Título 3" xfId="67"/>
    <cellStyle name="Título 4" xfId="68"/>
    <cellStyle name="Total" xfId="69"/>
    <cellStyle name="Comma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38100</xdr:rowOff>
    </xdr:from>
    <xdr:to>
      <xdr:col>2</xdr:col>
      <xdr:colOff>5448300</xdr:colOff>
      <xdr:row>6</xdr:row>
      <xdr:rowOff>133350</xdr:rowOff>
    </xdr:to>
    <xdr:pic>
      <xdr:nvPicPr>
        <xdr:cNvPr id="1" name="Imagem 1" descr="C:\Users\Alexandre\Desktop\Figura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71818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38100</xdr:rowOff>
    </xdr:from>
    <xdr:to>
      <xdr:col>2</xdr:col>
      <xdr:colOff>5448300</xdr:colOff>
      <xdr:row>6</xdr:row>
      <xdr:rowOff>133350</xdr:rowOff>
    </xdr:to>
    <xdr:pic>
      <xdr:nvPicPr>
        <xdr:cNvPr id="1" name="Imagem 1" descr="C:\Users\Alexandre\Desktop\Figura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71818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876300</xdr:colOff>
      <xdr:row>1</xdr:row>
      <xdr:rowOff>190500</xdr:rowOff>
    </xdr:from>
    <xdr:to>
      <xdr:col>1</xdr:col>
      <xdr:colOff>3162300</xdr:colOff>
      <xdr:row>5</xdr:row>
      <xdr:rowOff>209550</xdr:rowOff>
    </xdr:to>
    <xdr:sp>
      <xdr:nvSpPr>
        <xdr:cNvPr id="1" name="Picture 2"/>
        <xdr:cNvSpPr>
          <a:spLocks noChangeAspect="1"/>
        </xdr:cNvSpPr>
      </xdr:nvSpPr>
      <xdr:spPr>
        <a:xfrm>
          <a:off x="1485900" y="523875"/>
          <a:ext cx="22860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1800225</xdr:colOff>
      <xdr:row>1</xdr:row>
      <xdr:rowOff>200025</xdr:rowOff>
    </xdr:from>
    <xdr:to>
      <xdr:col>8</xdr:col>
      <xdr:colOff>0</xdr:colOff>
      <xdr:row>5</xdr:row>
      <xdr:rowOff>228600</xdr:rowOff>
    </xdr:to>
    <xdr:sp>
      <xdr:nvSpPr>
        <xdr:cNvPr id="2" name="Picture 2"/>
        <xdr:cNvSpPr>
          <a:spLocks noChangeAspect="1"/>
        </xdr:cNvSpPr>
      </xdr:nvSpPr>
      <xdr:spPr>
        <a:xfrm>
          <a:off x="13249275" y="533400"/>
          <a:ext cx="0" cy="1323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38100</xdr:rowOff>
    </xdr:from>
    <xdr:to>
      <xdr:col>2</xdr:col>
      <xdr:colOff>5448300</xdr:colOff>
      <xdr:row>6</xdr:row>
      <xdr:rowOff>133350</xdr:rowOff>
    </xdr:to>
    <xdr:pic>
      <xdr:nvPicPr>
        <xdr:cNvPr id="1" name="Imagem 1" descr="C:\Users\Alexandre\Desktop\Figura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71818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5"/>
  <sheetViews>
    <sheetView tabSelected="1" view="pageBreakPreview" zoomScale="75" zoomScaleNormal="75" zoomScaleSheetLayoutView="75" zoomScalePageLayoutView="0" workbookViewId="0" topLeftCell="A222">
      <selection activeCell="B234" sqref="B234"/>
    </sheetView>
  </sheetViews>
  <sheetFormatPr defaultColWidth="9.140625" defaultRowHeight="12.75"/>
  <cols>
    <col min="1" max="1" width="6.8515625" style="36" customWidth="1"/>
    <col min="2" max="2" width="20.140625" style="35" bestFit="1" customWidth="1"/>
    <col min="3" max="3" width="94.7109375" style="26" customWidth="1"/>
    <col min="4" max="4" width="10.7109375" style="40" customWidth="1"/>
    <col min="5" max="5" width="14.8515625" style="26" customWidth="1"/>
    <col min="6" max="6" width="12.7109375" style="26" bestFit="1" customWidth="1"/>
    <col min="7" max="7" width="12.140625" style="26" bestFit="1" customWidth="1"/>
    <col min="8" max="8" width="14.8515625" style="26" bestFit="1" customWidth="1"/>
    <col min="9" max="9" width="19.00390625" style="27" customWidth="1"/>
    <col min="10" max="10" width="14.28125" style="2" bestFit="1" customWidth="1"/>
    <col min="11" max="11" width="10.28125" style="2" bestFit="1" customWidth="1"/>
    <col min="12" max="12" width="45.7109375" style="2" customWidth="1"/>
    <col min="13" max="16384" width="9.140625" style="2" customWidth="1"/>
  </cols>
  <sheetData>
    <row r="1" spans="1:9" ht="15">
      <c r="A1" s="118"/>
      <c r="B1" s="119"/>
      <c r="C1" s="119"/>
      <c r="D1" s="119"/>
      <c r="E1" s="119"/>
      <c r="F1" s="119"/>
      <c r="G1" s="44"/>
      <c r="H1" s="44"/>
      <c r="I1" s="1"/>
    </row>
    <row r="2" spans="1:9" ht="15">
      <c r="A2" s="120"/>
      <c r="B2" s="121"/>
      <c r="C2" s="121"/>
      <c r="D2" s="121"/>
      <c r="E2" s="121"/>
      <c r="F2" s="121"/>
      <c r="G2" s="45"/>
      <c r="H2" s="45"/>
      <c r="I2" s="3"/>
    </row>
    <row r="3" spans="1:9" ht="15">
      <c r="A3" s="122"/>
      <c r="B3" s="123"/>
      <c r="C3" s="123"/>
      <c r="D3" s="123"/>
      <c r="E3" s="124"/>
      <c r="F3" s="124"/>
      <c r="G3" s="46"/>
      <c r="H3" s="46"/>
      <c r="I3" s="4"/>
    </row>
    <row r="4" spans="1:9" ht="15">
      <c r="A4" s="30"/>
      <c r="B4" s="32"/>
      <c r="C4" s="9"/>
      <c r="D4" s="47" t="s">
        <v>33</v>
      </c>
      <c r="E4" s="6"/>
      <c r="F4" s="5"/>
      <c r="G4" s="5"/>
      <c r="H4" s="5"/>
      <c r="I4" s="1"/>
    </row>
    <row r="5" spans="2:9" ht="15">
      <c r="B5" s="34"/>
      <c r="C5" s="3"/>
      <c r="D5" s="41" t="s">
        <v>39</v>
      </c>
      <c r="E5" s="7"/>
      <c r="F5" s="8">
        <v>44650</v>
      </c>
      <c r="G5" s="8"/>
      <c r="H5" s="8"/>
      <c r="I5" s="3"/>
    </row>
    <row r="6" spans="1:9" ht="14.25">
      <c r="A6" s="37" t="s">
        <v>20</v>
      </c>
      <c r="B6" s="32"/>
      <c r="C6" s="3"/>
      <c r="D6" s="42" t="s">
        <v>550</v>
      </c>
      <c r="E6" s="7"/>
      <c r="F6" s="10" t="s">
        <v>553</v>
      </c>
      <c r="G6" s="10"/>
      <c r="H6" s="10"/>
      <c r="I6" s="3"/>
    </row>
    <row r="7" spans="2:9" ht="15">
      <c r="B7" s="34"/>
      <c r="C7" s="3"/>
      <c r="D7" s="42" t="s">
        <v>551</v>
      </c>
      <c r="E7" s="7"/>
      <c r="F7" s="10" t="s">
        <v>553</v>
      </c>
      <c r="G7" s="10"/>
      <c r="H7" s="10"/>
      <c r="I7" s="3"/>
    </row>
    <row r="8" spans="1:9" ht="13.5">
      <c r="A8" s="11" t="s">
        <v>547</v>
      </c>
      <c r="B8" s="32"/>
      <c r="C8" s="3"/>
      <c r="D8" s="42" t="s">
        <v>0</v>
      </c>
      <c r="E8" s="7"/>
      <c r="F8" s="10" t="s">
        <v>32</v>
      </c>
      <c r="G8" s="10"/>
      <c r="H8" s="10"/>
      <c r="I8" s="3"/>
    </row>
    <row r="9" spans="1:9" ht="13.5">
      <c r="A9" s="11" t="s">
        <v>548</v>
      </c>
      <c r="B9" s="32"/>
      <c r="C9" s="3"/>
      <c r="D9" s="43" t="s">
        <v>552</v>
      </c>
      <c r="E9" s="13"/>
      <c r="F9" s="12" t="s">
        <v>554</v>
      </c>
      <c r="G9" s="12"/>
      <c r="H9" s="12"/>
      <c r="I9" s="4"/>
    </row>
    <row r="10" spans="1:9" ht="13.5">
      <c r="A10" s="11" t="s">
        <v>549</v>
      </c>
      <c r="B10" s="32"/>
      <c r="C10" s="9"/>
      <c r="D10" s="42"/>
      <c r="E10" s="7"/>
      <c r="F10" s="9"/>
      <c r="G10" s="9"/>
      <c r="H10" s="9"/>
      <c r="I10" s="3"/>
    </row>
    <row r="11" spans="1:9" ht="13.5">
      <c r="A11" s="50"/>
      <c r="B11" s="51"/>
      <c r="C11" s="56" t="s">
        <v>555</v>
      </c>
      <c r="D11" s="52"/>
      <c r="E11" s="53"/>
      <c r="F11" s="54"/>
      <c r="G11" s="54"/>
      <c r="H11" s="54"/>
      <c r="I11" s="55"/>
    </row>
    <row r="12" spans="1:9" ht="12.75" customHeight="1">
      <c r="A12" s="125" t="s">
        <v>7</v>
      </c>
      <c r="B12" s="126" t="s">
        <v>8</v>
      </c>
      <c r="C12" s="126" t="s">
        <v>13</v>
      </c>
      <c r="D12" s="125" t="s">
        <v>14</v>
      </c>
      <c r="E12" s="127" t="s">
        <v>15</v>
      </c>
      <c r="F12" s="128" t="s">
        <v>6</v>
      </c>
      <c r="G12" s="128"/>
      <c r="H12" s="128"/>
      <c r="I12" s="128"/>
    </row>
    <row r="13" spans="1:9" ht="12.75" customHeight="1">
      <c r="A13" s="125"/>
      <c r="B13" s="126"/>
      <c r="C13" s="126"/>
      <c r="D13" s="125"/>
      <c r="E13" s="127"/>
      <c r="F13" s="15" t="s">
        <v>28</v>
      </c>
      <c r="G13" s="15" t="s">
        <v>29</v>
      </c>
      <c r="H13" s="15" t="s">
        <v>30</v>
      </c>
      <c r="I13" s="14" t="s">
        <v>31</v>
      </c>
    </row>
    <row r="14" spans="1:9" ht="14.25" customHeight="1">
      <c r="A14" s="38" t="s">
        <v>27</v>
      </c>
      <c r="B14" s="33"/>
      <c r="C14" s="117" t="s">
        <v>17</v>
      </c>
      <c r="D14" s="117"/>
      <c r="E14" s="117"/>
      <c r="F14" s="117"/>
      <c r="G14" s="117"/>
      <c r="H14" s="117"/>
      <c r="I14" s="117"/>
    </row>
    <row r="15" spans="1:11" s="65" customFormat="1" ht="27">
      <c r="A15" s="83" t="s">
        <v>3</v>
      </c>
      <c r="B15" s="84" t="s">
        <v>46</v>
      </c>
      <c r="C15" s="85" t="s">
        <v>47</v>
      </c>
      <c r="D15" s="86" t="s">
        <v>10</v>
      </c>
      <c r="E15" s="87">
        <v>6</v>
      </c>
      <c r="F15" s="88">
        <f>TRUNC(G24,2)</f>
        <v>473.96</v>
      </c>
      <c r="G15" s="88">
        <f>TRUNC(F15*1.2882,2)</f>
        <v>610.55</v>
      </c>
      <c r="H15" s="88">
        <f>TRUNC(F15*E15,2)</f>
        <v>2843.76</v>
      </c>
      <c r="I15" s="89">
        <f>TRUNC(E15*G15,2)</f>
        <v>3663.3</v>
      </c>
      <c r="K15" s="66"/>
    </row>
    <row r="16" spans="1:11" s="28" customFormat="1" ht="27">
      <c r="A16" s="48"/>
      <c r="B16" s="25" t="s">
        <v>11</v>
      </c>
      <c r="C16" s="16" t="s">
        <v>41</v>
      </c>
      <c r="D16" s="49" t="s">
        <v>19</v>
      </c>
      <c r="E16" s="17">
        <v>0.3</v>
      </c>
      <c r="F16" s="18">
        <f>TRUNC(19.43,2)</f>
        <v>19.43</v>
      </c>
      <c r="G16" s="18">
        <f aca="true" t="shared" si="0" ref="G16:G23">TRUNC(E16*F16,2)</f>
        <v>5.82</v>
      </c>
      <c r="H16" s="18"/>
      <c r="I16" s="19"/>
      <c r="K16" s="20"/>
    </row>
    <row r="17" spans="1:11" s="28" customFormat="1" ht="13.5">
      <c r="A17" s="48"/>
      <c r="B17" s="25" t="s">
        <v>48</v>
      </c>
      <c r="C17" s="16" t="s">
        <v>49</v>
      </c>
      <c r="D17" s="49" t="s">
        <v>9</v>
      </c>
      <c r="E17" s="17">
        <v>9.2</v>
      </c>
      <c r="F17" s="18">
        <f>TRUNC(5.83,2)</f>
        <v>5.83</v>
      </c>
      <c r="G17" s="18">
        <f t="shared" si="0"/>
        <v>53.63</v>
      </c>
      <c r="H17" s="18"/>
      <c r="I17" s="19"/>
      <c r="K17" s="20"/>
    </row>
    <row r="18" spans="1:11" s="28" customFormat="1" ht="13.5">
      <c r="A18" s="48"/>
      <c r="B18" s="25" t="s">
        <v>50</v>
      </c>
      <c r="C18" s="16" t="s">
        <v>51</v>
      </c>
      <c r="D18" s="49" t="s">
        <v>52</v>
      </c>
      <c r="E18" s="17">
        <v>0.2</v>
      </c>
      <c r="F18" s="18">
        <f>TRUNC(70.36,2)</f>
        <v>70.36</v>
      </c>
      <c r="G18" s="18">
        <f t="shared" si="0"/>
        <v>14.07</v>
      </c>
      <c r="H18" s="18"/>
      <c r="I18" s="19"/>
      <c r="K18" s="20"/>
    </row>
    <row r="19" spans="1:11" s="28" customFormat="1" ht="27">
      <c r="A19" s="48"/>
      <c r="B19" s="25" t="s">
        <v>53</v>
      </c>
      <c r="C19" s="16" t="s">
        <v>54</v>
      </c>
      <c r="D19" s="49" t="s">
        <v>19</v>
      </c>
      <c r="E19" s="17">
        <v>5</v>
      </c>
      <c r="F19" s="18">
        <f>TRUNC(21.4377,2)</f>
        <v>21.43</v>
      </c>
      <c r="G19" s="18">
        <f t="shared" si="0"/>
        <v>107.15</v>
      </c>
      <c r="H19" s="18"/>
      <c r="I19" s="19"/>
      <c r="K19" s="20"/>
    </row>
    <row r="20" spans="1:11" s="28" customFormat="1" ht="27">
      <c r="A20" s="48"/>
      <c r="B20" s="25" t="s">
        <v>21</v>
      </c>
      <c r="C20" s="16" t="s">
        <v>22</v>
      </c>
      <c r="D20" s="49" t="s">
        <v>4</v>
      </c>
      <c r="E20" s="17">
        <v>2.06</v>
      </c>
      <c r="F20" s="18">
        <f>TRUNC(14.34,2)</f>
        <v>14.34</v>
      </c>
      <c r="G20" s="18">
        <f t="shared" si="0"/>
        <v>29.54</v>
      </c>
      <c r="H20" s="18"/>
      <c r="I20" s="19"/>
      <c r="K20" s="20"/>
    </row>
    <row r="21" spans="1:11" s="28" customFormat="1" ht="13.5">
      <c r="A21" s="48"/>
      <c r="B21" s="25" t="s">
        <v>55</v>
      </c>
      <c r="C21" s="16" t="s">
        <v>56</v>
      </c>
      <c r="D21" s="49" t="s">
        <v>4</v>
      </c>
      <c r="E21" s="17">
        <v>4.12</v>
      </c>
      <c r="F21" s="18">
        <f>TRUNC(19.81,2)</f>
        <v>19.81</v>
      </c>
      <c r="G21" s="18">
        <f t="shared" si="0"/>
        <v>81.61</v>
      </c>
      <c r="H21" s="18"/>
      <c r="I21" s="19"/>
      <c r="K21" s="20"/>
    </row>
    <row r="22" spans="1:11" s="28" customFormat="1" ht="27">
      <c r="A22" s="48"/>
      <c r="B22" s="25" t="s">
        <v>57</v>
      </c>
      <c r="C22" s="16" t="s">
        <v>58</v>
      </c>
      <c r="D22" s="49" t="s">
        <v>4</v>
      </c>
      <c r="E22" s="17">
        <v>2.06</v>
      </c>
      <c r="F22" s="18">
        <f>TRUNC(21.33,2)</f>
        <v>21.33</v>
      </c>
      <c r="G22" s="18">
        <f t="shared" si="0"/>
        <v>43.93</v>
      </c>
      <c r="H22" s="18"/>
      <c r="I22" s="19"/>
      <c r="K22" s="20"/>
    </row>
    <row r="23" spans="1:11" s="28" customFormat="1" ht="13.5">
      <c r="A23" s="48"/>
      <c r="B23" s="25" t="s">
        <v>59</v>
      </c>
      <c r="C23" s="16" t="s">
        <v>60</v>
      </c>
      <c r="D23" s="49" t="s">
        <v>4</v>
      </c>
      <c r="E23" s="17">
        <v>1</v>
      </c>
      <c r="F23" s="18">
        <f>TRUNC(138.2193,2)</f>
        <v>138.21</v>
      </c>
      <c r="G23" s="18">
        <f t="shared" si="0"/>
        <v>138.21</v>
      </c>
      <c r="H23" s="18"/>
      <c r="I23" s="19"/>
      <c r="K23" s="20"/>
    </row>
    <row r="24" spans="1:11" s="28" customFormat="1" ht="13.5">
      <c r="A24" s="48"/>
      <c r="B24" s="25"/>
      <c r="C24" s="16"/>
      <c r="D24" s="49"/>
      <c r="E24" s="17" t="s">
        <v>16</v>
      </c>
      <c r="F24" s="18"/>
      <c r="G24" s="18">
        <f>TRUNC(SUM(G16:G23),2)</f>
        <v>473.96</v>
      </c>
      <c r="H24" s="18"/>
      <c r="I24" s="19"/>
      <c r="K24" s="20"/>
    </row>
    <row r="25" spans="1:11" s="65" customFormat="1" ht="41.25">
      <c r="A25" s="83" t="s">
        <v>260</v>
      </c>
      <c r="B25" s="84" t="s">
        <v>61</v>
      </c>
      <c r="C25" s="85" t="s">
        <v>62</v>
      </c>
      <c r="D25" s="86" t="s">
        <v>14</v>
      </c>
      <c r="E25" s="87">
        <v>1</v>
      </c>
      <c r="F25" s="88">
        <f>TRUNC(G42,2)</f>
        <v>4169.39</v>
      </c>
      <c r="G25" s="88">
        <f>TRUNC(F25*1.2882,2)</f>
        <v>5371</v>
      </c>
      <c r="H25" s="88">
        <f>TRUNC(F25*E25,2)</f>
        <v>4169.39</v>
      </c>
      <c r="I25" s="89">
        <f>TRUNC(E25*G25,2)</f>
        <v>5371</v>
      </c>
      <c r="K25" s="66"/>
    </row>
    <row r="26" spans="1:11" s="28" customFormat="1" ht="13.5">
      <c r="A26" s="48"/>
      <c r="B26" s="25" t="s">
        <v>63</v>
      </c>
      <c r="C26" s="16" t="s">
        <v>64</v>
      </c>
      <c r="D26" s="49" t="s">
        <v>14</v>
      </c>
      <c r="E26" s="17">
        <v>1</v>
      </c>
      <c r="F26" s="18">
        <f>TRUNC(21,2)</f>
        <v>21</v>
      </c>
      <c r="G26" s="18">
        <f aca="true" t="shared" si="1" ref="G26:G41">TRUNC(E26*F26,2)</f>
        <v>21</v>
      </c>
      <c r="H26" s="18"/>
      <c r="I26" s="19"/>
      <c r="K26" s="20"/>
    </row>
    <row r="27" spans="1:11" s="28" customFormat="1" ht="13.5">
      <c r="A27" s="48"/>
      <c r="B27" s="25" t="s">
        <v>48</v>
      </c>
      <c r="C27" s="16" t="s">
        <v>49</v>
      </c>
      <c r="D27" s="49" t="s">
        <v>9</v>
      </c>
      <c r="E27" s="17">
        <v>25</v>
      </c>
      <c r="F27" s="18">
        <f>TRUNC(5.83,2)</f>
        <v>5.83</v>
      </c>
      <c r="G27" s="18">
        <f t="shared" si="1"/>
        <v>145.75</v>
      </c>
      <c r="H27" s="18"/>
      <c r="I27" s="19"/>
      <c r="K27" s="20"/>
    </row>
    <row r="28" spans="1:11" s="28" customFormat="1" ht="27">
      <c r="A28" s="48"/>
      <c r="B28" s="25" t="s">
        <v>11</v>
      </c>
      <c r="C28" s="16" t="s">
        <v>41</v>
      </c>
      <c r="D28" s="49" t="s">
        <v>19</v>
      </c>
      <c r="E28" s="17">
        <v>1</v>
      </c>
      <c r="F28" s="18">
        <f>TRUNC(19.43,2)</f>
        <v>19.43</v>
      </c>
      <c r="G28" s="18">
        <f t="shared" si="1"/>
        <v>19.43</v>
      </c>
      <c r="H28" s="18"/>
      <c r="I28" s="19"/>
      <c r="K28" s="20"/>
    </row>
    <row r="29" spans="1:11" s="28" customFormat="1" ht="13.5">
      <c r="A29" s="48"/>
      <c r="B29" s="25" t="s">
        <v>65</v>
      </c>
      <c r="C29" s="16" t="s">
        <v>66</v>
      </c>
      <c r="D29" s="49" t="s">
        <v>14</v>
      </c>
      <c r="E29" s="17">
        <v>30</v>
      </c>
      <c r="F29" s="18">
        <f>TRUNC(0.73,2)</f>
        <v>0.73</v>
      </c>
      <c r="G29" s="18">
        <f t="shared" si="1"/>
        <v>21.9</v>
      </c>
      <c r="H29" s="18"/>
      <c r="I29" s="19"/>
      <c r="K29" s="20"/>
    </row>
    <row r="30" spans="1:11" s="28" customFormat="1" ht="27">
      <c r="A30" s="48"/>
      <c r="B30" s="25" t="s">
        <v>67</v>
      </c>
      <c r="C30" s="16" t="s">
        <v>68</v>
      </c>
      <c r="D30" s="49" t="s">
        <v>14</v>
      </c>
      <c r="E30" s="17">
        <v>1</v>
      </c>
      <c r="F30" s="18">
        <f>TRUNC(28.94,2)</f>
        <v>28.94</v>
      </c>
      <c r="G30" s="18">
        <f t="shared" si="1"/>
        <v>28.94</v>
      </c>
      <c r="H30" s="18"/>
      <c r="I30" s="19"/>
      <c r="K30" s="20"/>
    </row>
    <row r="31" spans="1:11" s="28" customFormat="1" ht="13.5">
      <c r="A31" s="48"/>
      <c r="B31" s="25" t="s">
        <v>69</v>
      </c>
      <c r="C31" s="16" t="s">
        <v>70</v>
      </c>
      <c r="D31" s="49" t="s">
        <v>9</v>
      </c>
      <c r="E31" s="17">
        <v>30</v>
      </c>
      <c r="F31" s="18">
        <f>TRUNC(30.75,2)</f>
        <v>30.75</v>
      </c>
      <c r="G31" s="18">
        <f t="shared" si="1"/>
        <v>922.5</v>
      </c>
      <c r="H31" s="18"/>
      <c r="I31" s="19"/>
      <c r="K31" s="20"/>
    </row>
    <row r="32" spans="1:11" s="28" customFormat="1" ht="13.5">
      <c r="A32" s="48"/>
      <c r="B32" s="25" t="s">
        <v>71</v>
      </c>
      <c r="C32" s="16" t="s">
        <v>72</v>
      </c>
      <c r="D32" s="49" t="s">
        <v>9</v>
      </c>
      <c r="E32" s="17">
        <v>3.44</v>
      </c>
      <c r="F32" s="18">
        <f>TRUNC(18,2)</f>
        <v>18</v>
      </c>
      <c r="G32" s="18">
        <f t="shared" si="1"/>
        <v>61.92</v>
      </c>
      <c r="H32" s="18"/>
      <c r="I32" s="19"/>
      <c r="K32" s="20"/>
    </row>
    <row r="33" spans="1:11" s="28" customFormat="1" ht="13.5">
      <c r="A33" s="48"/>
      <c r="B33" s="25" t="s">
        <v>73</v>
      </c>
      <c r="C33" s="16" t="s">
        <v>74</v>
      </c>
      <c r="D33" s="49" t="s">
        <v>14</v>
      </c>
      <c r="E33" s="17">
        <v>1</v>
      </c>
      <c r="F33" s="18">
        <f>TRUNC(391.3,2)</f>
        <v>391.3</v>
      </c>
      <c r="G33" s="18">
        <f t="shared" si="1"/>
        <v>391.3</v>
      </c>
      <c r="H33" s="18"/>
      <c r="I33" s="19"/>
      <c r="K33" s="20"/>
    </row>
    <row r="34" spans="1:11" s="28" customFormat="1" ht="27">
      <c r="A34" s="48"/>
      <c r="B34" s="25" t="s">
        <v>75</v>
      </c>
      <c r="C34" s="16" t="s">
        <v>76</v>
      </c>
      <c r="D34" s="49" t="s">
        <v>4</v>
      </c>
      <c r="E34" s="17">
        <v>11.33</v>
      </c>
      <c r="F34" s="18">
        <f>TRUNC(19.81,2)</f>
        <v>19.81</v>
      </c>
      <c r="G34" s="18">
        <f t="shared" si="1"/>
        <v>224.44</v>
      </c>
      <c r="H34" s="18"/>
      <c r="I34" s="19"/>
      <c r="K34" s="20"/>
    </row>
    <row r="35" spans="1:11" s="28" customFormat="1" ht="27">
      <c r="A35" s="48"/>
      <c r="B35" s="25" t="s">
        <v>57</v>
      </c>
      <c r="C35" s="16" t="s">
        <v>58</v>
      </c>
      <c r="D35" s="49" t="s">
        <v>4</v>
      </c>
      <c r="E35" s="17">
        <v>8.24</v>
      </c>
      <c r="F35" s="18">
        <f>TRUNC(21.33,2)</f>
        <v>21.33</v>
      </c>
      <c r="G35" s="18">
        <f t="shared" si="1"/>
        <v>175.75</v>
      </c>
      <c r="H35" s="18"/>
      <c r="I35" s="19"/>
      <c r="K35" s="20"/>
    </row>
    <row r="36" spans="1:11" s="28" customFormat="1" ht="13.5">
      <c r="A36" s="48"/>
      <c r="B36" s="25" t="s">
        <v>23</v>
      </c>
      <c r="C36" s="16" t="s">
        <v>24</v>
      </c>
      <c r="D36" s="49" t="s">
        <v>4</v>
      </c>
      <c r="E36" s="17">
        <v>8.24</v>
      </c>
      <c r="F36" s="18">
        <f>TRUNC(19.81,2)</f>
        <v>19.81</v>
      </c>
      <c r="G36" s="18">
        <f t="shared" si="1"/>
        <v>163.23</v>
      </c>
      <c r="H36" s="18"/>
      <c r="I36" s="19"/>
      <c r="K36" s="20"/>
    </row>
    <row r="37" spans="1:11" s="28" customFormat="1" ht="27">
      <c r="A37" s="48"/>
      <c r="B37" s="25" t="s">
        <v>21</v>
      </c>
      <c r="C37" s="16" t="s">
        <v>22</v>
      </c>
      <c r="D37" s="49" t="s">
        <v>4</v>
      </c>
      <c r="E37" s="17">
        <v>8.24</v>
      </c>
      <c r="F37" s="18">
        <f>TRUNC(14.34,2)</f>
        <v>14.34</v>
      </c>
      <c r="G37" s="18">
        <f t="shared" si="1"/>
        <v>118.16</v>
      </c>
      <c r="H37" s="18"/>
      <c r="I37" s="19"/>
      <c r="K37" s="20"/>
    </row>
    <row r="38" spans="1:11" s="28" customFormat="1" ht="27">
      <c r="A38" s="48"/>
      <c r="B38" s="25" t="s">
        <v>77</v>
      </c>
      <c r="C38" s="16" t="s">
        <v>78</v>
      </c>
      <c r="D38" s="49" t="s">
        <v>14</v>
      </c>
      <c r="E38" s="17">
        <v>1</v>
      </c>
      <c r="F38" s="18">
        <f>TRUNC(990.4339,2)</f>
        <v>990.43</v>
      </c>
      <c r="G38" s="18">
        <f t="shared" si="1"/>
        <v>990.43</v>
      </c>
      <c r="H38" s="18"/>
      <c r="I38" s="19"/>
      <c r="K38" s="20"/>
    </row>
    <row r="39" spans="1:11" s="28" customFormat="1" ht="13.5">
      <c r="A39" s="48"/>
      <c r="B39" s="25" t="s">
        <v>79</v>
      </c>
      <c r="C39" s="16" t="s">
        <v>80</v>
      </c>
      <c r="D39" s="49" t="s">
        <v>10</v>
      </c>
      <c r="E39" s="17">
        <v>8</v>
      </c>
      <c r="F39" s="18">
        <f>TRUNC(31.0531,2)</f>
        <v>31.05</v>
      </c>
      <c r="G39" s="18">
        <f t="shared" si="1"/>
        <v>248.4</v>
      </c>
      <c r="H39" s="18"/>
      <c r="I39" s="19"/>
      <c r="K39" s="20"/>
    </row>
    <row r="40" spans="1:11" s="28" customFormat="1" ht="13.5">
      <c r="A40" s="48"/>
      <c r="B40" s="25" t="s">
        <v>81</v>
      </c>
      <c r="C40" s="16" t="s">
        <v>82</v>
      </c>
      <c r="D40" s="49" t="s">
        <v>83</v>
      </c>
      <c r="E40" s="17">
        <v>0.018</v>
      </c>
      <c r="F40" s="18">
        <f>TRUNC(398.1681,2)</f>
        <v>398.16</v>
      </c>
      <c r="G40" s="18">
        <f t="shared" si="1"/>
        <v>7.16</v>
      </c>
      <c r="H40" s="18"/>
      <c r="I40" s="19"/>
      <c r="K40" s="20"/>
    </row>
    <row r="41" spans="1:11" s="28" customFormat="1" ht="13.5">
      <c r="A41" s="48"/>
      <c r="B41" s="25" t="s">
        <v>84</v>
      </c>
      <c r="C41" s="16" t="s">
        <v>85</v>
      </c>
      <c r="D41" s="49" t="s">
        <v>14</v>
      </c>
      <c r="E41" s="17">
        <v>1</v>
      </c>
      <c r="F41" s="18">
        <f>TRUNC(629.0802,2)</f>
        <v>629.08</v>
      </c>
      <c r="G41" s="18">
        <f t="shared" si="1"/>
        <v>629.08</v>
      </c>
      <c r="H41" s="18"/>
      <c r="I41" s="19"/>
      <c r="K41" s="20"/>
    </row>
    <row r="42" spans="1:11" s="28" customFormat="1" ht="13.5">
      <c r="A42" s="48"/>
      <c r="B42" s="25"/>
      <c r="C42" s="16"/>
      <c r="D42" s="49"/>
      <c r="E42" s="17" t="s">
        <v>16</v>
      </c>
      <c r="F42" s="18"/>
      <c r="G42" s="18">
        <f>TRUNC(SUM(G26:G41),2)</f>
        <v>4169.39</v>
      </c>
      <c r="H42" s="18"/>
      <c r="I42" s="19"/>
      <c r="K42" s="20"/>
    </row>
    <row r="43" spans="1:11" s="65" customFormat="1" ht="41.25">
      <c r="A43" s="83" t="s">
        <v>5</v>
      </c>
      <c r="B43" s="84" t="s">
        <v>86</v>
      </c>
      <c r="C43" s="85" t="s">
        <v>87</v>
      </c>
      <c r="D43" s="86" t="s">
        <v>14</v>
      </c>
      <c r="E43" s="87">
        <v>1</v>
      </c>
      <c r="F43" s="88">
        <f>TRUNC(G57,2)</f>
        <v>2176.28</v>
      </c>
      <c r="G43" s="88">
        <f>TRUNC(F43*1.2882,2)</f>
        <v>2803.48</v>
      </c>
      <c r="H43" s="88">
        <f>TRUNC(F43*E43,2)</f>
        <v>2176.28</v>
      </c>
      <c r="I43" s="89">
        <f>TRUNC(E43*G43,2)</f>
        <v>2803.48</v>
      </c>
      <c r="K43" s="66"/>
    </row>
    <row r="44" spans="1:11" s="28" customFormat="1" ht="13.5">
      <c r="A44" s="48"/>
      <c r="B44" s="25" t="s">
        <v>88</v>
      </c>
      <c r="C44" s="16" t="s">
        <v>89</v>
      </c>
      <c r="D44" s="49" t="s">
        <v>14</v>
      </c>
      <c r="E44" s="17">
        <v>1</v>
      </c>
      <c r="F44" s="18">
        <f>TRUNC(2.06,2)</f>
        <v>2.06</v>
      </c>
      <c r="G44" s="18">
        <f aca="true" t="shared" si="2" ref="G44:G56">TRUNC(E44*F44,2)</f>
        <v>2.06</v>
      </c>
      <c r="H44" s="18"/>
      <c r="I44" s="19"/>
      <c r="K44" s="20"/>
    </row>
    <row r="45" spans="1:11" s="28" customFormat="1" ht="13.5">
      <c r="A45" s="48"/>
      <c r="B45" s="25" t="s">
        <v>90</v>
      </c>
      <c r="C45" s="16" t="s">
        <v>91</v>
      </c>
      <c r="D45" s="49" t="s">
        <v>14</v>
      </c>
      <c r="E45" s="17">
        <v>4</v>
      </c>
      <c r="F45" s="18">
        <f>TRUNC(27.2,2)</f>
        <v>27.2</v>
      </c>
      <c r="G45" s="18">
        <f t="shared" si="2"/>
        <v>108.8</v>
      </c>
      <c r="H45" s="18"/>
      <c r="I45" s="19"/>
      <c r="K45" s="20"/>
    </row>
    <row r="46" spans="1:11" s="28" customFormat="1" ht="13.5">
      <c r="A46" s="48"/>
      <c r="B46" s="25" t="s">
        <v>92</v>
      </c>
      <c r="C46" s="16" t="s">
        <v>93</v>
      </c>
      <c r="D46" s="49" t="s">
        <v>14</v>
      </c>
      <c r="E46" s="17">
        <v>4</v>
      </c>
      <c r="F46" s="18">
        <f>TRUNC(5.45,2)</f>
        <v>5.45</v>
      </c>
      <c r="G46" s="18">
        <f t="shared" si="2"/>
        <v>21.8</v>
      </c>
      <c r="H46" s="18"/>
      <c r="I46" s="19"/>
      <c r="K46" s="20"/>
    </row>
    <row r="47" spans="1:11" s="28" customFormat="1" ht="13.5">
      <c r="A47" s="48"/>
      <c r="B47" s="25" t="s">
        <v>94</v>
      </c>
      <c r="C47" s="16" t="s">
        <v>95</v>
      </c>
      <c r="D47" s="49" t="s">
        <v>9</v>
      </c>
      <c r="E47" s="17">
        <v>6</v>
      </c>
      <c r="F47" s="18">
        <f>TRUNC(60.9,2)</f>
        <v>60.9</v>
      </c>
      <c r="G47" s="18">
        <f t="shared" si="2"/>
        <v>365.4</v>
      </c>
      <c r="H47" s="18"/>
      <c r="I47" s="19"/>
      <c r="K47" s="20"/>
    </row>
    <row r="48" spans="1:11" s="28" customFormat="1" ht="13.5">
      <c r="A48" s="48"/>
      <c r="B48" s="25" t="s">
        <v>96</v>
      </c>
      <c r="C48" s="16" t="s">
        <v>97</v>
      </c>
      <c r="D48" s="49" t="s">
        <v>9</v>
      </c>
      <c r="E48" s="17">
        <v>1</v>
      </c>
      <c r="F48" s="18">
        <f>TRUNC(20.27,2)</f>
        <v>20.27</v>
      </c>
      <c r="G48" s="18">
        <f t="shared" si="2"/>
        <v>20.27</v>
      </c>
      <c r="H48" s="18"/>
      <c r="I48" s="19"/>
      <c r="K48" s="20"/>
    </row>
    <row r="49" spans="1:11" s="28" customFormat="1" ht="13.5">
      <c r="A49" s="48"/>
      <c r="B49" s="25" t="s">
        <v>98</v>
      </c>
      <c r="C49" s="16" t="s">
        <v>99</v>
      </c>
      <c r="D49" s="49" t="s">
        <v>14</v>
      </c>
      <c r="E49" s="17">
        <v>1</v>
      </c>
      <c r="F49" s="18">
        <f>TRUNC(139.09,2)</f>
        <v>139.09</v>
      </c>
      <c r="G49" s="18">
        <f t="shared" si="2"/>
        <v>139.09</v>
      </c>
      <c r="H49" s="18"/>
      <c r="I49" s="19"/>
      <c r="K49" s="20"/>
    </row>
    <row r="50" spans="1:11" s="28" customFormat="1" ht="13.5">
      <c r="A50" s="48"/>
      <c r="B50" s="25" t="s">
        <v>100</v>
      </c>
      <c r="C50" s="16" t="s">
        <v>101</v>
      </c>
      <c r="D50" s="49" t="s">
        <v>14</v>
      </c>
      <c r="E50" s="17">
        <v>2</v>
      </c>
      <c r="F50" s="18">
        <f>TRUNC(3.99,2)</f>
        <v>3.99</v>
      </c>
      <c r="G50" s="18">
        <f t="shared" si="2"/>
        <v>7.98</v>
      </c>
      <c r="H50" s="18"/>
      <c r="I50" s="19"/>
      <c r="K50" s="20"/>
    </row>
    <row r="51" spans="1:11" s="28" customFormat="1" ht="13.5">
      <c r="A51" s="48"/>
      <c r="B51" s="25" t="s">
        <v>102</v>
      </c>
      <c r="C51" s="16" t="s">
        <v>103</v>
      </c>
      <c r="D51" s="49" t="s">
        <v>14</v>
      </c>
      <c r="E51" s="17">
        <v>3</v>
      </c>
      <c r="F51" s="18">
        <f>TRUNC(60.72,2)</f>
        <v>60.72</v>
      </c>
      <c r="G51" s="18">
        <f t="shared" si="2"/>
        <v>182.16</v>
      </c>
      <c r="H51" s="18"/>
      <c r="I51" s="19"/>
      <c r="K51" s="20"/>
    </row>
    <row r="52" spans="1:11" s="28" customFormat="1" ht="27">
      <c r="A52" s="48"/>
      <c r="B52" s="25" t="s">
        <v>104</v>
      </c>
      <c r="C52" s="16" t="s">
        <v>105</v>
      </c>
      <c r="D52" s="49" t="s">
        <v>14</v>
      </c>
      <c r="E52" s="17">
        <v>4</v>
      </c>
      <c r="F52" s="18">
        <f>TRUNC(8.02,2)</f>
        <v>8.02</v>
      </c>
      <c r="G52" s="18">
        <f t="shared" si="2"/>
        <v>32.08</v>
      </c>
      <c r="H52" s="18"/>
      <c r="I52" s="19"/>
      <c r="K52" s="20"/>
    </row>
    <row r="53" spans="1:11" s="28" customFormat="1" ht="13.5">
      <c r="A53" s="48"/>
      <c r="B53" s="25" t="s">
        <v>106</v>
      </c>
      <c r="C53" s="16" t="s">
        <v>107</v>
      </c>
      <c r="D53" s="49" t="s">
        <v>9</v>
      </c>
      <c r="E53" s="17">
        <v>20</v>
      </c>
      <c r="F53" s="18">
        <f>TRUNC(10.965,2)</f>
        <v>10.96</v>
      </c>
      <c r="G53" s="18">
        <f t="shared" si="2"/>
        <v>219.2</v>
      </c>
      <c r="H53" s="18"/>
      <c r="I53" s="19"/>
      <c r="K53" s="20"/>
    </row>
    <row r="54" spans="1:11" s="28" customFormat="1" ht="13.5">
      <c r="A54" s="48"/>
      <c r="B54" s="25" t="s">
        <v>108</v>
      </c>
      <c r="C54" s="16" t="s">
        <v>109</v>
      </c>
      <c r="D54" s="49" t="s">
        <v>9</v>
      </c>
      <c r="E54" s="17">
        <v>2</v>
      </c>
      <c r="F54" s="18">
        <f>TRUNC(116.6389,2)</f>
        <v>116.63</v>
      </c>
      <c r="G54" s="18">
        <f t="shared" si="2"/>
        <v>233.26</v>
      </c>
      <c r="H54" s="18"/>
      <c r="I54" s="19"/>
      <c r="K54" s="20"/>
    </row>
    <row r="55" spans="1:11" s="28" customFormat="1" ht="27">
      <c r="A55" s="48"/>
      <c r="B55" s="25" t="s">
        <v>21</v>
      </c>
      <c r="C55" s="16" t="s">
        <v>22</v>
      </c>
      <c r="D55" s="49" t="s">
        <v>4</v>
      </c>
      <c r="E55" s="17">
        <v>24.72</v>
      </c>
      <c r="F55" s="18">
        <f>TRUNC(14.34,2)</f>
        <v>14.34</v>
      </c>
      <c r="G55" s="18">
        <f t="shared" si="2"/>
        <v>354.48</v>
      </c>
      <c r="H55" s="18"/>
      <c r="I55" s="19"/>
      <c r="K55" s="20"/>
    </row>
    <row r="56" spans="1:11" s="28" customFormat="1" ht="27">
      <c r="A56" s="48"/>
      <c r="B56" s="25" t="s">
        <v>110</v>
      </c>
      <c r="C56" s="16" t="s">
        <v>111</v>
      </c>
      <c r="D56" s="49" t="s">
        <v>4</v>
      </c>
      <c r="E56" s="17">
        <v>24.72</v>
      </c>
      <c r="F56" s="18">
        <f>TRUNC(19.81,2)</f>
        <v>19.81</v>
      </c>
      <c r="G56" s="18">
        <f t="shared" si="2"/>
        <v>489.7</v>
      </c>
      <c r="H56" s="18"/>
      <c r="I56" s="19"/>
      <c r="K56" s="20"/>
    </row>
    <row r="57" spans="1:11" s="28" customFormat="1" ht="13.5">
      <c r="A57" s="48"/>
      <c r="B57" s="25"/>
      <c r="C57" s="16"/>
      <c r="D57" s="49"/>
      <c r="E57" s="17" t="s">
        <v>16</v>
      </c>
      <c r="F57" s="18"/>
      <c r="G57" s="18">
        <f>TRUNC(SUM(G44:G56),2)</f>
        <v>2176.28</v>
      </c>
      <c r="H57" s="18"/>
      <c r="I57" s="19"/>
      <c r="K57" s="20"/>
    </row>
    <row r="58" spans="1:11" s="65" customFormat="1" ht="39.75" customHeight="1">
      <c r="A58" s="83" t="s">
        <v>2</v>
      </c>
      <c r="B58" s="84" t="s">
        <v>112</v>
      </c>
      <c r="C58" s="85" t="s">
        <v>113</v>
      </c>
      <c r="D58" s="86" t="s">
        <v>10</v>
      </c>
      <c r="E58" s="87">
        <v>91.33</v>
      </c>
      <c r="F58" s="88">
        <f>TRUNC(G60,2)</f>
        <v>3.49</v>
      </c>
      <c r="G58" s="88">
        <f>TRUNC(F58*1.2882,2)</f>
        <v>4.49</v>
      </c>
      <c r="H58" s="88">
        <f>TRUNC(F58*E58,2)</f>
        <v>318.74</v>
      </c>
      <c r="I58" s="89">
        <f>TRUNC(E58*G58,2)</f>
        <v>410.07</v>
      </c>
      <c r="K58" s="66"/>
    </row>
    <row r="59" spans="1:11" s="28" customFormat="1" ht="27">
      <c r="A59" s="48"/>
      <c r="B59" s="25" t="s">
        <v>114</v>
      </c>
      <c r="C59" s="16" t="s">
        <v>115</v>
      </c>
      <c r="D59" s="49" t="s">
        <v>4</v>
      </c>
      <c r="E59" s="17">
        <v>0.309</v>
      </c>
      <c r="F59" s="18">
        <f>TRUNC(11.32,2)</f>
        <v>11.32</v>
      </c>
      <c r="G59" s="18">
        <f>TRUNC(E59*F59,2)</f>
        <v>3.49</v>
      </c>
      <c r="H59" s="18"/>
      <c r="I59" s="19"/>
      <c r="K59" s="20"/>
    </row>
    <row r="60" spans="1:11" s="28" customFormat="1" ht="13.5">
      <c r="A60" s="48"/>
      <c r="B60" s="25"/>
      <c r="C60" s="16"/>
      <c r="D60" s="49"/>
      <c r="E60" s="17" t="s">
        <v>16</v>
      </c>
      <c r="F60" s="18"/>
      <c r="G60" s="18">
        <f>TRUNC(SUM(G59:G59),2)</f>
        <v>3.49</v>
      </c>
      <c r="H60" s="18"/>
      <c r="I60" s="19"/>
      <c r="K60" s="20"/>
    </row>
    <row r="61" spans="1:11" s="65" customFormat="1" ht="41.25">
      <c r="A61" s="83" t="s">
        <v>1</v>
      </c>
      <c r="B61" s="84" t="s">
        <v>116</v>
      </c>
      <c r="C61" s="85" t="s">
        <v>117</v>
      </c>
      <c r="D61" s="86" t="s">
        <v>14</v>
      </c>
      <c r="E61" s="87">
        <v>1</v>
      </c>
      <c r="F61" s="88">
        <f>TRUNC(G70,2)</f>
        <v>5890.41</v>
      </c>
      <c r="G61" s="88">
        <f>TRUNC(F61*1.2882,2)</f>
        <v>7588.02</v>
      </c>
      <c r="H61" s="88">
        <f>TRUNC(F61*E61,2)</f>
        <v>5890.41</v>
      </c>
      <c r="I61" s="89">
        <f>TRUNC(E61*G61,2)</f>
        <v>7588.02</v>
      </c>
      <c r="K61" s="66"/>
    </row>
    <row r="62" spans="1:11" s="28" customFormat="1" ht="27">
      <c r="A62" s="48"/>
      <c r="B62" s="25" t="s">
        <v>118</v>
      </c>
      <c r="C62" s="16" t="s">
        <v>119</v>
      </c>
      <c r="D62" s="49" t="s">
        <v>4</v>
      </c>
      <c r="E62" s="17">
        <v>19.0483</v>
      </c>
      <c r="F62" s="18">
        <f>TRUNC(27.4,2)</f>
        <v>27.4</v>
      </c>
      <c r="G62" s="18">
        <f aca="true" t="shared" si="3" ref="G62:G69">TRUNC(E62*F62,2)</f>
        <v>521.92</v>
      </c>
      <c r="H62" s="18"/>
      <c r="I62" s="19"/>
      <c r="K62" s="20"/>
    </row>
    <row r="63" spans="1:11" s="28" customFormat="1" ht="27">
      <c r="A63" s="48"/>
      <c r="B63" s="25" t="s">
        <v>21</v>
      </c>
      <c r="C63" s="16" t="s">
        <v>22</v>
      </c>
      <c r="D63" s="49" t="s">
        <v>4</v>
      </c>
      <c r="E63" s="17">
        <v>63.0168</v>
      </c>
      <c r="F63" s="18">
        <f>TRUNC(14.34,2)</f>
        <v>14.34</v>
      </c>
      <c r="G63" s="18">
        <f t="shared" si="3"/>
        <v>903.66</v>
      </c>
      <c r="H63" s="18"/>
      <c r="I63" s="19"/>
      <c r="K63" s="20"/>
    </row>
    <row r="64" spans="1:11" s="28" customFormat="1" ht="27">
      <c r="A64" s="48"/>
      <c r="B64" s="25" t="s">
        <v>120</v>
      </c>
      <c r="C64" s="16" t="s">
        <v>121</v>
      </c>
      <c r="D64" s="49" t="s">
        <v>4</v>
      </c>
      <c r="E64" s="17">
        <v>5.7288</v>
      </c>
      <c r="F64" s="18">
        <f>TRUNC(179.04,2)</f>
        <v>179.04</v>
      </c>
      <c r="G64" s="18">
        <f t="shared" si="3"/>
        <v>1025.68</v>
      </c>
      <c r="H64" s="18"/>
      <c r="I64" s="19"/>
      <c r="K64" s="20"/>
    </row>
    <row r="65" spans="1:11" s="28" customFormat="1" ht="27">
      <c r="A65" s="48"/>
      <c r="B65" s="25" t="s">
        <v>122</v>
      </c>
      <c r="C65" s="16" t="s">
        <v>123</v>
      </c>
      <c r="D65" s="49" t="s">
        <v>4</v>
      </c>
      <c r="E65" s="17">
        <v>19.0483</v>
      </c>
      <c r="F65" s="18">
        <f>TRUNC(27.4,2)</f>
        <v>27.4</v>
      </c>
      <c r="G65" s="18">
        <f t="shared" si="3"/>
        <v>521.92</v>
      </c>
      <c r="H65" s="18"/>
      <c r="I65" s="19"/>
      <c r="K65" s="20"/>
    </row>
    <row r="66" spans="1:11" s="28" customFormat="1" ht="13.5">
      <c r="A66" s="48"/>
      <c r="B66" s="25" t="s">
        <v>124</v>
      </c>
      <c r="C66" s="16" t="s">
        <v>125</v>
      </c>
      <c r="D66" s="49" t="s">
        <v>4</v>
      </c>
      <c r="E66" s="17">
        <v>38.2397</v>
      </c>
      <c r="F66" s="18">
        <f>TRUNC(15.11,2)</f>
        <v>15.11</v>
      </c>
      <c r="G66" s="18">
        <f t="shared" si="3"/>
        <v>577.8</v>
      </c>
      <c r="H66" s="18"/>
      <c r="I66" s="19"/>
      <c r="K66" s="20"/>
    </row>
    <row r="67" spans="1:11" s="28" customFormat="1" ht="27">
      <c r="A67" s="48"/>
      <c r="B67" s="25" t="s">
        <v>126</v>
      </c>
      <c r="C67" s="16" t="s">
        <v>127</v>
      </c>
      <c r="D67" s="49" t="s">
        <v>4</v>
      </c>
      <c r="E67" s="17">
        <v>38.2397</v>
      </c>
      <c r="F67" s="18">
        <f>TRUNC(18.14,2)</f>
        <v>18.14</v>
      </c>
      <c r="G67" s="18">
        <f t="shared" si="3"/>
        <v>693.66</v>
      </c>
      <c r="H67" s="18"/>
      <c r="I67" s="19"/>
      <c r="K67" s="20"/>
    </row>
    <row r="68" spans="1:11" s="28" customFormat="1" ht="27">
      <c r="A68" s="48"/>
      <c r="B68" s="25" t="s">
        <v>128</v>
      </c>
      <c r="C68" s="16" t="s">
        <v>129</v>
      </c>
      <c r="D68" s="49" t="s">
        <v>4</v>
      </c>
      <c r="E68" s="17">
        <v>50.9159</v>
      </c>
      <c r="F68" s="18">
        <f>TRUNC(1.1191,2)</f>
        <v>1.11</v>
      </c>
      <c r="G68" s="18">
        <f t="shared" si="3"/>
        <v>56.51</v>
      </c>
      <c r="H68" s="18"/>
      <c r="I68" s="19"/>
      <c r="K68" s="20"/>
    </row>
    <row r="69" spans="1:11" s="28" customFormat="1" ht="27">
      <c r="A69" s="48"/>
      <c r="B69" s="25" t="s">
        <v>130</v>
      </c>
      <c r="C69" s="16" t="s">
        <v>131</v>
      </c>
      <c r="D69" s="49" t="s">
        <v>4</v>
      </c>
      <c r="E69" s="17">
        <v>15.9117</v>
      </c>
      <c r="F69" s="18">
        <f>TRUNC(99.8872,2)</f>
        <v>99.88</v>
      </c>
      <c r="G69" s="18">
        <f t="shared" si="3"/>
        <v>1589.26</v>
      </c>
      <c r="H69" s="18"/>
      <c r="I69" s="19"/>
      <c r="K69" s="20"/>
    </row>
    <row r="70" spans="1:11" s="28" customFormat="1" ht="13.5">
      <c r="A70" s="48"/>
      <c r="B70" s="25"/>
      <c r="C70" s="16"/>
      <c r="D70" s="49"/>
      <c r="E70" s="17" t="s">
        <v>16</v>
      </c>
      <c r="F70" s="18"/>
      <c r="G70" s="18">
        <f>TRUNC(SUM(G62:G69),2)</f>
        <v>5890.41</v>
      </c>
      <c r="H70" s="18"/>
      <c r="I70" s="19"/>
      <c r="K70" s="20"/>
    </row>
    <row r="71" spans="1:11" s="65" customFormat="1" ht="44.25" customHeight="1">
      <c r="A71" s="83" t="s">
        <v>36</v>
      </c>
      <c r="B71" s="84" t="s">
        <v>132</v>
      </c>
      <c r="C71" s="85" t="s">
        <v>133</v>
      </c>
      <c r="D71" s="86" t="s">
        <v>10</v>
      </c>
      <c r="E71" s="87">
        <v>21.24</v>
      </c>
      <c r="F71" s="88">
        <f>TRUNC(G78,2)</f>
        <v>2.87</v>
      </c>
      <c r="G71" s="88">
        <f>TRUNC(F71*1.2882,2)</f>
        <v>3.69</v>
      </c>
      <c r="H71" s="88">
        <f>TRUNC(F71*E71,2)</f>
        <v>60.95</v>
      </c>
      <c r="I71" s="89">
        <f>TRUNC(E71*G71,2)</f>
        <v>78.37</v>
      </c>
      <c r="K71" s="66"/>
    </row>
    <row r="72" spans="1:11" s="28" customFormat="1" ht="27">
      <c r="A72" s="48"/>
      <c r="B72" s="25" t="s">
        <v>11</v>
      </c>
      <c r="C72" s="16" t="s">
        <v>41</v>
      </c>
      <c r="D72" s="49" t="s">
        <v>19</v>
      </c>
      <c r="E72" s="17">
        <v>0.002</v>
      </c>
      <c r="F72" s="18">
        <f>TRUNC(19.43,2)</f>
        <v>19.43</v>
      </c>
      <c r="G72" s="18">
        <f aca="true" t="shared" si="4" ref="G72:G77">TRUNC(E72*F72,2)</f>
        <v>0.03</v>
      </c>
      <c r="H72" s="18"/>
      <c r="I72" s="19"/>
      <c r="K72" s="20"/>
    </row>
    <row r="73" spans="1:11" s="28" customFormat="1" ht="13.5">
      <c r="A73" s="48"/>
      <c r="B73" s="25" t="s">
        <v>48</v>
      </c>
      <c r="C73" s="16" t="s">
        <v>49</v>
      </c>
      <c r="D73" s="49" t="s">
        <v>9</v>
      </c>
      <c r="E73" s="17">
        <v>0.05</v>
      </c>
      <c r="F73" s="18">
        <f>TRUNC(5.83,2)</f>
        <v>5.83</v>
      </c>
      <c r="G73" s="18">
        <f t="shared" si="4"/>
        <v>0.29</v>
      </c>
      <c r="H73" s="18"/>
      <c r="I73" s="19"/>
      <c r="K73" s="20"/>
    </row>
    <row r="74" spans="1:11" s="28" customFormat="1" ht="13.5">
      <c r="A74" s="48"/>
      <c r="B74" s="25" t="s">
        <v>134</v>
      </c>
      <c r="C74" s="16" t="s">
        <v>135</v>
      </c>
      <c r="D74" s="49" t="s">
        <v>9</v>
      </c>
      <c r="E74" s="17">
        <v>0.07</v>
      </c>
      <c r="F74" s="18">
        <f>TRUNC(9.67,2)</f>
        <v>9.67</v>
      </c>
      <c r="G74" s="18">
        <f t="shared" si="4"/>
        <v>0.67</v>
      </c>
      <c r="H74" s="18"/>
      <c r="I74" s="19"/>
      <c r="K74" s="20"/>
    </row>
    <row r="75" spans="1:11" s="28" customFormat="1" ht="13.5">
      <c r="A75" s="48"/>
      <c r="B75" s="25" t="s">
        <v>136</v>
      </c>
      <c r="C75" s="16" t="s">
        <v>137</v>
      </c>
      <c r="D75" s="49" t="s">
        <v>19</v>
      </c>
      <c r="E75" s="17">
        <v>0.004</v>
      </c>
      <c r="F75" s="18">
        <f>TRUNC(11.662,2)</f>
        <v>11.66</v>
      </c>
      <c r="G75" s="18">
        <f t="shared" si="4"/>
        <v>0.04</v>
      </c>
      <c r="H75" s="18"/>
      <c r="I75" s="19"/>
      <c r="K75" s="20"/>
    </row>
    <row r="76" spans="1:11" s="28" customFormat="1" ht="27">
      <c r="A76" s="48"/>
      <c r="B76" s="25">
        <v>20132</v>
      </c>
      <c r="C76" s="16" t="s">
        <v>22</v>
      </c>
      <c r="D76" s="49" t="s">
        <v>4</v>
      </c>
      <c r="E76" s="17">
        <v>0.07210000000000001</v>
      </c>
      <c r="F76" s="18">
        <f>TRUNC(14.34,2)</f>
        <v>14.34</v>
      </c>
      <c r="G76" s="18">
        <f t="shared" si="4"/>
        <v>1.03</v>
      </c>
      <c r="H76" s="18"/>
      <c r="I76" s="19"/>
      <c r="K76" s="20"/>
    </row>
    <row r="77" spans="1:11" s="28" customFormat="1" ht="27">
      <c r="A77" s="48"/>
      <c r="B77" s="25">
        <v>20046</v>
      </c>
      <c r="C77" s="16" t="s">
        <v>26</v>
      </c>
      <c r="D77" s="49" t="s">
        <v>4</v>
      </c>
      <c r="E77" s="17">
        <v>0.0412</v>
      </c>
      <c r="F77" s="18">
        <f>TRUNC(19.81,2)</f>
        <v>19.81</v>
      </c>
      <c r="G77" s="18">
        <f t="shared" si="4"/>
        <v>0.81</v>
      </c>
      <c r="H77" s="18"/>
      <c r="I77" s="19"/>
      <c r="K77" s="20"/>
    </row>
    <row r="78" spans="1:11" s="28" customFormat="1" ht="13.5">
      <c r="A78" s="48"/>
      <c r="B78" s="25"/>
      <c r="C78" s="16"/>
      <c r="D78" s="49"/>
      <c r="E78" s="17" t="s">
        <v>16</v>
      </c>
      <c r="F78" s="18"/>
      <c r="G78" s="18">
        <f>TRUNC(SUM(G72:G77),2)</f>
        <v>2.87</v>
      </c>
      <c r="H78" s="18"/>
      <c r="I78" s="19"/>
      <c r="K78" s="20"/>
    </row>
    <row r="79" spans="1:11" s="65" customFormat="1" ht="27">
      <c r="A79" s="83" t="s">
        <v>37</v>
      </c>
      <c r="B79" s="84" t="s">
        <v>138</v>
      </c>
      <c r="C79" s="85" t="s">
        <v>139</v>
      </c>
      <c r="D79" s="86" t="s">
        <v>83</v>
      </c>
      <c r="E79" s="87">
        <f>12.1+2.55</f>
        <v>14.649999999999999</v>
      </c>
      <c r="F79" s="88">
        <f>TRUNC(G81,2)</f>
        <v>50.21</v>
      </c>
      <c r="G79" s="88">
        <f>TRUNC(F79*1.2882,2)</f>
        <v>64.68</v>
      </c>
      <c r="H79" s="88">
        <f>TRUNC(F79*E79,2)</f>
        <v>735.57</v>
      </c>
      <c r="I79" s="89">
        <f>TRUNC(E79*G79,2)</f>
        <v>947.56</v>
      </c>
      <c r="K79" s="66"/>
    </row>
    <row r="80" spans="1:11" s="28" customFormat="1" ht="27">
      <c r="A80" s="48"/>
      <c r="B80" s="25" t="s">
        <v>21</v>
      </c>
      <c r="C80" s="16" t="s">
        <v>22</v>
      </c>
      <c r="D80" s="49" t="s">
        <v>4</v>
      </c>
      <c r="E80" s="17">
        <v>3.502</v>
      </c>
      <c r="F80" s="18">
        <f>TRUNC(14.34,2)</f>
        <v>14.34</v>
      </c>
      <c r="G80" s="18">
        <f>TRUNC(E80*F80,2)</f>
        <v>50.21</v>
      </c>
      <c r="H80" s="18"/>
      <c r="I80" s="19"/>
      <c r="K80" s="20"/>
    </row>
    <row r="81" spans="1:11" s="28" customFormat="1" ht="13.5">
      <c r="A81" s="48"/>
      <c r="B81" s="25"/>
      <c r="C81" s="16"/>
      <c r="D81" s="49"/>
      <c r="E81" s="17" t="s">
        <v>16</v>
      </c>
      <c r="F81" s="18"/>
      <c r="G81" s="18">
        <f>TRUNC(SUM(G80:G80),2)</f>
        <v>50.21</v>
      </c>
      <c r="H81" s="18"/>
      <c r="I81" s="19"/>
      <c r="K81" s="20"/>
    </row>
    <row r="82" spans="1:11" s="65" customFormat="1" ht="27">
      <c r="A82" s="83" t="s">
        <v>38</v>
      </c>
      <c r="B82" s="84" t="s">
        <v>140</v>
      </c>
      <c r="C82" s="85" t="s">
        <v>141</v>
      </c>
      <c r="D82" s="86" t="s">
        <v>83</v>
      </c>
      <c r="E82" s="87">
        <v>4.2</v>
      </c>
      <c r="F82" s="88">
        <f>TRUNC(G87,2)</f>
        <v>19.87</v>
      </c>
      <c r="G82" s="88">
        <f>TRUNC(F82*1.2882,2)</f>
        <v>25.59</v>
      </c>
      <c r="H82" s="88">
        <f>TRUNC(F82*E82,2)</f>
        <v>83.45</v>
      </c>
      <c r="I82" s="89">
        <f>TRUNC(E82*G82,2)</f>
        <v>107.47</v>
      </c>
      <c r="K82" s="66"/>
    </row>
    <row r="83" spans="1:11" s="28" customFormat="1" ht="27">
      <c r="A83" s="48"/>
      <c r="B83" s="25" t="s">
        <v>21</v>
      </c>
      <c r="C83" s="16" t="s">
        <v>22</v>
      </c>
      <c r="D83" s="49" t="s">
        <v>4</v>
      </c>
      <c r="E83" s="17">
        <v>1.09901</v>
      </c>
      <c r="F83" s="18">
        <f>TRUNC(14.34,2)</f>
        <v>14.34</v>
      </c>
      <c r="G83" s="18">
        <f>TRUNC(E83*F83,2)</f>
        <v>15.75</v>
      </c>
      <c r="H83" s="18"/>
      <c r="I83" s="19"/>
      <c r="K83" s="20"/>
    </row>
    <row r="84" spans="1:11" s="28" customFormat="1" ht="27">
      <c r="A84" s="48"/>
      <c r="B84" s="25" t="s">
        <v>142</v>
      </c>
      <c r="C84" s="16" t="s">
        <v>143</v>
      </c>
      <c r="D84" s="49" t="s">
        <v>4</v>
      </c>
      <c r="E84" s="17">
        <v>0.13699</v>
      </c>
      <c r="F84" s="18">
        <f>TRUNC(22.25,2)</f>
        <v>22.25</v>
      </c>
      <c r="G84" s="18">
        <f>TRUNC(E84*F84,2)</f>
        <v>3.04</v>
      </c>
      <c r="H84" s="18"/>
      <c r="I84" s="19"/>
      <c r="K84" s="20"/>
    </row>
    <row r="85" spans="1:11" s="28" customFormat="1" ht="13.5">
      <c r="A85" s="48"/>
      <c r="B85" s="25" t="s">
        <v>144</v>
      </c>
      <c r="C85" s="16" t="s">
        <v>145</v>
      </c>
      <c r="D85" s="49" t="s">
        <v>4</v>
      </c>
      <c r="E85" s="17">
        <v>0.033</v>
      </c>
      <c r="F85" s="18">
        <f>TRUNC(2.178,2)</f>
        <v>2.17</v>
      </c>
      <c r="G85" s="18">
        <f>TRUNC(E85*F85,2)</f>
        <v>0.07</v>
      </c>
      <c r="H85" s="18"/>
      <c r="I85" s="19"/>
      <c r="K85" s="20"/>
    </row>
    <row r="86" spans="1:11" s="28" customFormat="1" ht="13.5">
      <c r="A86" s="48"/>
      <c r="B86" s="25" t="s">
        <v>146</v>
      </c>
      <c r="C86" s="16" t="s">
        <v>147</v>
      </c>
      <c r="D86" s="49" t="s">
        <v>4</v>
      </c>
      <c r="E86" s="17">
        <v>0.1</v>
      </c>
      <c r="F86" s="18">
        <f>TRUNC(10.1202,2)</f>
        <v>10.12</v>
      </c>
      <c r="G86" s="18">
        <f>TRUNC(E86*F86,2)</f>
        <v>1.01</v>
      </c>
      <c r="H86" s="18"/>
      <c r="I86" s="19"/>
      <c r="K86" s="20"/>
    </row>
    <row r="87" spans="1:11" s="28" customFormat="1" ht="13.5">
      <c r="A87" s="48"/>
      <c r="B87" s="25"/>
      <c r="C87" s="16"/>
      <c r="D87" s="49"/>
      <c r="E87" s="17" t="s">
        <v>16</v>
      </c>
      <c r="F87" s="18"/>
      <c r="G87" s="18">
        <f>TRUNC(SUM(G83:G86),2)</f>
        <v>19.87</v>
      </c>
      <c r="H87" s="18"/>
      <c r="I87" s="19"/>
      <c r="K87" s="20"/>
    </row>
    <row r="88" spans="1:11" s="65" customFormat="1" ht="27">
      <c r="A88" s="83" t="s">
        <v>533</v>
      </c>
      <c r="B88" s="84" t="s">
        <v>481</v>
      </c>
      <c r="C88" s="85" t="s">
        <v>482</v>
      </c>
      <c r="D88" s="86" t="s">
        <v>83</v>
      </c>
      <c r="E88" s="87">
        <v>9.67</v>
      </c>
      <c r="F88" s="88">
        <f>TRUNC(G91,2)</f>
        <v>75.64</v>
      </c>
      <c r="G88" s="88">
        <f>TRUNC(F88*1.2882,2)</f>
        <v>97.43</v>
      </c>
      <c r="H88" s="88">
        <f>TRUNC(F88*E88,2)</f>
        <v>731.43</v>
      </c>
      <c r="I88" s="89">
        <f>TRUNC(E88*G88,2)</f>
        <v>942.14</v>
      </c>
      <c r="K88" s="66"/>
    </row>
    <row r="89" spans="1:11" s="28" customFormat="1" ht="27">
      <c r="A89" s="48"/>
      <c r="B89" s="25" t="s">
        <v>21</v>
      </c>
      <c r="C89" s="16" t="s">
        <v>22</v>
      </c>
      <c r="D89" s="49" t="s">
        <v>4</v>
      </c>
      <c r="E89" s="17">
        <v>4.635</v>
      </c>
      <c r="F89" s="18">
        <f>TRUNC(14.34,2)</f>
        <v>14.34</v>
      </c>
      <c r="G89" s="18">
        <f>TRUNC(E89*F89,2)</f>
        <v>66.46</v>
      </c>
      <c r="H89" s="18"/>
      <c r="I89" s="19"/>
      <c r="K89" s="20"/>
    </row>
    <row r="90" spans="1:11" s="28" customFormat="1" ht="13.5">
      <c r="A90" s="48"/>
      <c r="B90" s="25" t="s">
        <v>23</v>
      </c>
      <c r="C90" s="16" t="s">
        <v>24</v>
      </c>
      <c r="D90" s="49" t="s">
        <v>4</v>
      </c>
      <c r="E90" s="17">
        <v>0.4635</v>
      </c>
      <c r="F90" s="18">
        <f>TRUNC(19.81,2)</f>
        <v>19.81</v>
      </c>
      <c r="G90" s="18">
        <f>TRUNC(E90*F90,2)</f>
        <v>9.18</v>
      </c>
      <c r="H90" s="18"/>
      <c r="I90" s="19"/>
      <c r="K90" s="20"/>
    </row>
    <row r="91" spans="1:11" s="28" customFormat="1" ht="13.5">
      <c r="A91" s="48"/>
      <c r="B91" s="25"/>
      <c r="C91" s="16"/>
      <c r="D91" s="49"/>
      <c r="E91" s="17" t="s">
        <v>16</v>
      </c>
      <c r="F91" s="18"/>
      <c r="G91" s="18">
        <f>TRUNC(SUM(G89:G90),2)</f>
        <v>75.64</v>
      </c>
      <c r="H91" s="18"/>
      <c r="I91" s="19"/>
      <c r="K91" s="20"/>
    </row>
    <row r="92" spans="1:11" s="65" customFormat="1" ht="24" customHeight="1">
      <c r="A92" s="83" t="s">
        <v>534</v>
      </c>
      <c r="B92" s="84" t="s">
        <v>438</v>
      </c>
      <c r="C92" s="85" t="s">
        <v>439</v>
      </c>
      <c r="D92" s="86" t="s">
        <v>10</v>
      </c>
      <c r="E92" s="87">
        <v>19.76</v>
      </c>
      <c r="F92" s="88">
        <f>TRUNC(G94,2)</f>
        <v>14.77</v>
      </c>
      <c r="G92" s="88">
        <f>TRUNC(F92*1.2882,2)</f>
        <v>19.02</v>
      </c>
      <c r="H92" s="88">
        <f>TRUNC(F92*E92,2)</f>
        <v>291.85</v>
      </c>
      <c r="I92" s="89">
        <f>TRUNC(E92*G92,2)</f>
        <v>375.83</v>
      </c>
      <c r="K92" s="66"/>
    </row>
    <row r="93" spans="1:11" s="28" customFormat="1" ht="27">
      <c r="A93" s="48"/>
      <c r="B93" s="25" t="s">
        <v>21</v>
      </c>
      <c r="C93" s="16" t="s">
        <v>22</v>
      </c>
      <c r="D93" s="49" t="s">
        <v>4</v>
      </c>
      <c r="E93" s="17">
        <v>1.03</v>
      </c>
      <c r="F93" s="18">
        <f>TRUNC(14.34,2)</f>
        <v>14.34</v>
      </c>
      <c r="G93" s="18">
        <f>TRUNC(E93*F93,2)</f>
        <v>14.77</v>
      </c>
      <c r="H93" s="18"/>
      <c r="I93" s="19"/>
      <c r="K93" s="20"/>
    </row>
    <row r="94" spans="1:11" s="28" customFormat="1" ht="13.5">
      <c r="A94" s="48"/>
      <c r="B94" s="25"/>
      <c r="C94" s="16"/>
      <c r="D94" s="49"/>
      <c r="E94" s="17" t="s">
        <v>16</v>
      </c>
      <c r="F94" s="18"/>
      <c r="G94" s="18">
        <f>TRUNC(SUM(G93:G93),2)</f>
        <v>14.77</v>
      </c>
      <c r="H94" s="18"/>
      <c r="I94" s="19"/>
      <c r="K94" s="20"/>
    </row>
    <row r="95" spans="1:11" s="65" customFormat="1" ht="27">
      <c r="A95" s="83" t="s">
        <v>541</v>
      </c>
      <c r="B95" s="84" t="s">
        <v>535</v>
      </c>
      <c r="C95" s="85" t="s">
        <v>536</v>
      </c>
      <c r="D95" s="86" t="s">
        <v>83</v>
      </c>
      <c r="E95" s="87">
        <v>3.18</v>
      </c>
      <c r="F95" s="88">
        <f>TRUNC(G99,2)</f>
        <v>5.51</v>
      </c>
      <c r="G95" s="88">
        <f>TRUNC(F95*1.2882,2)</f>
        <v>7.09</v>
      </c>
      <c r="H95" s="88">
        <f>TRUNC(F95*E95,2)</f>
        <v>17.52</v>
      </c>
      <c r="I95" s="89">
        <f>TRUNC(E95*G95,2)</f>
        <v>22.54</v>
      </c>
      <c r="K95" s="66"/>
    </row>
    <row r="96" spans="1:11" s="28" customFormat="1" ht="27">
      <c r="A96" s="48"/>
      <c r="B96" s="25" t="s">
        <v>21</v>
      </c>
      <c r="C96" s="16" t="s">
        <v>22</v>
      </c>
      <c r="D96" s="49" t="s">
        <v>4</v>
      </c>
      <c r="E96" s="17">
        <v>0.071428</v>
      </c>
      <c r="F96" s="18">
        <f>TRUNC(14.34,2)</f>
        <v>14.34</v>
      </c>
      <c r="G96" s="18">
        <f>TRUNC(E96*F96,2)</f>
        <v>1.02</v>
      </c>
      <c r="H96" s="18"/>
      <c r="I96" s="19"/>
      <c r="K96" s="20"/>
    </row>
    <row r="97" spans="1:11" s="28" customFormat="1" ht="13.5">
      <c r="A97" s="48"/>
      <c r="B97" s="25" t="s">
        <v>537</v>
      </c>
      <c r="C97" s="16" t="s">
        <v>538</v>
      </c>
      <c r="D97" s="49" t="s">
        <v>4</v>
      </c>
      <c r="E97" s="17">
        <v>0.00476</v>
      </c>
      <c r="F97" s="18">
        <f>TRUNC(70.634,2)</f>
        <v>70.63</v>
      </c>
      <c r="G97" s="18">
        <f>TRUNC(E97*F97,2)</f>
        <v>0.33</v>
      </c>
      <c r="H97" s="18"/>
      <c r="I97" s="19"/>
      <c r="K97" s="20"/>
    </row>
    <row r="98" spans="1:11" s="28" customFormat="1" ht="13.5">
      <c r="A98" s="48"/>
      <c r="B98" s="25" t="s">
        <v>539</v>
      </c>
      <c r="C98" s="16" t="s">
        <v>540</v>
      </c>
      <c r="D98" s="49" t="s">
        <v>4</v>
      </c>
      <c r="E98" s="17">
        <v>0.019</v>
      </c>
      <c r="F98" s="18">
        <f>TRUNC(218.9802,2)</f>
        <v>218.98</v>
      </c>
      <c r="G98" s="18">
        <f>TRUNC(E98*F98,2)</f>
        <v>4.16</v>
      </c>
      <c r="H98" s="18"/>
      <c r="I98" s="19"/>
      <c r="K98" s="20"/>
    </row>
    <row r="99" spans="1:11" s="28" customFormat="1" ht="13.5">
      <c r="A99" s="48"/>
      <c r="B99" s="25"/>
      <c r="C99" s="16"/>
      <c r="D99" s="49"/>
      <c r="E99" s="17" t="s">
        <v>16</v>
      </c>
      <c r="F99" s="18"/>
      <c r="G99" s="18">
        <f>TRUNC(SUM(G96:G98),2)</f>
        <v>5.51</v>
      </c>
      <c r="H99" s="18"/>
      <c r="I99" s="19"/>
      <c r="K99" s="20"/>
    </row>
    <row r="100" spans="1:9" s="9" customFormat="1" ht="13.5">
      <c r="A100" s="31" t="s">
        <v>27</v>
      </c>
      <c r="B100" s="29"/>
      <c r="C100" s="21" t="s">
        <v>18</v>
      </c>
      <c r="D100" s="39"/>
      <c r="E100" s="22"/>
      <c r="F100" s="23"/>
      <c r="G100" s="23"/>
      <c r="H100" s="24">
        <f>H15+H25+H43+H58+H61+H71+H79+H82+H88+H92+H95</f>
        <v>17319.35</v>
      </c>
      <c r="I100" s="24">
        <f>I15+I25+I43+I58+I61+I71+I79+I82+I88+I92+I95</f>
        <v>22309.780000000002</v>
      </c>
    </row>
    <row r="101" spans="1:9" s="9" customFormat="1" ht="13.5">
      <c r="A101" s="31" t="s">
        <v>261</v>
      </c>
      <c r="B101" s="21"/>
      <c r="C101" s="67" t="s">
        <v>148</v>
      </c>
      <c r="D101" s="39"/>
      <c r="E101" s="22"/>
      <c r="F101" s="23"/>
      <c r="G101" s="23"/>
      <c r="H101" s="24"/>
      <c r="I101" s="24"/>
    </row>
    <row r="102" spans="1:11" s="65" customFormat="1" ht="54" customHeight="1">
      <c r="A102" s="83" t="s">
        <v>262</v>
      </c>
      <c r="B102" s="84" t="s">
        <v>149</v>
      </c>
      <c r="C102" s="85" t="s">
        <v>150</v>
      </c>
      <c r="D102" s="86" t="s">
        <v>83</v>
      </c>
      <c r="E102" s="87">
        <v>23.57</v>
      </c>
      <c r="F102" s="88">
        <f>TRUNC(G106,2)</f>
        <v>550.05</v>
      </c>
      <c r="G102" s="88">
        <f>TRUNC(F102*1.2882,2)</f>
        <v>708.57</v>
      </c>
      <c r="H102" s="88">
        <f>TRUNC(F102*E102,2)</f>
        <v>12964.67</v>
      </c>
      <c r="I102" s="89">
        <f>TRUNC(E102*G102,2)</f>
        <v>16700.99</v>
      </c>
      <c r="K102" s="66"/>
    </row>
    <row r="103" spans="1:11" s="28" customFormat="1" ht="13.5">
      <c r="A103" s="48"/>
      <c r="B103" s="25" t="s">
        <v>151</v>
      </c>
      <c r="C103" s="16" t="s">
        <v>152</v>
      </c>
      <c r="D103" s="49" t="s">
        <v>83</v>
      </c>
      <c r="E103" s="17">
        <v>1</v>
      </c>
      <c r="F103" s="18">
        <f>TRUNC(105.9487,2)</f>
        <v>105.94</v>
      </c>
      <c r="G103" s="18">
        <f>TRUNC(E103*F103,2)</f>
        <v>105.94</v>
      </c>
      <c r="H103" s="18"/>
      <c r="I103" s="19"/>
      <c r="K103" s="20"/>
    </row>
    <row r="104" spans="1:11" s="28" customFormat="1" ht="13.5">
      <c r="A104" s="48"/>
      <c r="B104" s="25" t="s">
        <v>153</v>
      </c>
      <c r="C104" s="16" t="s">
        <v>154</v>
      </c>
      <c r="D104" s="49" t="s">
        <v>83</v>
      </c>
      <c r="E104" s="17">
        <v>1</v>
      </c>
      <c r="F104" s="18">
        <f>TRUNC(73.0319,2)</f>
        <v>73.03</v>
      </c>
      <c r="G104" s="18">
        <f>TRUNC(E104*F104,2)</f>
        <v>73.03</v>
      </c>
      <c r="H104" s="18"/>
      <c r="I104" s="19"/>
      <c r="K104" s="20"/>
    </row>
    <row r="105" spans="1:11" s="28" customFormat="1" ht="13.5">
      <c r="A105" s="48"/>
      <c r="B105" s="25" t="s">
        <v>155</v>
      </c>
      <c r="C105" s="16" t="s">
        <v>156</v>
      </c>
      <c r="D105" s="49" t="s">
        <v>83</v>
      </c>
      <c r="E105" s="17">
        <v>1</v>
      </c>
      <c r="F105" s="18">
        <f>TRUNC(371.0821,2)</f>
        <v>371.08</v>
      </c>
      <c r="G105" s="18">
        <f>TRUNC(E105*F105,2)</f>
        <v>371.08</v>
      </c>
      <c r="H105" s="18"/>
      <c r="I105" s="19"/>
      <c r="K105" s="20"/>
    </row>
    <row r="106" spans="1:11" s="28" customFormat="1" ht="13.5">
      <c r="A106" s="48"/>
      <c r="B106" s="25"/>
      <c r="C106" s="16"/>
      <c r="D106" s="49"/>
      <c r="E106" s="17" t="s">
        <v>16</v>
      </c>
      <c r="F106" s="18"/>
      <c r="G106" s="18">
        <f>TRUNC(SUM(G103:G105),2)</f>
        <v>550.05</v>
      </c>
      <c r="H106" s="18"/>
      <c r="I106" s="19"/>
      <c r="K106" s="20"/>
    </row>
    <row r="107" spans="1:11" s="65" customFormat="1" ht="38.25" customHeight="1">
      <c r="A107" s="83" t="s">
        <v>263</v>
      </c>
      <c r="B107" s="84" t="s">
        <v>157</v>
      </c>
      <c r="C107" s="85" t="s">
        <v>158</v>
      </c>
      <c r="D107" s="86" t="s">
        <v>10</v>
      </c>
      <c r="E107" s="87">
        <v>11</v>
      </c>
      <c r="F107" s="88">
        <f>TRUNC(G111,2)</f>
        <v>26.88</v>
      </c>
      <c r="G107" s="88">
        <f>TRUNC(F107*1.2882,2)</f>
        <v>34.62</v>
      </c>
      <c r="H107" s="88">
        <f>TRUNC(F107*E107,2)</f>
        <v>295.68</v>
      </c>
      <c r="I107" s="89">
        <f>TRUNC(E107*G107,2)</f>
        <v>380.82</v>
      </c>
      <c r="K107" s="66"/>
    </row>
    <row r="108" spans="1:11" s="28" customFormat="1" ht="13.5">
      <c r="A108" s="48"/>
      <c r="B108" s="25" t="s">
        <v>34</v>
      </c>
      <c r="C108" s="16" t="s">
        <v>35</v>
      </c>
      <c r="D108" s="49" t="s">
        <v>4</v>
      </c>
      <c r="E108" s="17">
        <v>0.0741</v>
      </c>
      <c r="F108" s="18">
        <f>TRUNC(21.54,2)</f>
        <v>21.54</v>
      </c>
      <c r="G108" s="18">
        <f>TRUNC(E108*F108,2)</f>
        <v>1.59</v>
      </c>
      <c r="H108" s="18"/>
      <c r="I108" s="19"/>
      <c r="K108" s="20"/>
    </row>
    <row r="109" spans="1:11" s="28" customFormat="1" ht="13.5">
      <c r="A109" s="48"/>
      <c r="B109" s="25" t="s">
        <v>159</v>
      </c>
      <c r="C109" s="16" t="s">
        <v>160</v>
      </c>
      <c r="D109" s="49" t="s">
        <v>4</v>
      </c>
      <c r="E109" s="17">
        <v>0.2718</v>
      </c>
      <c r="F109" s="18">
        <f>TRUNC(27.15,2)</f>
        <v>27.15</v>
      </c>
      <c r="G109" s="18">
        <f>TRUNC(E109*F109,2)</f>
        <v>7.37</v>
      </c>
      <c r="H109" s="18"/>
      <c r="I109" s="19"/>
      <c r="K109" s="20"/>
    </row>
    <row r="110" spans="1:11" s="28" customFormat="1" ht="27">
      <c r="A110" s="48"/>
      <c r="B110" s="25" t="s">
        <v>161</v>
      </c>
      <c r="C110" s="16" t="s">
        <v>162</v>
      </c>
      <c r="D110" s="49" t="s">
        <v>83</v>
      </c>
      <c r="E110" s="17">
        <v>0.0565</v>
      </c>
      <c r="F110" s="18">
        <f>TRUNC(317.31,2)</f>
        <v>317.31</v>
      </c>
      <c r="G110" s="18">
        <f>TRUNC(E110*F110,2)</f>
        <v>17.92</v>
      </c>
      <c r="H110" s="18"/>
      <c r="I110" s="19"/>
      <c r="K110" s="20"/>
    </row>
    <row r="111" spans="1:11" s="28" customFormat="1" ht="13.5">
      <c r="A111" s="48"/>
      <c r="B111" s="25"/>
      <c r="C111" s="16"/>
      <c r="D111" s="49"/>
      <c r="E111" s="17" t="s">
        <v>16</v>
      </c>
      <c r="F111" s="18"/>
      <c r="G111" s="18">
        <f>TRUNC(SUM(G108:G110),2)</f>
        <v>26.88</v>
      </c>
      <c r="H111" s="18"/>
      <c r="I111" s="19"/>
      <c r="K111" s="20"/>
    </row>
    <row r="112" spans="1:11" s="65" customFormat="1" ht="75" customHeight="1">
      <c r="A112" s="83" t="s">
        <v>264</v>
      </c>
      <c r="B112" s="84" t="s">
        <v>317</v>
      </c>
      <c r="C112" s="85" t="s">
        <v>164</v>
      </c>
      <c r="D112" s="86" t="s">
        <v>19</v>
      </c>
      <c r="E112" s="87">
        <v>520.34</v>
      </c>
      <c r="F112" s="88">
        <f>TRUNC(G115,2)</f>
        <v>12.65</v>
      </c>
      <c r="G112" s="88">
        <f>TRUNC(F112*1.2882,2)</f>
        <v>16.29</v>
      </c>
      <c r="H112" s="88">
        <f>TRUNC(F112*E112,2)</f>
        <v>6582.3</v>
      </c>
      <c r="I112" s="89">
        <f>TRUNC(E112*G112,2)</f>
        <v>8476.33</v>
      </c>
      <c r="K112" s="66"/>
    </row>
    <row r="113" spans="1:11" s="28" customFormat="1" ht="13.5">
      <c r="A113" s="48"/>
      <c r="B113" s="25" t="s">
        <v>318</v>
      </c>
      <c r="C113" s="16" t="s">
        <v>319</v>
      </c>
      <c r="D113" s="49" t="s">
        <v>19</v>
      </c>
      <c r="E113" s="17">
        <v>1</v>
      </c>
      <c r="F113" s="18">
        <f>TRUNC(3.6932,2)</f>
        <v>3.69</v>
      </c>
      <c r="G113" s="18">
        <f>TRUNC(E113*F113,2)</f>
        <v>3.69</v>
      </c>
      <c r="H113" s="18"/>
      <c r="I113" s="19"/>
      <c r="K113" s="20"/>
    </row>
    <row r="114" spans="1:11" s="28" customFormat="1" ht="13.5">
      <c r="A114" s="48"/>
      <c r="B114" s="25" t="s">
        <v>320</v>
      </c>
      <c r="C114" s="16" t="s">
        <v>321</v>
      </c>
      <c r="D114" s="49" t="s">
        <v>19</v>
      </c>
      <c r="E114" s="17">
        <v>1</v>
      </c>
      <c r="F114" s="18">
        <f>TRUNC(8.9678,2)</f>
        <v>8.96</v>
      </c>
      <c r="G114" s="18">
        <f>TRUNC(E114*F114,2)</f>
        <v>8.96</v>
      </c>
      <c r="H114" s="18"/>
      <c r="I114" s="19"/>
      <c r="K114" s="20"/>
    </row>
    <row r="115" spans="1:11" s="28" customFormat="1" ht="13.5">
      <c r="A115" s="48"/>
      <c r="B115" s="25"/>
      <c r="C115" s="16"/>
      <c r="D115" s="49"/>
      <c r="E115" s="17" t="s">
        <v>16</v>
      </c>
      <c r="F115" s="18"/>
      <c r="G115" s="18">
        <f>TRUNC(SUM(G113:G114),2)</f>
        <v>12.65</v>
      </c>
      <c r="H115" s="18"/>
      <c r="I115" s="19"/>
      <c r="K115" s="20"/>
    </row>
    <row r="116" spans="1:11" s="65" customFormat="1" ht="54.75">
      <c r="A116" s="83" t="s">
        <v>265</v>
      </c>
      <c r="B116" s="84" t="s">
        <v>322</v>
      </c>
      <c r="C116" s="85" t="s">
        <v>170</v>
      </c>
      <c r="D116" s="86" t="s">
        <v>19</v>
      </c>
      <c r="E116" s="87">
        <v>94.95</v>
      </c>
      <c r="F116" s="88">
        <f>TRUNC(G121,2)</f>
        <v>16.69</v>
      </c>
      <c r="G116" s="88">
        <f>TRUNC(F116*1.2882,2)</f>
        <v>21.5</v>
      </c>
      <c r="H116" s="88">
        <f>TRUNC(F116*E116,2)</f>
        <v>1584.71</v>
      </c>
      <c r="I116" s="89">
        <f>TRUNC(E116*G116,2)</f>
        <v>2041.42</v>
      </c>
      <c r="K116" s="66"/>
    </row>
    <row r="117" spans="1:11" s="82" customFormat="1" ht="13.5">
      <c r="A117" s="75"/>
      <c r="B117" s="76" t="s">
        <v>325</v>
      </c>
      <c r="C117" s="77" t="s">
        <v>326</v>
      </c>
      <c r="D117" s="78" t="s">
        <v>19</v>
      </c>
      <c r="E117" s="79">
        <v>1.1</v>
      </c>
      <c r="F117" s="80">
        <v>11.04</v>
      </c>
      <c r="G117" s="80">
        <f>TRUNC(E117*F117,2)</f>
        <v>12.14</v>
      </c>
      <c r="H117" s="80"/>
      <c r="I117" s="81"/>
      <c r="K117" s="72"/>
    </row>
    <row r="118" spans="1:11" s="28" customFormat="1" ht="13.5">
      <c r="A118" s="48"/>
      <c r="B118" s="25" t="s">
        <v>136</v>
      </c>
      <c r="C118" s="16" t="s">
        <v>137</v>
      </c>
      <c r="D118" s="49" t="s">
        <v>19</v>
      </c>
      <c r="E118" s="17">
        <v>0.03</v>
      </c>
      <c r="F118" s="18">
        <f>TRUNC(11.662,2)</f>
        <v>11.66</v>
      </c>
      <c r="G118" s="18">
        <f>TRUNC(E118*F118,2)</f>
        <v>0.34</v>
      </c>
      <c r="H118" s="18"/>
      <c r="I118" s="19"/>
      <c r="K118" s="20"/>
    </row>
    <row r="119" spans="1:11" s="28" customFormat="1" ht="27">
      <c r="A119" s="48"/>
      <c r="B119" s="25" t="s">
        <v>21</v>
      </c>
      <c r="C119" s="16" t="s">
        <v>22</v>
      </c>
      <c r="D119" s="49" t="s">
        <v>4</v>
      </c>
      <c r="E119" s="17">
        <v>0.1236</v>
      </c>
      <c r="F119" s="18">
        <f>TRUNC(14.34,2)</f>
        <v>14.34</v>
      </c>
      <c r="G119" s="18">
        <f>TRUNC(E119*F119,2)</f>
        <v>1.77</v>
      </c>
      <c r="H119" s="18"/>
      <c r="I119" s="19"/>
      <c r="K119" s="20"/>
    </row>
    <row r="120" spans="1:11" s="28" customFormat="1" ht="27">
      <c r="A120" s="48"/>
      <c r="B120" s="25" t="s">
        <v>323</v>
      </c>
      <c r="C120" s="16" t="s">
        <v>324</v>
      </c>
      <c r="D120" s="49" t="s">
        <v>4</v>
      </c>
      <c r="E120" s="17">
        <v>0.1236</v>
      </c>
      <c r="F120" s="18">
        <f>TRUNC(19.81,2)</f>
        <v>19.81</v>
      </c>
      <c r="G120" s="18">
        <f>TRUNC(E120*F120,2)</f>
        <v>2.44</v>
      </c>
      <c r="H120" s="18"/>
      <c r="I120" s="19"/>
      <c r="K120" s="20"/>
    </row>
    <row r="121" spans="1:11" s="28" customFormat="1" ht="13.5">
      <c r="A121" s="48"/>
      <c r="B121" s="25"/>
      <c r="C121" s="16"/>
      <c r="D121" s="49"/>
      <c r="E121" s="17" t="s">
        <v>16</v>
      </c>
      <c r="F121" s="18"/>
      <c r="G121" s="18">
        <f>TRUNC(SUM(G117:G120),2)</f>
        <v>16.69</v>
      </c>
      <c r="H121" s="18"/>
      <c r="I121" s="19"/>
      <c r="K121" s="20"/>
    </row>
    <row r="122" spans="1:11" s="65" customFormat="1" ht="41.25">
      <c r="A122" s="83" t="s">
        <v>266</v>
      </c>
      <c r="B122" s="84" t="s">
        <v>327</v>
      </c>
      <c r="C122" s="85" t="s">
        <v>176</v>
      </c>
      <c r="D122" s="86" t="s">
        <v>10</v>
      </c>
      <c r="E122" s="87">
        <v>107.05</v>
      </c>
      <c r="F122" s="88">
        <f>TRUNC(G130,2)</f>
        <v>57.4</v>
      </c>
      <c r="G122" s="88">
        <f>TRUNC(F122*1.2882,2)</f>
        <v>73.94</v>
      </c>
      <c r="H122" s="88">
        <f>TRUNC(F122*E122,2)</f>
        <v>6144.67</v>
      </c>
      <c r="I122" s="89">
        <f>TRUNC(E122*G122,2)</f>
        <v>7915.27</v>
      </c>
      <c r="K122" s="66"/>
    </row>
    <row r="123" spans="1:11" s="28" customFormat="1" ht="27">
      <c r="A123" s="48"/>
      <c r="B123" s="25" t="s">
        <v>11</v>
      </c>
      <c r="C123" s="16" t="s">
        <v>41</v>
      </c>
      <c r="D123" s="49" t="s">
        <v>19</v>
      </c>
      <c r="E123" s="17">
        <v>0.1</v>
      </c>
      <c r="F123" s="18">
        <f>TRUNC(19.43,2)</f>
        <v>19.43</v>
      </c>
      <c r="G123" s="18">
        <f aca="true" t="shared" si="5" ref="G123:G129">TRUNC(E123*F123,2)</f>
        <v>1.94</v>
      </c>
      <c r="H123" s="18"/>
      <c r="I123" s="19"/>
      <c r="K123" s="20"/>
    </row>
    <row r="124" spans="1:11" s="28" customFormat="1" ht="13.5">
      <c r="A124" s="48"/>
      <c r="B124" s="25" t="s">
        <v>48</v>
      </c>
      <c r="C124" s="16" t="s">
        <v>49</v>
      </c>
      <c r="D124" s="49" t="s">
        <v>9</v>
      </c>
      <c r="E124" s="17">
        <v>0.4</v>
      </c>
      <c r="F124" s="18">
        <f>TRUNC(5.83,2)</f>
        <v>5.83</v>
      </c>
      <c r="G124" s="18">
        <f t="shared" si="5"/>
        <v>2.33</v>
      </c>
      <c r="H124" s="18"/>
      <c r="I124" s="19"/>
      <c r="K124" s="20"/>
    </row>
    <row r="125" spans="1:11" s="28" customFormat="1" ht="13.5">
      <c r="A125" s="48"/>
      <c r="B125" s="25" t="s">
        <v>134</v>
      </c>
      <c r="C125" s="16" t="s">
        <v>135</v>
      </c>
      <c r="D125" s="49" t="s">
        <v>9</v>
      </c>
      <c r="E125" s="17">
        <v>0.7</v>
      </c>
      <c r="F125" s="18">
        <f>TRUNC(9.67,2)</f>
        <v>9.67</v>
      </c>
      <c r="G125" s="18">
        <f t="shared" si="5"/>
        <v>6.76</v>
      </c>
      <c r="H125" s="18"/>
      <c r="I125" s="19"/>
      <c r="K125" s="20"/>
    </row>
    <row r="126" spans="1:11" s="28" customFormat="1" ht="27">
      <c r="A126" s="48"/>
      <c r="B126" s="25" t="s">
        <v>21</v>
      </c>
      <c r="C126" s="16" t="s">
        <v>22</v>
      </c>
      <c r="D126" s="49" t="s">
        <v>4</v>
      </c>
      <c r="E126" s="17">
        <v>1.0815000000000001</v>
      </c>
      <c r="F126" s="18">
        <f>TRUNC(14.34,2)</f>
        <v>14.34</v>
      </c>
      <c r="G126" s="18">
        <f t="shared" si="5"/>
        <v>15.5</v>
      </c>
      <c r="H126" s="18"/>
      <c r="I126" s="19"/>
      <c r="K126" s="20"/>
    </row>
    <row r="127" spans="1:11" s="28" customFormat="1" ht="27">
      <c r="A127" s="48"/>
      <c r="B127" s="25" t="s">
        <v>25</v>
      </c>
      <c r="C127" s="16" t="s">
        <v>26</v>
      </c>
      <c r="D127" s="49" t="s">
        <v>4</v>
      </c>
      <c r="E127" s="17">
        <v>1.0815000000000001</v>
      </c>
      <c r="F127" s="18">
        <f>TRUNC(19.81,2)</f>
        <v>19.81</v>
      </c>
      <c r="G127" s="18">
        <f t="shared" si="5"/>
        <v>21.42</v>
      </c>
      <c r="H127" s="18"/>
      <c r="I127" s="19"/>
      <c r="K127" s="20"/>
    </row>
    <row r="128" spans="1:11" s="28" customFormat="1" ht="13.5">
      <c r="A128" s="48"/>
      <c r="B128" s="25" t="s">
        <v>328</v>
      </c>
      <c r="C128" s="16" t="s">
        <v>329</v>
      </c>
      <c r="D128" s="49" t="s">
        <v>9</v>
      </c>
      <c r="E128" s="17">
        <v>0.93</v>
      </c>
      <c r="F128" s="18">
        <f>TRUNC(6.5726,2)</f>
        <v>6.57</v>
      </c>
      <c r="G128" s="18">
        <f t="shared" si="5"/>
        <v>6.11</v>
      </c>
      <c r="H128" s="18"/>
      <c r="I128" s="19"/>
      <c r="K128" s="20"/>
    </row>
    <row r="129" spans="1:11" s="28" customFormat="1" ht="13.5">
      <c r="A129" s="48"/>
      <c r="B129" s="25" t="s">
        <v>330</v>
      </c>
      <c r="C129" s="16" t="s">
        <v>331</v>
      </c>
      <c r="D129" s="49" t="s">
        <v>10</v>
      </c>
      <c r="E129" s="17">
        <v>1</v>
      </c>
      <c r="F129" s="18">
        <f>TRUNC(3.3415,2)</f>
        <v>3.34</v>
      </c>
      <c r="G129" s="18">
        <f t="shared" si="5"/>
        <v>3.34</v>
      </c>
      <c r="H129" s="18"/>
      <c r="I129" s="19"/>
      <c r="K129" s="20"/>
    </row>
    <row r="130" spans="1:11" s="28" customFormat="1" ht="13.5">
      <c r="A130" s="48"/>
      <c r="B130" s="25"/>
      <c r="C130" s="16"/>
      <c r="D130" s="49"/>
      <c r="E130" s="17" t="s">
        <v>16</v>
      </c>
      <c r="F130" s="18"/>
      <c r="G130" s="18">
        <f>TRUNC(SUM(G123:G129),2)</f>
        <v>57.4</v>
      </c>
      <c r="H130" s="18"/>
      <c r="I130" s="19"/>
      <c r="K130" s="20"/>
    </row>
    <row r="131" spans="1:11" s="65" customFormat="1" ht="41.25">
      <c r="A131" s="83" t="s">
        <v>267</v>
      </c>
      <c r="B131" s="84" t="s">
        <v>183</v>
      </c>
      <c r="C131" s="85" t="s">
        <v>184</v>
      </c>
      <c r="D131" s="86" t="s">
        <v>10</v>
      </c>
      <c r="E131" s="87">
        <v>64.48</v>
      </c>
      <c r="F131" s="88">
        <f>TRUNC(G136,2)</f>
        <v>67.83</v>
      </c>
      <c r="G131" s="88">
        <f>TRUNC(F131*1.2882,2)</f>
        <v>87.37</v>
      </c>
      <c r="H131" s="88">
        <f>TRUNC(F131*E131,2)</f>
        <v>4373.67</v>
      </c>
      <c r="I131" s="89">
        <f>TRUNC(E131*G131,2)</f>
        <v>5633.61</v>
      </c>
      <c r="K131" s="66"/>
    </row>
    <row r="132" spans="1:11" s="28" customFormat="1" ht="13.5">
      <c r="A132" s="48"/>
      <c r="B132" s="25" t="s">
        <v>185</v>
      </c>
      <c r="C132" s="16" t="s">
        <v>186</v>
      </c>
      <c r="D132" s="49" t="s">
        <v>14</v>
      </c>
      <c r="E132" s="17">
        <v>13</v>
      </c>
      <c r="F132" s="18">
        <f>TRUNC(2.58,2)</f>
        <v>2.58</v>
      </c>
      <c r="G132" s="18">
        <f>TRUNC(E132*F132,2)</f>
        <v>33.54</v>
      </c>
      <c r="H132" s="18"/>
      <c r="I132" s="19"/>
      <c r="K132" s="20"/>
    </row>
    <row r="133" spans="1:11" s="28" customFormat="1" ht="27">
      <c r="A133" s="48"/>
      <c r="B133" s="25" t="s">
        <v>21</v>
      </c>
      <c r="C133" s="16" t="s">
        <v>22</v>
      </c>
      <c r="D133" s="49" t="s">
        <v>4</v>
      </c>
      <c r="E133" s="17">
        <v>0.8549</v>
      </c>
      <c r="F133" s="18">
        <f>TRUNC(14.34,2)</f>
        <v>14.34</v>
      </c>
      <c r="G133" s="18">
        <f>TRUNC(E133*F133,2)</f>
        <v>12.25</v>
      </c>
      <c r="H133" s="18"/>
      <c r="I133" s="19"/>
      <c r="K133" s="20"/>
    </row>
    <row r="134" spans="1:11" s="28" customFormat="1" ht="13.5">
      <c r="A134" s="48"/>
      <c r="B134" s="25" t="s">
        <v>23</v>
      </c>
      <c r="C134" s="16" t="s">
        <v>24</v>
      </c>
      <c r="D134" s="49" t="s">
        <v>4</v>
      </c>
      <c r="E134" s="17">
        <v>0.8549</v>
      </c>
      <c r="F134" s="18">
        <f>TRUNC(19.81,2)</f>
        <v>19.81</v>
      </c>
      <c r="G134" s="18">
        <f>TRUNC(E134*F134,2)</f>
        <v>16.93</v>
      </c>
      <c r="H134" s="18"/>
      <c r="I134" s="19"/>
      <c r="K134" s="20"/>
    </row>
    <row r="135" spans="1:11" s="28" customFormat="1" ht="13.5">
      <c r="A135" s="48"/>
      <c r="B135" s="25" t="s">
        <v>187</v>
      </c>
      <c r="C135" s="16" t="s">
        <v>188</v>
      </c>
      <c r="D135" s="49" t="s">
        <v>83</v>
      </c>
      <c r="E135" s="17">
        <v>0.015</v>
      </c>
      <c r="F135" s="18">
        <f>TRUNC(341.0076,2)</f>
        <v>341</v>
      </c>
      <c r="G135" s="18">
        <f>TRUNC(E135*F135,2)</f>
        <v>5.11</v>
      </c>
      <c r="H135" s="18"/>
      <c r="I135" s="19"/>
      <c r="K135" s="20"/>
    </row>
    <row r="136" spans="1:11" s="28" customFormat="1" ht="13.5">
      <c r="A136" s="48"/>
      <c r="B136" s="25"/>
      <c r="C136" s="16"/>
      <c r="D136" s="49"/>
      <c r="E136" s="17" t="s">
        <v>16</v>
      </c>
      <c r="F136" s="18"/>
      <c r="G136" s="18">
        <f>TRUNC(SUM(G132:G135),2)</f>
        <v>67.83</v>
      </c>
      <c r="H136" s="18"/>
      <c r="I136" s="19"/>
      <c r="K136" s="20"/>
    </row>
    <row r="137" spans="1:9" s="9" customFormat="1" ht="13.5">
      <c r="A137" s="31" t="s">
        <v>27</v>
      </c>
      <c r="B137" s="29"/>
      <c r="C137" s="21" t="s">
        <v>334</v>
      </c>
      <c r="D137" s="39"/>
      <c r="E137" s="22"/>
      <c r="F137" s="23"/>
      <c r="G137" s="23"/>
      <c r="H137" s="24">
        <f>H102+H107+H112+H116+H122+H131</f>
        <v>31945.699999999997</v>
      </c>
      <c r="I137" s="24">
        <f>I102+I107+I112+I116+I122+I131</f>
        <v>41148.44</v>
      </c>
    </row>
    <row r="138" spans="1:9" s="9" customFormat="1" ht="13.5">
      <c r="A138" s="31" t="s">
        <v>268</v>
      </c>
      <c r="B138" s="21"/>
      <c r="C138" s="67" t="s">
        <v>189</v>
      </c>
      <c r="D138" s="39"/>
      <c r="E138" s="22"/>
      <c r="F138" s="23"/>
      <c r="G138" s="23"/>
      <c r="H138" s="24"/>
      <c r="I138" s="24"/>
    </row>
    <row r="139" spans="1:11" s="65" customFormat="1" ht="41.25">
      <c r="A139" s="83" t="s">
        <v>269</v>
      </c>
      <c r="B139" s="84" t="s">
        <v>190</v>
      </c>
      <c r="C139" s="85" t="s">
        <v>191</v>
      </c>
      <c r="D139" s="86" t="s">
        <v>10</v>
      </c>
      <c r="E139" s="87">
        <v>128.64</v>
      </c>
      <c r="F139" s="88">
        <f>TRUNC(G144,2)</f>
        <v>28.06</v>
      </c>
      <c r="G139" s="88">
        <f>TRUNC(F139*1.2882,2)</f>
        <v>36.14</v>
      </c>
      <c r="H139" s="88">
        <f>TRUNC(F139*E139,2)</f>
        <v>3609.63</v>
      </c>
      <c r="I139" s="89">
        <f>TRUNC(E139*G139,2)</f>
        <v>4649.04</v>
      </c>
      <c r="K139" s="66"/>
    </row>
    <row r="140" spans="1:11" s="28" customFormat="1" ht="27">
      <c r="A140" s="48"/>
      <c r="B140" s="25" t="s">
        <v>21</v>
      </c>
      <c r="C140" s="16" t="s">
        <v>22</v>
      </c>
      <c r="D140" s="49" t="s">
        <v>4</v>
      </c>
      <c r="E140" s="17">
        <v>0.41200000000000003</v>
      </c>
      <c r="F140" s="18">
        <f>TRUNC(14.34,2)</f>
        <v>14.34</v>
      </c>
      <c r="G140" s="18">
        <f>TRUNC(E140*F140,2)</f>
        <v>5.9</v>
      </c>
      <c r="H140" s="18"/>
      <c r="I140" s="19"/>
      <c r="K140" s="20"/>
    </row>
    <row r="141" spans="1:11" s="28" customFormat="1" ht="13.5">
      <c r="A141" s="48"/>
      <c r="B141" s="25" t="s">
        <v>23</v>
      </c>
      <c r="C141" s="16" t="s">
        <v>24</v>
      </c>
      <c r="D141" s="49" t="s">
        <v>4</v>
      </c>
      <c r="E141" s="17">
        <v>0.41200000000000003</v>
      </c>
      <c r="F141" s="18">
        <f>TRUNC(19.81,2)</f>
        <v>19.81</v>
      </c>
      <c r="G141" s="18">
        <f>TRUNC(E141*F141,2)</f>
        <v>8.16</v>
      </c>
      <c r="H141" s="18"/>
      <c r="I141" s="19"/>
      <c r="K141" s="20"/>
    </row>
    <row r="142" spans="1:11" s="28" customFormat="1" ht="27">
      <c r="A142" s="48"/>
      <c r="B142" s="25" t="s">
        <v>192</v>
      </c>
      <c r="C142" s="16" t="s">
        <v>193</v>
      </c>
      <c r="D142" s="49" t="s">
        <v>10</v>
      </c>
      <c r="E142" s="17">
        <v>1</v>
      </c>
      <c r="F142" s="18">
        <f>TRUNC(5.5082,2)</f>
        <v>5.5</v>
      </c>
      <c r="G142" s="18">
        <f>TRUNC(E142*F142,2)</f>
        <v>5.5</v>
      </c>
      <c r="H142" s="18"/>
      <c r="I142" s="19"/>
      <c r="K142" s="20"/>
    </row>
    <row r="143" spans="1:11" s="28" customFormat="1" ht="13.5">
      <c r="A143" s="48"/>
      <c r="B143" s="25" t="s">
        <v>194</v>
      </c>
      <c r="C143" s="16" t="s">
        <v>195</v>
      </c>
      <c r="D143" s="49" t="s">
        <v>83</v>
      </c>
      <c r="E143" s="17">
        <v>0.02625</v>
      </c>
      <c r="F143" s="18">
        <f>TRUNC(324.1056,2)</f>
        <v>324.1</v>
      </c>
      <c r="G143" s="18">
        <f>TRUNC(E143*F143,2)</f>
        <v>8.5</v>
      </c>
      <c r="H143" s="18"/>
      <c r="I143" s="19"/>
      <c r="K143" s="20"/>
    </row>
    <row r="144" spans="1:11" s="28" customFormat="1" ht="13.5">
      <c r="A144" s="48"/>
      <c r="B144" s="25"/>
      <c r="C144" s="16"/>
      <c r="D144" s="49"/>
      <c r="E144" s="17" t="s">
        <v>16</v>
      </c>
      <c r="F144" s="18"/>
      <c r="G144" s="18">
        <f>TRUNC(SUM(G140:G143),2)</f>
        <v>28.06</v>
      </c>
      <c r="H144" s="18"/>
      <c r="I144" s="19"/>
      <c r="K144" s="20"/>
    </row>
    <row r="145" spans="1:11" s="65" customFormat="1" ht="41.25">
      <c r="A145" s="83" t="s">
        <v>270</v>
      </c>
      <c r="B145" s="84" t="s">
        <v>196</v>
      </c>
      <c r="C145" s="85" t="s">
        <v>197</v>
      </c>
      <c r="D145" s="86" t="s">
        <v>10</v>
      </c>
      <c r="E145" s="87">
        <v>29.52</v>
      </c>
      <c r="F145" s="88">
        <f>TRUNC(G151,2)</f>
        <v>17.95</v>
      </c>
      <c r="G145" s="88">
        <f>TRUNC(F145*1.2882,2)</f>
        <v>23.12</v>
      </c>
      <c r="H145" s="88">
        <f>TRUNC(F145*E145,2)</f>
        <v>529.88</v>
      </c>
      <c r="I145" s="89">
        <f>TRUNC(E145*G145,2)</f>
        <v>682.5</v>
      </c>
      <c r="K145" s="66"/>
    </row>
    <row r="146" spans="1:11" s="28" customFormat="1" ht="13.5">
      <c r="A146" s="48"/>
      <c r="B146" s="25" t="s">
        <v>198</v>
      </c>
      <c r="C146" s="16" t="s">
        <v>199</v>
      </c>
      <c r="D146" s="49" t="s">
        <v>52</v>
      </c>
      <c r="E146" s="17">
        <v>0.03</v>
      </c>
      <c r="F146" s="18">
        <f>TRUNC(63.73,2)</f>
        <v>63.73</v>
      </c>
      <c r="G146" s="18">
        <f>TRUNC(E146*F146,2)</f>
        <v>1.91</v>
      </c>
      <c r="H146" s="18"/>
      <c r="I146" s="19"/>
      <c r="K146" s="20"/>
    </row>
    <row r="147" spans="1:11" s="28" customFormat="1" ht="13.5">
      <c r="A147" s="48"/>
      <c r="B147" s="25" t="s">
        <v>200</v>
      </c>
      <c r="C147" s="16" t="s">
        <v>201</v>
      </c>
      <c r="D147" s="49" t="s">
        <v>14</v>
      </c>
      <c r="E147" s="17">
        <v>0.5</v>
      </c>
      <c r="F147" s="18">
        <f>TRUNC(1.3,2)</f>
        <v>1.3</v>
      </c>
      <c r="G147" s="18">
        <f>TRUNC(E147*F147,2)</f>
        <v>0.65</v>
      </c>
      <c r="H147" s="18"/>
      <c r="I147" s="19"/>
      <c r="K147" s="20"/>
    </row>
    <row r="148" spans="1:11" s="28" customFormat="1" ht="13.5">
      <c r="A148" s="48"/>
      <c r="B148" s="25" t="s">
        <v>202</v>
      </c>
      <c r="C148" s="16" t="s">
        <v>203</v>
      </c>
      <c r="D148" s="49" t="s">
        <v>52</v>
      </c>
      <c r="E148" s="17">
        <v>0.05</v>
      </c>
      <c r="F148" s="18">
        <f>TRUNC(96.96,2)</f>
        <v>96.96</v>
      </c>
      <c r="G148" s="18">
        <f>TRUNC(E148*F148,2)</f>
        <v>4.84</v>
      </c>
      <c r="H148" s="18"/>
      <c r="I148" s="19"/>
      <c r="K148" s="20"/>
    </row>
    <row r="149" spans="1:11" s="28" customFormat="1" ht="27">
      <c r="A149" s="48"/>
      <c r="B149" s="25" t="s">
        <v>21</v>
      </c>
      <c r="C149" s="16" t="s">
        <v>22</v>
      </c>
      <c r="D149" s="49" t="s">
        <v>4</v>
      </c>
      <c r="E149" s="17">
        <v>0.1957</v>
      </c>
      <c r="F149" s="18">
        <f>TRUNC(14.34,2)</f>
        <v>14.34</v>
      </c>
      <c r="G149" s="18">
        <f>TRUNC(E149*F149,2)</f>
        <v>2.8</v>
      </c>
      <c r="H149" s="18"/>
      <c r="I149" s="19"/>
      <c r="K149" s="20"/>
    </row>
    <row r="150" spans="1:11" s="28" customFormat="1" ht="13.5">
      <c r="A150" s="48"/>
      <c r="B150" s="25" t="s">
        <v>55</v>
      </c>
      <c r="C150" s="16" t="s">
        <v>56</v>
      </c>
      <c r="D150" s="49" t="s">
        <v>4</v>
      </c>
      <c r="E150" s="17">
        <v>0.3914</v>
      </c>
      <c r="F150" s="18">
        <f>TRUNC(19.81,2)</f>
        <v>19.81</v>
      </c>
      <c r="G150" s="18">
        <f>TRUNC(E150*F150,2)</f>
        <v>7.75</v>
      </c>
      <c r="H150" s="18"/>
      <c r="I150" s="19"/>
      <c r="K150" s="20"/>
    </row>
    <row r="151" spans="1:11" s="28" customFormat="1" ht="13.5">
      <c r="A151" s="48"/>
      <c r="B151" s="25"/>
      <c r="C151" s="16"/>
      <c r="D151" s="49"/>
      <c r="E151" s="17" t="s">
        <v>16</v>
      </c>
      <c r="F151" s="18"/>
      <c r="G151" s="18">
        <f>TRUNC(SUM(G146:G150),2)</f>
        <v>17.95</v>
      </c>
      <c r="H151" s="18"/>
      <c r="I151" s="19"/>
      <c r="K151" s="20"/>
    </row>
    <row r="152" spans="1:11" s="65" customFormat="1" ht="27">
      <c r="A152" s="83" t="s">
        <v>271</v>
      </c>
      <c r="B152" s="84" t="s">
        <v>204</v>
      </c>
      <c r="C152" s="85" t="s">
        <v>205</v>
      </c>
      <c r="D152" s="86" t="s">
        <v>10</v>
      </c>
      <c r="E152" s="87">
        <v>104.43</v>
      </c>
      <c r="F152" s="88">
        <f>TRUNC(G156,2)</f>
        <v>14.49</v>
      </c>
      <c r="G152" s="88">
        <f>TRUNC(F152*1.2882,2)</f>
        <v>18.66</v>
      </c>
      <c r="H152" s="88">
        <f>TRUNC(F152*E152,2)</f>
        <v>1513.19</v>
      </c>
      <c r="I152" s="89">
        <f>TRUNC(E152*G152,2)</f>
        <v>1948.66</v>
      </c>
      <c r="K152" s="66"/>
    </row>
    <row r="153" spans="1:11" s="28" customFormat="1" ht="13.5">
      <c r="A153" s="48"/>
      <c r="B153" s="25" t="s">
        <v>206</v>
      </c>
      <c r="C153" s="16" t="s">
        <v>207</v>
      </c>
      <c r="D153" s="49" t="s">
        <v>208</v>
      </c>
      <c r="E153" s="17">
        <v>0.33</v>
      </c>
      <c r="F153" s="18">
        <f>TRUNC(23.52,2)</f>
        <v>23.52</v>
      </c>
      <c r="G153" s="18">
        <f>TRUNC(E153*F153,2)</f>
        <v>7.76</v>
      </c>
      <c r="H153" s="18"/>
      <c r="I153" s="19"/>
      <c r="K153" s="20"/>
    </row>
    <row r="154" spans="1:11" s="28" customFormat="1" ht="13.5">
      <c r="A154" s="48"/>
      <c r="B154" s="25" t="s">
        <v>34</v>
      </c>
      <c r="C154" s="16" t="s">
        <v>35</v>
      </c>
      <c r="D154" s="49" t="s">
        <v>4</v>
      </c>
      <c r="E154" s="17">
        <v>0.069</v>
      </c>
      <c r="F154" s="18">
        <f>TRUNC(21.54,2)</f>
        <v>21.54</v>
      </c>
      <c r="G154" s="18">
        <f>TRUNC(E154*F154,2)</f>
        <v>1.48</v>
      </c>
      <c r="H154" s="18"/>
      <c r="I154" s="19"/>
      <c r="K154" s="20"/>
    </row>
    <row r="155" spans="1:11" s="28" customFormat="1" ht="13.5">
      <c r="A155" s="48"/>
      <c r="B155" s="25" t="s">
        <v>209</v>
      </c>
      <c r="C155" s="16" t="s">
        <v>210</v>
      </c>
      <c r="D155" s="49" t="s">
        <v>4</v>
      </c>
      <c r="E155" s="17">
        <v>0.187</v>
      </c>
      <c r="F155" s="18">
        <f>TRUNC(28.08,2)</f>
        <v>28.08</v>
      </c>
      <c r="G155" s="18">
        <f>TRUNC(E155*F155,2)</f>
        <v>5.25</v>
      </c>
      <c r="H155" s="18"/>
      <c r="I155" s="19"/>
      <c r="K155" s="20"/>
    </row>
    <row r="156" spans="1:11" s="28" customFormat="1" ht="13.5">
      <c r="A156" s="48"/>
      <c r="B156" s="25"/>
      <c r="C156" s="16"/>
      <c r="D156" s="49"/>
      <c r="E156" s="17" t="s">
        <v>16</v>
      </c>
      <c r="F156" s="18"/>
      <c r="G156" s="18">
        <f>TRUNC(SUM(G153:G155),2)</f>
        <v>14.49</v>
      </c>
      <c r="H156" s="18"/>
      <c r="I156" s="19"/>
      <c r="K156" s="20"/>
    </row>
    <row r="157" spans="1:11" s="65" customFormat="1" ht="41.25">
      <c r="A157" s="83" t="s">
        <v>272</v>
      </c>
      <c r="B157" s="84" t="s">
        <v>332</v>
      </c>
      <c r="C157" s="85" t="s">
        <v>216</v>
      </c>
      <c r="D157" s="86" t="s">
        <v>10</v>
      </c>
      <c r="E157" s="87">
        <v>104.43</v>
      </c>
      <c r="F157" s="88">
        <f>TRUNC(G163,2)</f>
        <v>20.49</v>
      </c>
      <c r="G157" s="88">
        <f>TRUNC(F157*1.2882,2)</f>
        <v>26.39</v>
      </c>
      <c r="H157" s="88">
        <f>TRUNC(F157*E157,2)</f>
        <v>2139.77</v>
      </c>
      <c r="I157" s="89">
        <f>TRUNC(E157*G157,2)</f>
        <v>2755.9</v>
      </c>
      <c r="K157" s="66"/>
    </row>
    <row r="158" spans="1:11" s="28" customFormat="1" ht="13.5">
      <c r="A158" s="48"/>
      <c r="B158" s="25" t="s">
        <v>217</v>
      </c>
      <c r="C158" s="16" t="s">
        <v>218</v>
      </c>
      <c r="D158" s="49" t="s">
        <v>52</v>
      </c>
      <c r="E158" s="17">
        <v>0.03</v>
      </c>
      <c r="F158" s="18">
        <f>TRUNC(40.99,2)</f>
        <v>40.99</v>
      </c>
      <c r="G158" s="18">
        <f>TRUNC(E158*F158,2)</f>
        <v>1.22</v>
      </c>
      <c r="H158" s="18"/>
      <c r="I158" s="19"/>
      <c r="K158" s="20"/>
    </row>
    <row r="159" spans="1:11" s="28" customFormat="1" ht="13.5">
      <c r="A159" s="48"/>
      <c r="B159" s="25" t="s">
        <v>211</v>
      </c>
      <c r="C159" s="16" t="s">
        <v>212</v>
      </c>
      <c r="D159" s="49" t="s">
        <v>14</v>
      </c>
      <c r="E159" s="17">
        <v>0.027</v>
      </c>
      <c r="F159" s="18">
        <f>TRUNC(68.25,2)</f>
        <v>68.25</v>
      </c>
      <c r="G159" s="18">
        <f>TRUNC(E159*F159,2)</f>
        <v>1.84</v>
      </c>
      <c r="H159" s="18"/>
      <c r="I159" s="19"/>
      <c r="K159" s="20"/>
    </row>
    <row r="160" spans="1:11" s="28" customFormat="1" ht="13.5">
      <c r="A160" s="48"/>
      <c r="B160" s="25" t="s">
        <v>219</v>
      </c>
      <c r="C160" s="16" t="s">
        <v>220</v>
      </c>
      <c r="D160" s="49" t="s">
        <v>14</v>
      </c>
      <c r="E160" s="17">
        <v>1</v>
      </c>
      <c r="F160" s="18">
        <f>TRUNC(0.76,2)</f>
        <v>0.76</v>
      </c>
      <c r="G160" s="18">
        <f>TRUNC(E160*F160,2)</f>
        <v>0.76</v>
      </c>
      <c r="H160" s="18"/>
      <c r="I160" s="19"/>
      <c r="K160" s="20"/>
    </row>
    <row r="161" spans="1:11" s="28" customFormat="1" ht="27">
      <c r="A161" s="48"/>
      <c r="B161" s="25" t="s">
        <v>21</v>
      </c>
      <c r="C161" s="16" t="s">
        <v>22</v>
      </c>
      <c r="D161" s="49" t="s">
        <v>4</v>
      </c>
      <c r="E161" s="17">
        <v>0.309</v>
      </c>
      <c r="F161" s="18">
        <f>TRUNC(14.34,2)</f>
        <v>14.34</v>
      </c>
      <c r="G161" s="18">
        <f>TRUNC(E161*F161,2)</f>
        <v>4.43</v>
      </c>
      <c r="H161" s="18"/>
      <c r="I161" s="19"/>
      <c r="K161" s="20"/>
    </row>
    <row r="162" spans="1:11" s="28" customFormat="1" ht="13.5">
      <c r="A162" s="48"/>
      <c r="B162" s="25" t="s">
        <v>55</v>
      </c>
      <c r="C162" s="16" t="s">
        <v>56</v>
      </c>
      <c r="D162" s="49" t="s">
        <v>4</v>
      </c>
      <c r="E162" s="17">
        <v>0.618</v>
      </c>
      <c r="F162" s="18">
        <f>TRUNC(19.81,2)</f>
        <v>19.81</v>
      </c>
      <c r="G162" s="18">
        <f>TRUNC(E162*F162,2)</f>
        <v>12.24</v>
      </c>
      <c r="H162" s="18"/>
      <c r="I162" s="19"/>
      <c r="K162" s="20"/>
    </row>
    <row r="163" spans="1:11" s="28" customFormat="1" ht="13.5">
      <c r="A163" s="48"/>
      <c r="B163" s="25"/>
      <c r="C163" s="16"/>
      <c r="D163" s="49"/>
      <c r="E163" s="17" t="s">
        <v>16</v>
      </c>
      <c r="F163" s="18"/>
      <c r="G163" s="18">
        <f>TRUNC(SUM(G158:G162),2)</f>
        <v>20.49</v>
      </c>
      <c r="H163" s="18"/>
      <c r="I163" s="19"/>
      <c r="K163" s="20"/>
    </row>
    <row r="164" spans="1:9" s="9" customFormat="1" ht="13.5">
      <c r="A164" s="31" t="s">
        <v>27</v>
      </c>
      <c r="B164" s="29"/>
      <c r="C164" s="21" t="s">
        <v>280</v>
      </c>
      <c r="D164" s="39"/>
      <c r="E164" s="22"/>
      <c r="F164" s="23"/>
      <c r="G164" s="23"/>
      <c r="H164" s="24">
        <f>H157+H152+H145+H139</f>
        <v>7792.47</v>
      </c>
      <c r="I164" s="24">
        <f>I157+I152+I145+I139</f>
        <v>10036.1</v>
      </c>
    </row>
    <row r="165" spans="1:9" s="9" customFormat="1" ht="13.5">
      <c r="A165" s="31" t="s">
        <v>273</v>
      </c>
      <c r="B165" s="21"/>
      <c r="C165" s="67" t="s">
        <v>221</v>
      </c>
      <c r="D165" s="39"/>
      <c r="E165" s="22"/>
      <c r="F165" s="23"/>
      <c r="G165" s="23"/>
      <c r="H165" s="24"/>
      <c r="I165" s="24"/>
    </row>
    <row r="166" spans="1:11" s="65" customFormat="1" ht="24.75" customHeight="1">
      <c r="A166" s="83" t="s">
        <v>274</v>
      </c>
      <c r="B166" s="84" t="s">
        <v>222</v>
      </c>
      <c r="C166" s="85" t="s">
        <v>223</v>
      </c>
      <c r="D166" s="86" t="s">
        <v>10</v>
      </c>
      <c r="E166" s="87">
        <v>23</v>
      </c>
      <c r="F166" s="88">
        <f>TRUNC(G170,2)</f>
        <v>6.71</v>
      </c>
      <c r="G166" s="88">
        <f>TRUNC(F166*1.2882,2)</f>
        <v>8.64</v>
      </c>
      <c r="H166" s="88">
        <f>TRUNC(F166*E166,2)</f>
        <v>154.33</v>
      </c>
      <c r="I166" s="89">
        <f>TRUNC(E166*G166,2)</f>
        <v>198.72</v>
      </c>
      <c r="K166" s="66"/>
    </row>
    <row r="167" spans="1:11" s="28" customFormat="1" ht="27">
      <c r="A167" s="48"/>
      <c r="B167" s="25" t="s">
        <v>224</v>
      </c>
      <c r="C167" s="16" t="s">
        <v>225</v>
      </c>
      <c r="D167" s="49" t="s">
        <v>10</v>
      </c>
      <c r="E167" s="17">
        <v>0.55</v>
      </c>
      <c r="F167" s="18">
        <f>TRUNC(10.3,2)</f>
        <v>10.3</v>
      </c>
      <c r="G167" s="18">
        <f>TRUNC(E167*F167,2)</f>
        <v>5.66</v>
      </c>
      <c r="H167" s="18"/>
      <c r="I167" s="19"/>
      <c r="K167" s="20"/>
    </row>
    <row r="168" spans="1:11" s="28" customFormat="1" ht="27">
      <c r="A168" s="48"/>
      <c r="B168" s="25" t="s">
        <v>21</v>
      </c>
      <c r="C168" s="16" t="s">
        <v>22</v>
      </c>
      <c r="D168" s="49" t="s">
        <v>4</v>
      </c>
      <c r="E168" s="17">
        <v>0.0309</v>
      </c>
      <c r="F168" s="18">
        <f>TRUNC(14.34,2)</f>
        <v>14.34</v>
      </c>
      <c r="G168" s="18">
        <f>TRUNC(E168*F168,2)</f>
        <v>0.44</v>
      </c>
      <c r="H168" s="18"/>
      <c r="I168" s="19"/>
      <c r="K168" s="20"/>
    </row>
    <row r="169" spans="1:11" s="28" customFormat="1" ht="13.5">
      <c r="A169" s="48"/>
      <c r="B169" s="25" t="s">
        <v>23</v>
      </c>
      <c r="C169" s="16" t="s">
        <v>24</v>
      </c>
      <c r="D169" s="49" t="s">
        <v>4</v>
      </c>
      <c r="E169" s="17">
        <v>0.0309</v>
      </c>
      <c r="F169" s="18">
        <f>TRUNC(19.81,2)</f>
        <v>19.81</v>
      </c>
      <c r="G169" s="18">
        <f>TRUNC(E169*F169,2)</f>
        <v>0.61</v>
      </c>
      <c r="H169" s="18"/>
      <c r="I169" s="19"/>
      <c r="K169" s="20"/>
    </row>
    <row r="170" spans="1:11" s="28" customFormat="1" ht="13.5">
      <c r="A170" s="48"/>
      <c r="B170" s="25"/>
      <c r="C170" s="16"/>
      <c r="D170" s="49"/>
      <c r="E170" s="17" t="s">
        <v>16</v>
      </c>
      <c r="F170" s="18"/>
      <c r="G170" s="18">
        <f>TRUNC(SUM(G167:G169),2)</f>
        <v>6.71</v>
      </c>
      <c r="H170" s="18"/>
      <c r="I170" s="19"/>
      <c r="K170" s="20"/>
    </row>
    <row r="171" spans="1:11" s="65" customFormat="1" ht="27">
      <c r="A171" s="83" t="s">
        <v>275</v>
      </c>
      <c r="B171" s="84" t="s">
        <v>226</v>
      </c>
      <c r="C171" s="85" t="s">
        <v>227</v>
      </c>
      <c r="D171" s="86" t="s">
        <v>9</v>
      </c>
      <c r="E171" s="87">
        <v>6</v>
      </c>
      <c r="F171" s="88">
        <f>TRUNC(G175,2)</f>
        <v>18.01</v>
      </c>
      <c r="G171" s="88">
        <f>TRUNC(F171*1.2882,2)</f>
        <v>23.2</v>
      </c>
      <c r="H171" s="88">
        <f>TRUNC(F171*E171,2)</f>
        <v>108.06</v>
      </c>
      <c r="I171" s="89">
        <f>TRUNC(E171*G171,2)</f>
        <v>139.2</v>
      </c>
      <c r="K171" s="66"/>
    </row>
    <row r="172" spans="1:11" s="28" customFormat="1" ht="13.5">
      <c r="A172" s="48"/>
      <c r="B172" s="25" t="s">
        <v>228</v>
      </c>
      <c r="C172" s="16" t="s">
        <v>229</v>
      </c>
      <c r="D172" s="49" t="s">
        <v>230</v>
      </c>
      <c r="E172" s="17">
        <v>0.00145</v>
      </c>
      <c r="F172" s="18">
        <f>TRUNC(60.8,2)</f>
        <v>60.8</v>
      </c>
      <c r="G172" s="18">
        <f>TRUNC(E172*F172,2)</f>
        <v>0.08</v>
      </c>
      <c r="H172" s="18"/>
      <c r="I172" s="19"/>
      <c r="K172" s="20"/>
    </row>
    <row r="173" spans="1:11" s="28" customFormat="1" ht="13.5">
      <c r="A173" s="48"/>
      <c r="B173" s="25" t="s">
        <v>231</v>
      </c>
      <c r="C173" s="16" t="s">
        <v>232</v>
      </c>
      <c r="D173" s="49" t="s">
        <v>14</v>
      </c>
      <c r="E173" s="17">
        <v>0.175</v>
      </c>
      <c r="F173" s="18">
        <f>TRUNC(60.29,2)</f>
        <v>60.29</v>
      </c>
      <c r="G173" s="18">
        <f>TRUNC(E173*F173,2)</f>
        <v>10.55</v>
      </c>
      <c r="H173" s="18"/>
      <c r="I173" s="19"/>
      <c r="K173" s="20"/>
    </row>
    <row r="174" spans="1:11" s="28" customFormat="1" ht="27">
      <c r="A174" s="48"/>
      <c r="B174" s="25" t="s">
        <v>21</v>
      </c>
      <c r="C174" s="16" t="s">
        <v>22</v>
      </c>
      <c r="D174" s="49" t="s">
        <v>4</v>
      </c>
      <c r="E174" s="17">
        <v>0.515</v>
      </c>
      <c r="F174" s="18">
        <f>TRUNC(14.34,2)</f>
        <v>14.34</v>
      </c>
      <c r="G174" s="18">
        <f>TRUNC(E174*F174,2)</f>
        <v>7.38</v>
      </c>
      <c r="H174" s="18"/>
      <c r="I174" s="19"/>
      <c r="K174" s="20"/>
    </row>
    <row r="175" spans="1:11" s="28" customFormat="1" ht="13.5">
      <c r="A175" s="48"/>
      <c r="B175" s="25"/>
      <c r="C175" s="16"/>
      <c r="D175" s="49"/>
      <c r="E175" s="17" t="s">
        <v>16</v>
      </c>
      <c r="F175" s="18"/>
      <c r="G175" s="18">
        <f>TRUNC(SUM(G172:G174),2)</f>
        <v>18.01</v>
      </c>
      <c r="H175" s="18"/>
      <c r="I175" s="19"/>
      <c r="K175" s="20"/>
    </row>
    <row r="176" spans="1:11" s="65" customFormat="1" ht="13.5">
      <c r="A176" s="83" t="s">
        <v>276</v>
      </c>
      <c r="B176" s="84" t="s">
        <v>233</v>
      </c>
      <c r="C176" s="85" t="s">
        <v>236</v>
      </c>
      <c r="D176" s="86" t="s">
        <v>10</v>
      </c>
      <c r="E176" s="87">
        <v>31.52</v>
      </c>
      <c r="F176" s="88">
        <f>TRUNC(G179,2)</f>
        <v>11.08</v>
      </c>
      <c r="G176" s="88">
        <f>TRUNC(F176*1.2882,2)</f>
        <v>14.27</v>
      </c>
      <c r="H176" s="88">
        <f>TRUNC(F176*E176,2)</f>
        <v>349.24</v>
      </c>
      <c r="I176" s="89">
        <f>TRUNC(E176*G176,2)</f>
        <v>449.79</v>
      </c>
      <c r="K176" s="66"/>
    </row>
    <row r="177" spans="1:11" s="28" customFormat="1" ht="13.5">
      <c r="A177" s="48"/>
      <c r="B177" s="25" t="s">
        <v>234</v>
      </c>
      <c r="C177" s="16" t="s">
        <v>235</v>
      </c>
      <c r="D177" s="49" t="s">
        <v>230</v>
      </c>
      <c r="E177" s="17">
        <v>0.05808</v>
      </c>
      <c r="F177" s="18">
        <v>57.4</v>
      </c>
      <c r="G177" s="18">
        <f>TRUNC(E177*F177,2)</f>
        <v>3.33</v>
      </c>
      <c r="H177" s="18"/>
      <c r="I177" s="19"/>
      <c r="K177" s="20"/>
    </row>
    <row r="178" spans="1:11" s="28" customFormat="1" ht="27">
      <c r="A178" s="48"/>
      <c r="B178" s="25" t="s">
        <v>21</v>
      </c>
      <c r="C178" s="16" t="s">
        <v>22</v>
      </c>
      <c r="D178" s="49" t="s">
        <v>4</v>
      </c>
      <c r="E178" s="17">
        <v>0.5407500000000001</v>
      </c>
      <c r="F178" s="18">
        <f>TRUNC(14.34,2)</f>
        <v>14.34</v>
      </c>
      <c r="G178" s="18">
        <f>TRUNC(E178*F178,2)</f>
        <v>7.75</v>
      </c>
      <c r="H178" s="18"/>
      <c r="I178" s="19"/>
      <c r="K178" s="20"/>
    </row>
    <row r="179" spans="1:11" s="28" customFormat="1" ht="13.5">
      <c r="A179" s="48"/>
      <c r="B179" s="25"/>
      <c r="C179" s="16"/>
      <c r="D179" s="49"/>
      <c r="E179" s="17" t="s">
        <v>16</v>
      </c>
      <c r="F179" s="18"/>
      <c r="G179" s="18">
        <f>TRUNC(SUM(G177:G178),2)</f>
        <v>11.08</v>
      </c>
      <c r="H179" s="18"/>
      <c r="I179" s="19"/>
      <c r="K179" s="20"/>
    </row>
    <row r="180" spans="1:11" s="65" customFormat="1" ht="41.25">
      <c r="A180" s="83" t="s">
        <v>277</v>
      </c>
      <c r="B180" s="84" t="s">
        <v>237</v>
      </c>
      <c r="C180" s="85" t="s">
        <v>238</v>
      </c>
      <c r="D180" s="86" t="s">
        <v>10</v>
      </c>
      <c r="E180" s="87">
        <v>91.33</v>
      </c>
      <c r="F180" s="88">
        <f>TRUNC(G183,2)</f>
        <v>44.24</v>
      </c>
      <c r="G180" s="88">
        <f>TRUNC(F180*1.2882,2)</f>
        <v>56.98</v>
      </c>
      <c r="H180" s="88">
        <f>TRUNC(F180*E180,2)</f>
        <v>4040.43</v>
      </c>
      <c r="I180" s="89">
        <f>TRUNC(E180*G180,2)</f>
        <v>5203.98</v>
      </c>
      <c r="K180" s="66"/>
    </row>
    <row r="181" spans="1:11" s="28" customFormat="1" ht="27">
      <c r="A181" s="48"/>
      <c r="B181" s="25" t="s">
        <v>239</v>
      </c>
      <c r="C181" s="16" t="s">
        <v>240</v>
      </c>
      <c r="D181" s="49" t="s">
        <v>10</v>
      </c>
      <c r="E181" s="17">
        <v>1.05</v>
      </c>
      <c r="F181" s="18">
        <f>TRUNC(33.7,2)</f>
        <v>33.7</v>
      </c>
      <c r="G181" s="18">
        <f>TRUNC(E181*F181,2)</f>
        <v>35.38</v>
      </c>
      <c r="H181" s="18"/>
      <c r="I181" s="19"/>
      <c r="K181" s="20"/>
    </row>
    <row r="182" spans="1:11" s="28" customFormat="1" ht="27">
      <c r="A182" s="48"/>
      <c r="B182" s="25" t="s">
        <v>21</v>
      </c>
      <c r="C182" s="16" t="s">
        <v>22</v>
      </c>
      <c r="D182" s="49" t="s">
        <v>4</v>
      </c>
      <c r="E182" s="17">
        <v>0.618</v>
      </c>
      <c r="F182" s="18">
        <f>TRUNC(14.34,2)</f>
        <v>14.34</v>
      </c>
      <c r="G182" s="18">
        <f>TRUNC(E182*F182,2)</f>
        <v>8.86</v>
      </c>
      <c r="H182" s="18"/>
      <c r="I182" s="19"/>
      <c r="K182" s="20"/>
    </row>
    <row r="183" spans="1:11" s="28" customFormat="1" ht="13.5">
      <c r="A183" s="48"/>
      <c r="B183" s="25"/>
      <c r="C183" s="16"/>
      <c r="D183" s="49"/>
      <c r="E183" s="17" t="s">
        <v>16</v>
      </c>
      <c r="F183" s="18"/>
      <c r="G183" s="18">
        <f>TRUNC(SUM(G181:G182),2)</f>
        <v>44.24</v>
      </c>
      <c r="H183" s="18"/>
      <c r="I183" s="19"/>
      <c r="K183" s="20"/>
    </row>
    <row r="184" spans="1:11" s="65" customFormat="1" ht="27">
      <c r="A184" s="83" t="s">
        <v>278</v>
      </c>
      <c r="B184" s="84" t="s">
        <v>241</v>
      </c>
      <c r="C184" s="85" t="s">
        <v>242</v>
      </c>
      <c r="D184" s="86" t="s">
        <v>10</v>
      </c>
      <c r="E184" s="87">
        <v>91.33</v>
      </c>
      <c r="F184" s="88">
        <f>TRUNC(G188,2)</f>
        <v>40.58</v>
      </c>
      <c r="G184" s="88">
        <f>TRUNC(F184*1.2882,2)</f>
        <v>52.27</v>
      </c>
      <c r="H184" s="88">
        <f>TRUNC(F184*E184,2)</f>
        <v>3706.17</v>
      </c>
      <c r="I184" s="89">
        <f>TRUNC(E184*G184,2)</f>
        <v>4773.81</v>
      </c>
      <c r="K184" s="66"/>
    </row>
    <row r="185" spans="1:11" s="28" customFormat="1" ht="13.5">
      <c r="A185" s="48"/>
      <c r="B185" s="25" t="s">
        <v>243</v>
      </c>
      <c r="C185" s="16" t="s">
        <v>244</v>
      </c>
      <c r="D185" s="49" t="s">
        <v>19</v>
      </c>
      <c r="E185" s="17">
        <v>1.2</v>
      </c>
      <c r="F185" s="18">
        <f>TRUNC(18.55,2)</f>
        <v>18.55</v>
      </c>
      <c r="G185" s="18">
        <f>TRUNC(E185*F185,2)</f>
        <v>22.26</v>
      </c>
      <c r="H185" s="18"/>
      <c r="I185" s="19"/>
      <c r="K185" s="20"/>
    </row>
    <row r="186" spans="1:11" s="28" customFormat="1" ht="13.5">
      <c r="A186" s="48"/>
      <c r="B186" s="25" t="s">
        <v>245</v>
      </c>
      <c r="C186" s="16" t="s">
        <v>246</v>
      </c>
      <c r="D186" s="49" t="s">
        <v>4</v>
      </c>
      <c r="E186" s="17">
        <v>0.578</v>
      </c>
      <c r="F186" s="18">
        <f>TRUNC(27.22,2)</f>
        <v>27.22</v>
      </c>
      <c r="G186" s="18">
        <f>TRUNC(E186*F186,2)</f>
        <v>15.73</v>
      </c>
      <c r="H186" s="18"/>
      <c r="I186" s="19"/>
      <c r="K186" s="20"/>
    </row>
    <row r="187" spans="1:11" s="28" customFormat="1" ht="13.5">
      <c r="A187" s="48"/>
      <c r="B187" s="25" t="s">
        <v>247</v>
      </c>
      <c r="C187" s="16" t="s">
        <v>248</v>
      </c>
      <c r="D187" s="49" t="s">
        <v>4</v>
      </c>
      <c r="E187" s="17">
        <v>0.117</v>
      </c>
      <c r="F187" s="18">
        <f>TRUNC(22.18,2)</f>
        <v>22.18</v>
      </c>
      <c r="G187" s="18">
        <f>TRUNC(E187*F187,2)</f>
        <v>2.59</v>
      </c>
      <c r="H187" s="18"/>
      <c r="I187" s="19"/>
      <c r="K187" s="20"/>
    </row>
    <row r="188" spans="1:11" s="28" customFormat="1" ht="13.5">
      <c r="A188" s="48"/>
      <c r="B188" s="25"/>
      <c r="C188" s="16"/>
      <c r="D188" s="49"/>
      <c r="E188" s="17" t="s">
        <v>16</v>
      </c>
      <c r="F188" s="18"/>
      <c r="G188" s="18">
        <f>TRUNC(SUM(G185:G187),2)</f>
        <v>40.58</v>
      </c>
      <c r="H188" s="18"/>
      <c r="I188" s="19"/>
      <c r="K188" s="20"/>
    </row>
    <row r="189" spans="1:9" s="9" customFormat="1" ht="13.5">
      <c r="A189" s="31" t="s">
        <v>27</v>
      </c>
      <c r="B189" s="29"/>
      <c r="C189" s="21" t="s">
        <v>279</v>
      </c>
      <c r="D189" s="39"/>
      <c r="E189" s="22"/>
      <c r="F189" s="23"/>
      <c r="G189" s="23"/>
      <c r="H189" s="24">
        <f>H166+H171+H176+H180+H184</f>
        <v>8358.23</v>
      </c>
      <c r="I189" s="24">
        <f>I166+I171+I176+I180+I184</f>
        <v>10765.5</v>
      </c>
    </row>
    <row r="190" spans="1:9" s="9" customFormat="1" ht="13.5">
      <c r="A190" s="31" t="s">
        <v>281</v>
      </c>
      <c r="B190" s="21"/>
      <c r="C190" s="67" t="s">
        <v>480</v>
      </c>
      <c r="D190" s="39"/>
      <c r="E190" s="22"/>
      <c r="F190" s="23"/>
      <c r="G190" s="23"/>
      <c r="H190" s="24"/>
      <c r="I190" s="24"/>
    </row>
    <row r="191" spans="1:11" s="65" customFormat="1" ht="27">
      <c r="A191" s="83" t="s">
        <v>527</v>
      </c>
      <c r="B191" s="84" t="s">
        <v>486</v>
      </c>
      <c r="C191" s="85" t="s">
        <v>483</v>
      </c>
      <c r="D191" s="86" t="s">
        <v>10</v>
      </c>
      <c r="E191" s="87">
        <v>4.2</v>
      </c>
      <c r="F191" s="88">
        <f>TRUNC(G196,2)</f>
        <v>771.53</v>
      </c>
      <c r="G191" s="88">
        <f>TRUNC(F191*1.2882,2)</f>
        <v>993.88</v>
      </c>
      <c r="H191" s="88">
        <f>TRUNC(F191*E191,2)</f>
        <v>3240.42</v>
      </c>
      <c r="I191" s="89">
        <f>TRUNC(E191*G191,2)</f>
        <v>4174.29</v>
      </c>
      <c r="K191" s="66"/>
    </row>
    <row r="192" spans="1:11" s="82" customFormat="1" ht="13.5">
      <c r="A192" s="75"/>
      <c r="B192" s="76" t="s">
        <v>440</v>
      </c>
      <c r="C192" s="77" t="s">
        <v>441</v>
      </c>
      <c r="D192" s="78" t="s">
        <v>19</v>
      </c>
      <c r="E192" s="79">
        <v>0</v>
      </c>
      <c r="F192" s="80">
        <f>TRUNC(15.0058,2)</f>
        <v>15</v>
      </c>
      <c r="G192" s="80">
        <f>TRUNC(E192*F192,2)</f>
        <v>0</v>
      </c>
      <c r="H192" s="80"/>
      <c r="I192" s="81"/>
      <c r="K192" s="72"/>
    </row>
    <row r="193" spans="1:11" s="82" customFormat="1" ht="27">
      <c r="A193" s="75"/>
      <c r="B193" s="76" t="s">
        <v>432</v>
      </c>
      <c r="C193" s="77" t="s">
        <v>433</v>
      </c>
      <c r="D193" s="78" t="s">
        <v>19</v>
      </c>
      <c r="E193" s="79">
        <v>0</v>
      </c>
      <c r="F193" s="80">
        <f>TRUNC(10.603,2)</f>
        <v>10.6</v>
      </c>
      <c r="G193" s="80">
        <f>TRUNC(E193*F193,2)</f>
        <v>0</v>
      </c>
      <c r="H193" s="80"/>
      <c r="I193" s="81"/>
      <c r="K193" s="72"/>
    </row>
    <row r="194" spans="1:11" s="28" customFormat="1" ht="27">
      <c r="A194" s="48"/>
      <c r="B194" s="25" t="s">
        <v>430</v>
      </c>
      <c r="C194" s="16" t="s">
        <v>431</v>
      </c>
      <c r="D194" s="49" t="s">
        <v>4</v>
      </c>
      <c r="E194" s="17">
        <v>21.63</v>
      </c>
      <c r="F194" s="18">
        <f>TRUNC(21.33,2)</f>
        <v>21.33</v>
      </c>
      <c r="G194" s="18">
        <f>TRUNC(E194*F194,2)</f>
        <v>461.36</v>
      </c>
      <c r="H194" s="18"/>
      <c r="I194" s="19"/>
      <c r="K194" s="20"/>
    </row>
    <row r="195" spans="1:11" s="28" customFormat="1" ht="27">
      <c r="A195" s="48"/>
      <c r="B195" s="25" t="s">
        <v>442</v>
      </c>
      <c r="C195" s="16" t="s">
        <v>443</v>
      </c>
      <c r="D195" s="49" t="s">
        <v>4</v>
      </c>
      <c r="E195" s="17">
        <v>21.63</v>
      </c>
      <c r="F195" s="18">
        <f>TRUNC(14.34,2)</f>
        <v>14.34</v>
      </c>
      <c r="G195" s="18">
        <f>TRUNC(E195*F195,2)</f>
        <v>310.17</v>
      </c>
      <c r="H195" s="18"/>
      <c r="I195" s="19"/>
      <c r="K195" s="20"/>
    </row>
    <row r="196" spans="1:11" s="28" customFormat="1" ht="13.5">
      <c r="A196" s="48"/>
      <c r="B196" s="25"/>
      <c r="C196" s="16"/>
      <c r="D196" s="49"/>
      <c r="E196" s="17" t="s">
        <v>16</v>
      </c>
      <c r="F196" s="18"/>
      <c r="G196" s="18">
        <f>TRUNC(SUM(G192:G195),2)</f>
        <v>771.53</v>
      </c>
      <c r="H196" s="18"/>
      <c r="I196" s="19"/>
      <c r="K196" s="20"/>
    </row>
    <row r="197" spans="1:11" s="65" customFormat="1" ht="54.75">
      <c r="A197" s="83" t="s">
        <v>528</v>
      </c>
      <c r="B197" s="84" t="s">
        <v>485</v>
      </c>
      <c r="C197" s="85" t="s">
        <v>484</v>
      </c>
      <c r="D197" s="86" t="s">
        <v>10</v>
      </c>
      <c r="E197" s="87">
        <v>15.56</v>
      </c>
      <c r="F197" s="88">
        <f>TRUNC(G201,2)</f>
        <v>293.91</v>
      </c>
      <c r="G197" s="88">
        <f>TRUNC(F197*1.2882,2)</f>
        <v>378.61</v>
      </c>
      <c r="H197" s="88">
        <f>TRUNC(F197*E197,2)</f>
        <v>4573.23</v>
      </c>
      <c r="I197" s="89">
        <f>TRUNC(E197*G197,2)</f>
        <v>5891.17</v>
      </c>
      <c r="K197" s="66"/>
    </row>
    <row r="198" spans="1:11" s="82" customFormat="1" ht="27">
      <c r="A198" s="75"/>
      <c r="B198" s="76" t="s">
        <v>432</v>
      </c>
      <c r="C198" s="77" t="s">
        <v>433</v>
      </c>
      <c r="D198" s="78" t="s">
        <v>19</v>
      </c>
      <c r="E198" s="79">
        <v>0</v>
      </c>
      <c r="F198" s="80">
        <f>TRUNC(10.603,2)</f>
        <v>10.6</v>
      </c>
      <c r="G198" s="80">
        <f>TRUNC(E198*F198,2)</f>
        <v>0</v>
      </c>
      <c r="H198" s="80"/>
      <c r="I198" s="81"/>
      <c r="K198" s="72"/>
    </row>
    <row r="199" spans="1:11" s="28" customFormat="1" ht="27">
      <c r="A199" s="48"/>
      <c r="B199" s="25" t="s">
        <v>21</v>
      </c>
      <c r="C199" s="16" t="s">
        <v>22</v>
      </c>
      <c r="D199" s="49" t="s">
        <v>4</v>
      </c>
      <c r="E199" s="17">
        <v>8.24</v>
      </c>
      <c r="F199" s="18">
        <f>TRUNC(14.34,2)</f>
        <v>14.34</v>
      </c>
      <c r="G199" s="18">
        <f>TRUNC(E199*F199,2)</f>
        <v>118.16</v>
      </c>
      <c r="H199" s="18"/>
      <c r="I199" s="19"/>
      <c r="K199" s="20"/>
    </row>
    <row r="200" spans="1:11" s="28" customFormat="1" ht="27">
      <c r="A200" s="48"/>
      <c r="B200" s="25" t="s">
        <v>430</v>
      </c>
      <c r="C200" s="16" t="s">
        <v>431</v>
      </c>
      <c r="D200" s="49" t="s">
        <v>4</v>
      </c>
      <c r="E200" s="17">
        <v>8.24</v>
      </c>
      <c r="F200" s="18">
        <f>TRUNC(21.33,2)</f>
        <v>21.33</v>
      </c>
      <c r="G200" s="18">
        <f>TRUNC(E200*F200,2)</f>
        <v>175.75</v>
      </c>
      <c r="H200" s="18"/>
      <c r="I200" s="19"/>
      <c r="K200" s="20"/>
    </row>
    <row r="201" spans="1:11" s="28" customFormat="1" ht="13.5">
      <c r="A201" s="48"/>
      <c r="B201" s="25"/>
      <c r="C201" s="16"/>
      <c r="D201" s="49"/>
      <c r="E201" s="17" t="s">
        <v>16</v>
      </c>
      <c r="F201" s="18"/>
      <c r="G201" s="18">
        <f>TRUNC(SUM(G198:G200),2)</f>
        <v>293.91</v>
      </c>
      <c r="H201" s="18"/>
      <c r="I201" s="19"/>
      <c r="K201" s="20"/>
    </row>
    <row r="202" spans="1:11" s="65" customFormat="1" ht="13.5">
      <c r="A202" s="83" t="s">
        <v>529</v>
      </c>
      <c r="B202" s="84" t="s">
        <v>434</v>
      </c>
      <c r="C202" s="85" t="s">
        <v>435</v>
      </c>
      <c r="D202" s="86" t="s">
        <v>14</v>
      </c>
      <c r="E202" s="87">
        <v>1</v>
      </c>
      <c r="F202" s="88">
        <f>TRUNC(G205,2)</f>
        <v>15.05</v>
      </c>
      <c r="G202" s="88">
        <f>TRUNC(F202*1.2882,2)</f>
        <v>19.38</v>
      </c>
      <c r="H202" s="88">
        <f>TRUNC(F202*E202,2)</f>
        <v>15.05</v>
      </c>
      <c r="I202" s="89">
        <f>TRUNC(E202*G202,2)</f>
        <v>19.38</v>
      </c>
      <c r="K202" s="66"/>
    </row>
    <row r="203" spans="1:11" s="28" customFormat="1" ht="27">
      <c r="A203" s="48"/>
      <c r="B203" s="25" t="s">
        <v>21</v>
      </c>
      <c r="C203" s="16" t="s">
        <v>22</v>
      </c>
      <c r="D203" s="49" t="s">
        <v>4</v>
      </c>
      <c r="E203" s="17">
        <v>0.4223</v>
      </c>
      <c r="F203" s="18">
        <f>TRUNC(14.34,2)</f>
        <v>14.34</v>
      </c>
      <c r="G203" s="18">
        <f>TRUNC(E203*F203,2)</f>
        <v>6.05</v>
      </c>
      <c r="H203" s="18"/>
      <c r="I203" s="19"/>
      <c r="K203" s="20"/>
    </row>
    <row r="204" spans="1:11" s="28" customFormat="1" ht="27">
      <c r="A204" s="48"/>
      <c r="B204" s="25" t="s">
        <v>436</v>
      </c>
      <c r="C204" s="16" t="s">
        <v>437</v>
      </c>
      <c r="D204" s="49" t="s">
        <v>4</v>
      </c>
      <c r="E204" s="17">
        <v>0.4223</v>
      </c>
      <c r="F204" s="18">
        <f>TRUNC(21.33,2)</f>
        <v>21.33</v>
      </c>
      <c r="G204" s="18">
        <f>TRUNC(E204*F204,2)</f>
        <v>9</v>
      </c>
      <c r="H204" s="18"/>
      <c r="I204" s="19"/>
      <c r="K204" s="20"/>
    </row>
    <row r="205" spans="1:11" s="28" customFormat="1" ht="13.5">
      <c r="A205" s="48"/>
      <c r="B205" s="25"/>
      <c r="C205" s="16"/>
      <c r="D205" s="49"/>
      <c r="E205" s="17" t="s">
        <v>16</v>
      </c>
      <c r="F205" s="18"/>
      <c r="G205" s="18">
        <f>TRUNC(SUM(G203:G204),2)</f>
        <v>15.05</v>
      </c>
      <c r="H205" s="18"/>
      <c r="I205" s="19"/>
      <c r="K205" s="20"/>
    </row>
    <row r="206" spans="1:11" s="65" customFormat="1" ht="27">
      <c r="A206" s="83" t="s">
        <v>530</v>
      </c>
      <c r="B206" s="84" t="s">
        <v>493</v>
      </c>
      <c r="C206" s="85" t="s">
        <v>492</v>
      </c>
      <c r="D206" s="86" t="s">
        <v>14</v>
      </c>
      <c r="E206" s="87">
        <v>2</v>
      </c>
      <c r="F206" s="88">
        <f>TRUNC(G211,2)</f>
        <v>15.73</v>
      </c>
      <c r="G206" s="88">
        <f>TRUNC(F206*1.2882,2)</f>
        <v>20.26</v>
      </c>
      <c r="H206" s="88">
        <f>TRUNC(F206*E206,2)</f>
        <v>31.46</v>
      </c>
      <c r="I206" s="89">
        <f>TRUNC(E206*G206,2)</f>
        <v>40.52</v>
      </c>
      <c r="K206" s="66"/>
    </row>
    <row r="207" spans="1:11" s="28" customFormat="1" ht="13.5">
      <c r="A207" s="48"/>
      <c r="B207" s="25" t="s">
        <v>488</v>
      </c>
      <c r="C207" s="16" t="s">
        <v>489</v>
      </c>
      <c r="D207" s="49" t="s">
        <v>14</v>
      </c>
      <c r="E207" s="17">
        <v>0</v>
      </c>
      <c r="F207" s="18">
        <f>TRUNC(26.91,2)</f>
        <v>26.91</v>
      </c>
      <c r="G207" s="18">
        <f>TRUNC(E207*F207,2)</f>
        <v>0</v>
      </c>
      <c r="H207" s="18"/>
      <c r="I207" s="19"/>
      <c r="K207" s="20"/>
    </row>
    <row r="208" spans="1:11" s="28" customFormat="1" ht="27">
      <c r="A208" s="48"/>
      <c r="B208" s="25" t="s">
        <v>490</v>
      </c>
      <c r="C208" s="16" t="s">
        <v>491</v>
      </c>
      <c r="D208" s="49" t="s">
        <v>14</v>
      </c>
      <c r="E208" s="17">
        <v>0</v>
      </c>
      <c r="F208" s="18">
        <f>TRUNC(0.61,2)</f>
        <v>0.61</v>
      </c>
      <c r="G208" s="18">
        <f>TRUNC(E208*F208,2)</f>
        <v>0</v>
      </c>
      <c r="H208" s="18"/>
      <c r="I208" s="19"/>
      <c r="K208" s="20"/>
    </row>
    <row r="209" spans="1:11" s="28" customFormat="1" ht="13.5">
      <c r="A209" s="48"/>
      <c r="B209" s="25" t="s">
        <v>34</v>
      </c>
      <c r="C209" s="16" t="s">
        <v>35</v>
      </c>
      <c r="D209" s="49" t="s">
        <v>4</v>
      </c>
      <c r="E209" s="17">
        <v>0.1494</v>
      </c>
      <c r="F209" s="18">
        <f>TRUNC(21.54,2)</f>
        <v>21.54</v>
      </c>
      <c r="G209" s="18">
        <f>TRUNC(E209*F209,2)</f>
        <v>3.21</v>
      </c>
      <c r="H209" s="18"/>
      <c r="I209" s="19"/>
      <c r="K209" s="20"/>
    </row>
    <row r="210" spans="1:11" s="28" customFormat="1" ht="13.5">
      <c r="A210" s="48"/>
      <c r="B210" s="25" t="s">
        <v>476</v>
      </c>
      <c r="C210" s="16" t="s">
        <v>477</v>
      </c>
      <c r="D210" s="49" t="s">
        <v>4</v>
      </c>
      <c r="E210" s="17">
        <v>0.4743</v>
      </c>
      <c r="F210" s="18">
        <f>TRUNC(26.41,2)</f>
        <v>26.41</v>
      </c>
      <c r="G210" s="18">
        <f>TRUNC(E210*F210,2)</f>
        <v>12.52</v>
      </c>
      <c r="H210" s="18"/>
      <c r="I210" s="19"/>
      <c r="K210" s="20"/>
    </row>
    <row r="211" spans="1:11" s="28" customFormat="1" ht="13.5">
      <c r="A211" s="48"/>
      <c r="B211" s="25"/>
      <c r="C211" s="16"/>
      <c r="D211" s="49"/>
      <c r="E211" s="17" t="s">
        <v>16</v>
      </c>
      <c r="F211" s="18"/>
      <c r="G211" s="18">
        <f>TRUNC(SUM(G207:G210),2)</f>
        <v>15.73</v>
      </c>
      <c r="H211" s="18"/>
      <c r="I211" s="19"/>
      <c r="K211" s="20"/>
    </row>
    <row r="212" spans="1:11" s="65" customFormat="1" ht="27">
      <c r="A212" s="83" t="s">
        <v>531</v>
      </c>
      <c r="B212" s="84" t="s">
        <v>444</v>
      </c>
      <c r="C212" s="85" t="s">
        <v>445</v>
      </c>
      <c r="D212" s="86" t="s">
        <v>14</v>
      </c>
      <c r="E212" s="87">
        <v>1</v>
      </c>
      <c r="F212" s="88">
        <f>TRUNC(G216,2)</f>
        <v>4756.74</v>
      </c>
      <c r="G212" s="88">
        <f>TRUNC(F212*1.2882,2)</f>
        <v>6127.63</v>
      </c>
      <c r="H212" s="88">
        <f>TRUNC(F212*E212,2)</f>
        <v>4756.74</v>
      </c>
      <c r="I212" s="89">
        <f>TRUNC(E212*G212,2)</f>
        <v>6127.63</v>
      </c>
      <c r="K212" s="66"/>
    </row>
    <row r="213" spans="1:11" s="28" customFormat="1" ht="41.25">
      <c r="A213" s="48"/>
      <c r="B213" s="25" t="s">
        <v>446</v>
      </c>
      <c r="C213" s="16" t="s">
        <v>447</v>
      </c>
      <c r="D213" s="49" t="s">
        <v>14</v>
      </c>
      <c r="E213" s="17">
        <v>1</v>
      </c>
      <c r="F213" s="18">
        <f>TRUNC(4489.04,2)</f>
        <v>4489.04</v>
      </c>
      <c r="G213" s="18">
        <f>TRUNC(E213*F213,2)</f>
        <v>4489.04</v>
      </c>
      <c r="H213" s="18"/>
      <c r="I213" s="19"/>
      <c r="K213" s="20"/>
    </row>
    <row r="214" spans="1:11" s="28" customFormat="1" ht="13.5">
      <c r="A214" s="48"/>
      <c r="B214" s="25" t="s">
        <v>448</v>
      </c>
      <c r="C214" s="16" t="s">
        <v>449</v>
      </c>
      <c r="D214" s="49" t="s">
        <v>4</v>
      </c>
      <c r="E214" s="17">
        <v>5.4904</v>
      </c>
      <c r="F214" s="18">
        <f>TRUNC(27.3,2)</f>
        <v>27.3</v>
      </c>
      <c r="G214" s="18">
        <f>TRUNC(E214*F214,2)</f>
        <v>149.88</v>
      </c>
      <c r="H214" s="18"/>
      <c r="I214" s="19"/>
      <c r="K214" s="20"/>
    </row>
    <row r="215" spans="1:11" s="28" customFormat="1" ht="13.5">
      <c r="A215" s="48"/>
      <c r="B215" s="25" t="s">
        <v>450</v>
      </c>
      <c r="C215" s="16" t="s">
        <v>451</v>
      </c>
      <c r="D215" s="49" t="s">
        <v>4</v>
      </c>
      <c r="E215" s="17">
        <v>5.4904</v>
      </c>
      <c r="F215" s="18">
        <f>TRUNC(21.46,2)</f>
        <v>21.46</v>
      </c>
      <c r="G215" s="18">
        <f>TRUNC(E215*F215,2)</f>
        <v>117.82</v>
      </c>
      <c r="H215" s="18"/>
      <c r="I215" s="19"/>
      <c r="K215" s="20"/>
    </row>
    <row r="216" spans="1:11" s="28" customFormat="1" ht="13.5">
      <c r="A216" s="48"/>
      <c r="B216" s="25"/>
      <c r="C216" s="16"/>
      <c r="D216" s="49"/>
      <c r="E216" s="17" t="s">
        <v>16</v>
      </c>
      <c r="F216" s="18"/>
      <c r="G216" s="18">
        <f>TRUNC(SUM(G213:G215),2)</f>
        <v>4756.74</v>
      </c>
      <c r="H216" s="18"/>
      <c r="I216" s="19"/>
      <c r="K216" s="20"/>
    </row>
    <row r="217" spans="1:11" s="65" customFormat="1" ht="27">
      <c r="A217" s="83" t="s">
        <v>532</v>
      </c>
      <c r="B217" s="84" t="s">
        <v>452</v>
      </c>
      <c r="C217" s="85" t="s">
        <v>453</v>
      </c>
      <c r="D217" s="86" t="s">
        <v>14</v>
      </c>
      <c r="E217" s="87">
        <v>1</v>
      </c>
      <c r="F217" s="88">
        <f>TRUNC(G231,2)</f>
        <v>280.81</v>
      </c>
      <c r="G217" s="88">
        <f>TRUNC(F217*1.2882,2)</f>
        <v>361.73</v>
      </c>
      <c r="H217" s="88">
        <f>TRUNC(F217*E217,2)</f>
        <v>280.81</v>
      </c>
      <c r="I217" s="89">
        <f>TRUNC(E217*G217,2)</f>
        <v>361.73</v>
      </c>
      <c r="K217" s="66"/>
    </row>
    <row r="218" spans="1:11" s="28" customFormat="1" ht="13.5">
      <c r="A218" s="48"/>
      <c r="B218" s="25" t="s">
        <v>454</v>
      </c>
      <c r="C218" s="16" t="s">
        <v>455</v>
      </c>
      <c r="D218" s="49" t="s">
        <v>14</v>
      </c>
      <c r="E218" s="17">
        <v>0.858</v>
      </c>
      <c r="F218" s="18">
        <f>TRUNC(1.79,2)</f>
        <v>1.79</v>
      </c>
      <c r="G218" s="18">
        <f aca="true" t="shared" si="6" ref="G218:G230">TRUNC(E218*F218,2)</f>
        <v>1.53</v>
      </c>
      <c r="H218" s="18"/>
      <c r="I218" s="19"/>
      <c r="K218" s="20"/>
    </row>
    <row r="219" spans="1:11" s="28" customFormat="1" ht="13.5">
      <c r="A219" s="48"/>
      <c r="B219" s="25" t="s">
        <v>456</v>
      </c>
      <c r="C219" s="16" t="s">
        <v>457</v>
      </c>
      <c r="D219" s="49" t="s">
        <v>14</v>
      </c>
      <c r="E219" s="17">
        <v>0.209</v>
      </c>
      <c r="F219" s="18">
        <f>TRUNC(82.38,2)</f>
        <v>82.38</v>
      </c>
      <c r="G219" s="18">
        <f t="shared" si="6"/>
        <v>17.21</v>
      </c>
      <c r="H219" s="18"/>
      <c r="I219" s="19"/>
      <c r="K219" s="20"/>
    </row>
    <row r="220" spans="1:11" s="28" customFormat="1" ht="13.5">
      <c r="A220" s="48"/>
      <c r="B220" s="25" t="s">
        <v>458</v>
      </c>
      <c r="C220" s="16" t="s">
        <v>459</v>
      </c>
      <c r="D220" s="49" t="s">
        <v>14</v>
      </c>
      <c r="E220" s="17">
        <v>0.8481</v>
      </c>
      <c r="F220" s="18">
        <f>TRUNC(23.73,2)</f>
        <v>23.73</v>
      </c>
      <c r="G220" s="18">
        <f t="shared" si="6"/>
        <v>20.12</v>
      </c>
      <c r="H220" s="18"/>
      <c r="I220" s="19"/>
      <c r="K220" s="20"/>
    </row>
    <row r="221" spans="1:11" s="28" customFormat="1" ht="13.5">
      <c r="A221" s="48"/>
      <c r="B221" s="25" t="s">
        <v>460</v>
      </c>
      <c r="C221" s="16" t="s">
        <v>461</v>
      </c>
      <c r="D221" s="49" t="s">
        <v>9</v>
      </c>
      <c r="E221" s="17">
        <v>0.9553</v>
      </c>
      <c r="F221" s="18">
        <f>TRUNC(15.95,2)</f>
        <v>15.95</v>
      </c>
      <c r="G221" s="18">
        <f t="shared" si="6"/>
        <v>15.23</v>
      </c>
      <c r="H221" s="18"/>
      <c r="I221" s="19"/>
      <c r="K221" s="20"/>
    </row>
    <row r="222" spans="1:11" s="28" customFormat="1" ht="13.5">
      <c r="A222" s="48"/>
      <c r="B222" s="25" t="s">
        <v>462</v>
      </c>
      <c r="C222" s="16" t="s">
        <v>463</v>
      </c>
      <c r="D222" s="49" t="s">
        <v>9</v>
      </c>
      <c r="E222" s="17">
        <v>5.8911</v>
      </c>
      <c r="F222" s="18">
        <f>TRUNC(4.26,2)</f>
        <v>4.26</v>
      </c>
      <c r="G222" s="18">
        <f t="shared" si="6"/>
        <v>25.09</v>
      </c>
      <c r="H222" s="18"/>
      <c r="I222" s="19"/>
      <c r="K222" s="20"/>
    </row>
    <row r="223" spans="1:11" s="28" customFormat="1" ht="13.5">
      <c r="A223" s="48"/>
      <c r="B223" s="25" t="s">
        <v>464</v>
      </c>
      <c r="C223" s="16" t="s">
        <v>465</v>
      </c>
      <c r="D223" s="49" t="s">
        <v>14</v>
      </c>
      <c r="E223" s="17">
        <v>1</v>
      </c>
      <c r="F223" s="18">
        <f>TRUNC(11.59,2)</f>
        <v>11.59</v>
      </c>
      <c r="G223" s="18">
        <f t="shared" si="6"/>
        <v>11.59</v>
      </c>
      <c r="H223" s="18"/>
      <c r="I223" s="19"/>
      <c r="K223" s="20"/>
    </row>
    <row r="224" spans="1:11" s="28" customFormat="1" ht="13.5">
      <c r="A224" s="48"/>
      <c r="B224" s="25" t="s">
        <v>466</v>
      </c>
      <c r="C224" s="16" t="s">
        <v>467</v>
      </c>
      <c r="D224" s="49" t="s">
        <v>14</v>
      </c>
      <c r="E224" s="17">
        <v>2</v>
      </c>
      <c r="F224" s="18">
        <f>TRUNC(20.08,2)</f>
        <v>20.08</v>
      </c>
      <c r="G224" s="18">
        <f t="shared" si="6"/>
        <v>40.16</v>
      </c>
      <c r="H224" s="18"/>
      <c r="I224" s="19"/>
      <c r="K224" s="20"/>
    </row>
    <row r="225" spans="1:11" s="28" customFormat="1" ht="13.5">
      <c r="A225" s="48"/>
      <c r="B225" s="25" t="s">
        <v>468</v>
      </c>
      <c r="C225" s="16" t="s">
        <v>469</v>
      </c>
      <c r="D225" s="49" t="s">
        <v>14</v>
      </c>
      <c r="E225" s="17">
        <v>2</v>
      </c>
      <c r="F225" s="18">
        <f>TRUNC(6.44,2)</f>
        <v>6.44</v>
      </c>
      <c r="G225" s="18">
        <f t="shared" si="6"/>
        <v>12.88</v>
      </c>
      <c r="H225" s="18"/>
      <c r="I225" s="19"/>
      <c r="K225" s="20"/>
    </row>
    <row r="226" spans="1:11" s="28" customFormat="1" ht="13.5">
      <c r="A226" s="48"/>
      <c r="B226" s="25" t="s">
        <v>470</v>
      </c>
      <c r="C226" s="16" t="s">
        <v>471</v>
      </c>
      <c r="D226" s="49" t="s">
        <v>14</v>
      </c>
      <c r="E226" s="17">
        <v>4</v>
      </c>
      <c r="F226" s="18">
        <f>TRUNC(0.84,2)</f>
        <v>0.84</v>
      </c>
      <c r="G226" s="18">
        <f t="shared" si="6"/>
        <v>3.36</v>
      </c>
      <c r="H226" s="18"/>
      <c r="I226" s="19"/>
      <c r="K226" s="20"/>
    </row>
    <row r="227" spans="1:11" s="28" customFormat="1" ht="13.5">
      <c r="A227" s="48"/>
      <c r="B227" s="25" t="s">
        <v>472</v>
      </c>
      <c r="C227" s="16" t="s">
        <v>473</v>
      </c>
      <c r="D227" s="49" t="s">
        <v>14</v>
      </c>
      <c r="E227" s="17">
        <v>2</v>
      </c>
      <c r="F227" s="18">
        <f>TRUNC(4.78,2)</f>
        <v>4.78</v>
      </c>
      <c r="G227" s="18">
        <f t="shared" si="6"/>
        <v>9.56</v>
      </c>
      <c r="H227" s="18"/>
      <c r="I227" s="19"/>
      <c r="K227" s="20"/>
    </row>
    <row r="228" spans="1:11" s="28" customFormat="1" ht="13.5">
      <c r="A228" s="48"/>
      <c r="B228" s="25" t="s">
        <v>474</v>
      </c>
      <c r="C228" s="16" t="s">
        <v>475</v>
      </c>
      <c r="D228" s="49" t="s">
        <v>14</v>
      </c>
      <c r="E228" s="17">
        <v>4</v>
      </c>
      <c r="F228" s="18">
        <f>TRUNC(1.01,2)</f>
        <v>1.01</v>
      </c>
      <c r="G228" s="18">
        <f t="shared" si="6"/>
        <v>4.04</v>
      </c>
      <c r="H228" s="18"/>
      <c r="I228" s="19"/>
      <c r="K228" s="20"/>
    </row>
    <row r="229" spans="1:11" s="28" customFormat="1" ht="13.5">
      <c r="A229" s="48"/>
      <c r="B229" s="25" t="s">
        <v>476</v>
      </c>
      <c r="C229" s="16" t="s">
        <v>477</v>
      </c>
      <c r="D229" s="49" t="s">
        <v>4</v>
      </c>
      <c r="E229" s="17">
        <v>2.5456</v>
      </c>
      <c r="F229" s="18">
        <f>TRUNC(26.41,2)</f>
        <v>26.41</v>
      </c>
      <c r="G229" s="18">
        <f t="shared" si="6"/>
        <v>67.22</v>
      </c>
      <c r="H229" s="18"/>
      <c r="I229" s="19"/>
      <c r="K229" s="20"/>
    </row>
    <row r="230" spans="1:11" s="28" customFormat="1" ht="13.5">
      <c r="A230" s="48"/>
      <c r="B230" s="25" t="s">
        <v>478</v>
      </c>
      <c r="C230" s="16" t="s">
        <v>479</v>
      </c>
      <c r="D230" s="49" t="s">
        <v>4</v>
      </c>
      <c r="E230" s="17">
        <v>2.5456</v>
      </c>
      <c r="F230" s="18">
        <f>TRUNC(20.75,2)</f>
        <v>20.75</v>
      </c>
      <c r="G230" s="18">
        <f t="shared" si="6"/>
        <v>52.82</v>
      </c>
      <c r="H230" s="18"/>
      <c r="I230" s="19"/>
      <c r="K230" s="20"/>
    </row>
    <row r="231" spans="1:11" s="28" customFormat="1" ht="13.5">
      <c r="A231" s="48"/>
      <c r="B231" s="25"/>
      <c r="C231" s="16"/>
      <c r="D231" s="49"/>
      <c r="E231" s="17" t="s">
        <v>16</v>
      </c>
      <c r="F231" s="18"/>
      <c r="G231" s="18">
        <f>TRUNC(SUM(G218:G230),2)</f>
        <v>280.81</v>
      </c>
      <c r="H231" s="18"/>
      <c r="I231" s="19"/>
      <c r="K231" s="20"/>
    </row>
    <row r="232" spans="1:9" s="9" customFormat="1" ht="13.5">
      <c r="A232" s="31" t="s">
        <v>27</v>
      </c>
      <c r="B232" s="29"/>
      <c r="C232" s="21" t="s">
        <v>410</v>
      </c>
      <c r="D232" s="39"/>
      <c r="E232" s="22"/>
      <c r="F232" s="23"/>
      <c r="G232" s="23"/>
      <c r="H232" s="24">
        <f>H191+H197+H202+H206+H212+H217</f>
        <v>12897.71</v>
      </c>
      <c r="I232" s="24">
        <f>I191+I197+I202+I206+I212+I217</f>
        <v>16614.719999999998</v>
      </c>
    </row>
    <row r="233" spans="1:9" s="74" customFormat="1" ht="13.5">
      <c r="A233" s="73" t="s">
        <v>284</v>
      </c>
      <c r="B233" s="21"/>
      <c r="C233" s="67" t="s">
        <v>250</v>
      </c>
      <c r="D233" s="39"/>
      <c r="E233" s="22"/>
      <c r="F233" s="23"/>
      <c r="G233" s="23"/>
      <c r="H233" s="24"/>
      <c r="I233" s="24"/>
    </row>
    <row r="234" spans="1:11" s="65" customFormat="1" ht="69">
      <c r="A234" s="83" t="s">
        <v>282</v>
      </c>
      <c r="B234" s="84" t="s">
        <v>333</v>
      </c>
      <c r="C234" s="85" t="s">
        <v>252</v>
      </c>
      <c r="D234" s="86" t="s">
        <v>253</v>
      </c>
      <c r="E234" s="87">
        <v>63.72</v>
      </c>
      <c r="F234" s="88">
        <f>TRUNC(8,2)</f>
        <v>8</v>
      </c>
      <c r="G234" s="88">
        <f>TRUNC(F234*1.2882,2)</f>
        <v>10.3</v>
      </c>
      <c r="H234" s="88">
        <f>TRUNC(F234*E234,2)</f>
        <v>509.76</v>
      </c>
      <c r="I234" s="89">
        <f>TRUNC(E234*G234,2)</f>
        <v>656.31</v>
      </c>
      <c r="K234" s="66"/>
    </row>
    <row r="235" spans="1:11" s="28" customFormat="1" ht="27">
      <c r="A235" s="48"/>
      <c r="B235" s="25" t="s">
        <v>254</v>
      </c>
      <c r="C235" s="16" t="s">
        <v>255</v>
      </c>
      <c r="D235" s="49" t="s">
        <v>253</v>
      </c>
      <c r="E235" s="17">
        <v>1</v>
      </c>
      <c r="F235" s="18">
        <f>TRUNC(8,2)</f>
        <v>8</v>
      </c>
      <c r="G235" s="18">
        <f>TRUNC(E235*F235,2)</f>
        <v>8</v>
      </c>
      <c r="H235" s="18"/>
      <c r="I235" s="19"/>
      <c r="K235" s="20"/>
    </row>
    <row r="236" spans="1:11" s="28" customFormat="1" ht="13.5">
      <c r="A236" s="48"/>
      <c r="B236" s="25"/>
      <c r="C236" s="16"/>
      <c r="D236" s="49"/>
      <c r="E236" s="17" t="s">
        <v>16</v>
      </c>
      <c r="F236" s="18"/>
      <c r="G236" s="18">
        <f>TRUNC(SUM(G235:G235),2)</f>
        <v>8</v>
      </c>
      <c r="H236" s="18"/>
      <c r="I236" s="19"/>
      <c r="K236" s="20"/>
    </row>
    <row r="237" spans="1:11" s="65" customFormat="1" ht="41.25">
      <c r="A237" s="83" t="s">
        <v>283</v>
      </c>
      <c r="B237" s="84" t="s">
        <v>256</v>
      </c>
      <c r="C237" s="85" t="s">
        <v>257</v>
      </c>
      <c r="D237" s="86" t="s">
        <v>14</v>
      </c>
      <c r="E237" s="87">
        <v>2</v>
      </c>
      <c r="F237" s="88">
        <f>TRUNC(G240,2)</f>
        <v>258.86</v>
      </c>
      <c r="G237" s="88">
        <f>TRUNC(F237*1.2882,2)</f>
        <v>333.46</v>
      </c>
      <c r="H237" s="88">
        <f>TRUNC(F237*E237,2)</f>
        <v>517.72</v>
      </c>
      <c r="I237" s="89">
        <f>TRUNC(E237*G237,2)</f>
        <v>666.92</v>
      </c>
      <c r="K237" s="66"/>
    </row>
    <row r="238" spans="1:9" s="9" customFormat="1" ht="27">
      <c r="A238" s="68"/>
      <c r="B238" s="108" t="s">
        <v>21</v>
      </c>
      <c r="C238" s="107" t="s">
        <v>22</v>
      </c>
      <c r="D238" s="108" t="s">
        <v>4</v>
      </c>
      <c r="E238" s="17">
        <v>0.618</v>
      </c>
      <c r="F238" s="18">
        <f>TRUNC(14.34,2)</f>
        <v>14.34</v>
      </c>
      <c r="G238" s="18">
        <f>TRUNC(E238*F238,2)</f>
        <v>8.86</v>
      </c>
      <c r="H238" s="72"/>
      <c r="I238" s="72"/>
    </row>
    <row r="239" spans="1:9" s="9" customFormat="1" ht="27">
      <c r="A239" s="68"/>
      <c r="B239" s="108" t="s">
        <v>258</v>
      </c>
      <c r="C239" s="107" t="s">
        <v>259</v>
      </c>
      <c r="D239" s="108" t="s">
        <v>14</v>
      </c>
      <c r="E239" s="106">
        <v>1</v>
      </c>
      <c r="F239" s="106">
        <f>TRUNC(250,2)</f>
        <v>250</v>
      </c>
      <c r="G239" s="106">
        <f>TRUNC(E239*F239,2)</f>
        <v>250</v>
      </c>
      <c r="H239" s="72"/>
      <c r="I239" s="72"/>
    </row>
    <row r="240" spans="1:9" s="9" customFormat="1" ht="13.5">
      <c r="A240" s="68"/>
      <c r="B240" s="106"/>
      <c r="C240" s="107"/>
      <c r="D240" s="108"/>
      <c r="E240" s="106" t="s">
        <v>16</v>
      </c>
      <c r="F240" s="106"/>
      <c r="G240" s="106">
        <f>TRUNC(SUM(G238:G239),2)</f>
        <v>258.86</v>
      </c>
      <c r="H240" s="72"/>
      <c r="I240" s="72"/>
    </row>
    <row r="241" spans="1:9" s="9" customFormat="1" ht="13.5">
      <c r="A241" s="31" t="s">
        <v>27</v>
      </c>
      <c r="B241" s="29"/>
      <c r="C241" s="21" t="s">
        <v>285</v>
      </c>
      <c r="D241" s="39"/>
      <c r="E241" s="22"/>
      <c r="F241" s="23"/>
      <c r="G241" s="23"/>
      <c r="H241" s="24">
        <f>H234+H237</f>
        <v>1027.48</v>
      </c>
      <c r="I241" s="24">
        <f>I234+I237</f>
        <v>1323.23</v>
      </c>
    </row>
    <row r="242" spans="1:9" s="9" customFormat="1" ht="13.5">
      <c r="A242" s="31" t="s">
        <v>27</v>
      </c>
      <c r="B242" s="29"/>
      <c r="C242" s="21" t="s">
        <v>12</v>
      </c>
      <c r="D242" s="39"/>
      <c r="E242" s="22"/>
      <c r="F242" s="23"/>
      <c r="G242" s="23"/>
      <c r="H242" s="24">
        <f>H241+H232+H189+H164+H137+H100</f>
        <v>79340.94</v>
      </c>
      <c r="I242" s="24">
        <f>I241+I232+I189+I164+I137+I100</f>
        <v>102197.76999999999</v>
      </c>
    </row>
    <row r="244" ht="13.5">
      <c r="C244" s="57"/>
    </row>
    <row r="246" spans="2:7" ht="27">
      <c r="B246" s="35" t="s">
        <v>535</v>
      </c>
      <c r="C246" s="57" t="s">
        <v>536</v>
      </c>
      <c r="D246" s="40" t="s">
        <v>83</v>
      </c>
      <c r="E246" s="26">
        <v>1</v>
      </c>
      <c r="F246" s="26">
        <f>TRUNC(5.52111916,2)</f>
        <v>5.52</v>
      </c>
      <c r="G246" s="26">
        <f>TRUNC(E246*F246,2)</f>
        <v>5.52</v>
      </c>
    </row>
    <row r="247" spans="2:7" ht="13.5">
      <c r="B247" s="35" t="s">
        <v>21</v>
      </c>
      <c r="C247" s="26" t="s">
        <v>22</v>
      </c>
      <c r="D247" s="40" t="s">
        <v>4</v>
      </c>
      <c r="E247" s="26">
        <v>0.071428</v>
      </c>
      <c r="F247" s="26">
        <f>TRUNC(14.34,2)</f>
        <v>14.34</v>
      </c>
      <c r="G247" s="26">
        <f>TRUNC(E247*F247,2)</f>
        <v>1.02</v>
      </c>
    </row>
    <row r="248" spans="2:7" ht="13.5">
      <c r="B248" s="35" t="s">
        <v>537</v>
      </c>
      <c r="C248" s="26" t="s">
        <v>538</v>
      </c>
      <c r="D248" s="40" t="s">
        <v>4</v>
      </c>
      <c r="E248" s="26">
        <v>0.00476</v>
      </c>
      <c r="F248" s="26">
        <f>TRUNC(70.634,2)</f>
        <v>70.63</v>
      </c>
      <c r="G248" s="26">
        <f>TRUNC(E248*F248,2)</f>
        <v>0.33</v>
      </c>
    </row>
    <row r="249" spans="2:7" ht="13.5">
      <c r="B249" s="35" t="s">
        <v>539</v>
      </c>
      <c r="C249" s="26" t="s">
        <v>540</v>
      </c>
      <c r="D249" s="40" t="s">
        <v>4</v>
      </c>
      <c r="E249" s="26">
        <v>0.019</v>
      </c>
      <c r="F249" s="26">
        <f>TRUNC(218.9802,2)</f>
        <v>218.98</v>
      </c>
      <c r="G249" s="26">
        <f>TRUNC(E249*F249,2)</f>
        <v>4.16</v>
      </c>
    </row>
    <row r="250" spans="5:7" ht="13.5">
      <c r="E250" s="26" t="s">
        <v>16</v>
      </c>
      <c r="G250" s="26">
        <f>TRUNC(SUM(G247:G249),2)</f>
        <v>5.51</v>
      </c>
    </row>
    <row r="251" ht="13.5">
      <c r="C251" s="57"/>
    </row>
    <row r="252" ht="13.5">
      <c r="C252" s="57"/>
    </row>
    <row r="253" ht="13.5">
      <c r="C253" s="57"/>
    </row>
    <row r="254" ht="13.5">
      <c r="C254" s="57"/>
    </row>
    <row r="255" ht="13.5">
      <c r="C255" s="57"/>
    </row>
    <row r="256" ht="13.5">
      <c r="C256" s="57"/>
    </row>
    <row r="257" ht="13.5">
      <c r="C257" s="57"/>
    </row>
    <row r="258" ht="13.5">
      <c r="C258" s="57"/>
    </row>
    <row r="259" ht="13.5">
      <c r="C259" s="57"/>
    </row>
    <row r="260" ht="13.5">
      <c r="C260" s="57"/>
    </row>
    <row r="266" ht="13.5">
      <c r="C266" s="57"/>
    </row>
    <row r="274" ht="13.5">
      <c r="C274" s="57"/>
    </row>
    <row r="280" ht="13.5">
      <c r="C280" s="57"/>
    </row>
    <row r="289" ht="13.5">
      <c r="C289" s="57"/>
    </row>
    <row r="293" ht="13.5">
      <c r="C293" s="57"/>
    </row>
    <row r="297" ht="13.5">
      <c r="C297" s="57"/>
    </row>
    <row r="301" spans="2:7" ht="13.5">
      <c r="B301" s="35" t="s">
        <v>42</v>
      </c>
      <c r="C301" s="26" t="s">
        <v>43</v>
      </c>
      <c r="D301" s="40" t="s">
        <v>10</v>
      </c>
      <c r="E301" s="26">
        <v>1</v>
      </c>
      <c r="F301" s="26">
        <f>TRUNC(36.16533,2)</f>
        <v>36.16</v>
      </c>
      <c r="G301" s="26">
        <f>TRUNC(E301*F301,2)</f>
        <v>36.16</v>
      </c>
    </row>
    <row r="302" spans="2:7" ht="13.5">
      <c r="B302" s="35" t="s">
        <v>44</v>
      </c>
      <c r="C302" s="26" t="s">
        <v>45</v>
      </c>
      <c r="D302" s="40" t="s">
        <v>10</v>
      </c>
      <c r="E302" s="26">
        <v>1.02</v>
      </c>
      <c r="F302" s="26">
        <f>TRUNC(25.65,2)</f>
        <v>25.65</v>
      </c>
      <c r="G302" s="26">
        <f>TRUNC(E302*F302,2)</f>
        <v>26.16</v>
      </c>
    </row>
    <row r="303" spans="2:7" ht="13.5">
      <c r="B303" s="35" t="s">
        <v>21</v>
      </c>
      <c r="C303" s="26" t="s">
        <v>22</v>
      </c>
      <c r="D303" s="40" t="s">
        <v>4</v>
      </c>
      <c r="E303" s="26">
        <v>0.309</v>
      </c>
      <c r="F303" s="26">
        <f>TRUNC(13.6,2)</f>
        <v>13.6</v>
      </c>
      <c r="G303" s="26">
        <f>TRUNC(E303*F303,2)</f>
        <v>4.2</v>
      </c>
    </row>
    <row r="304" spans="2:7" ht="13.5">
      <c r="B304" s="35" t="s">
        <v>25</v>
      </c>
      <c r="C304" s="26" t="s">
        <v>26</v>
      </c>
      <c r="D304" s="40" t="s">
        <v>4</v>
      </c>
      <c r="E304" s="26">
        <v>0.309</v>
      </c>
      <c r="F304" s="26">
        <f>TRUNC(18.77,2)</f>
        <v>18.77</v>
      </c>
      <c r="G304" s="26">
        <f>TRUNC(E304*F304,2)</f>
        <v>5.79</v>
      </c>
    </row>
    <row r="305" spans="5:7" ht="13.5">
      <c r="E305" s="26" t="s">
        <v>16</v>
      </c>
      <c r="G305" s="26">
        <f>TRUNC(SUM(G302:G304),2)</f>
        <v>36.15</v>
      </c>
    </row>
  </sheetData>
  <sheetProtection/>
  <mergeCells count="10">
    <mergeCell ref="C14:I14"/>
    <mergeCell ref="A1:F1"/>
    <mergeCell ref="A2:F2"/>
    <mergeCell ref="A3:F3"/>
    <mergeCell ref="A12:A13"/>
    <mergeCell ref="B12:B13"/>
    <mergeCell ref="C12:C13"/>
    <mergeCell ref="D12:D13"/>
    <mergeCell ref="E12:E13"/>
    <mergeCell ref="F12:I12"/>
  </mergeCells>
  <printOptions horizontalCentered="1"/>
  <pageMargins left="0.5905511811023623" right="0.3937007874015748" top="0.3937007874015748" bottom="0.5905511811023623" header="0" footer="0"/>
  <pageSetup horizontalDpi="600" verticalDpi="600" orientation="portrait" paperSize="9" scale="45" r:id="rId2"/>
  <headerFooter alignWithMargins="0">
    <oddFooter>&amp;C&amp;A&amp;RPágina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view="pageBreakPreview" zoomScale="80" zoomScaleNormal="75" zoomScaleSheetLayoutView="80" zoomScalePageLayoutView="0" workbookViewId="0" topLeftCell="A46">
      <selection activeCell="B15" sqref="B15"/>
    </sheetView>
  </sheetViews>
  <sheetFormatPr defaultColWidth="9.140625" defaultRowHeight="12.75"/>
  <cols>
    <col min="1" max="1" width="6.8515625" style="36" customWidth="1"/>
    <col min="2" max="2" width="20.140625" style="35" bestFit="1" customWidth="1"/>
    <col min="3" max="3" width="94.7109375" style="26" customWidth="1"/>
    <col min="4" max="4" width="10.7109375" style="40" customWidth="1"/>
    <col min="5" max="5" width="14.8515625" style="26" customWidth="1"/>
    <col min="6" max="6" width="12.7109375" style="26" bestFit="1" customWidth="1"/>
    <col min="7" max="7" width="12.140625" style="26" bestFit="1" customWidth="1"/>
    <col min="8" max="8" width="14.8515625" style="26" bestFit="1" customWidth="1"/>
    <col min="9" max="9" width="19.00390625" style="27" customWidth="1"/>
    <col min="10" max="10" width="14.28125" style="2" bestFit="1" customWidth="1"/>
    <col min="11" max="11" width="10.28125" style="2" bestFit="1" customWidth="1"/>
    <col min="12" max="12" width="45.7109375" style="2" customWidth="1"/>
    <col min="13" max="16384" width="9.140625" style="2" customWidth="1"/>
  </cols>
  <sheetData>
    <row r="1" spans="1:9" ht="15">
      <c r="A1" s="118"/>
      <c r="B1" s="119"/>
      <c r="C1" s="119"/>
      <c r="D1" s="119"/>
      <c r="E1" s="119"/>
      <c r="F1" s="119"/>
      <c r="G1" s="44"/>
      <c r="H1" s="44"/>
      <c r="I1" s="1"/>
    </row>
    <row r="2" spans="1:9" ht="15">
      <c r="A2" s="120"/>
      <c r="B2" s="121"/>
      <c r="C2" s="121"/>
      <c r="D2" s="121"/>
      <c r="E2" s="121"/>
      <c r="F2" s="121"/>
      <c r="G2" s="45"/>
      <c r="H2" s="45"/>
      <c r="I2" s="3"/>
    </row>
    <row r="3" spans="1:9" ht="15">
      <c r="A3" s="122"/>
      <c r="B3" s="123"/>
      <c r="C3" s="123"/>
      <c r="D3" s="123"/>
      <c r="E3" s="124"/>
      <c r="F3" s="124"/>
      <c r="G3" s="46"/>
      <c r="H3" s="46"/>
      <c r="I3" s="4"/>
    </row>
    <row r="4" spans="1:9" ht="15">
      <c r="A4" s="30"/>
      <c r="B4" s="32"/>
      <c r="C4" s="9"/>
      <c r="D4" s="47" t="s">
        <v>33</v>
      </c>
      <c r="E4" s="6"/>
      <c r="F4" s="5"/>
      <c r="G4" s="5"/>
      <c r="H4" s="5"/>
      <c r="I4" s="1"/>
    </row>
    <row r="5" spans="2:9" ht="15">
      <c r="B5" s="34"/>
      <c r="C5" s="3"/>
      <c r="D5" s="41" t="s">
        <v>39</v>
      </c>
      <c r="E5" s="7"/>
      <c r="F5" s="8">
        <v>44650</v>
      </c>
      <c r="G5" s="8"/>
      <c r="H5" s="8"/>
      <c r="I5" s="3"/>
    </row>
    <row r="6" spans="1:9" ht="14.25">
      <c r="A6" s="37" t="s">
        <v>20</v>
      </c>
      <c r="B6" s="32"/>
      <c r="C6" s="3"/>
      <c r="D6" s="42" t="s">
        <v>550</v>
      </c>
      <c r="E6" s="7"/>
      <c r="F6" s="10" t="s">
        <v>553</v>
      </c>
      <c r="G6" s="10"/>
      <c r="H6" s="10"/>
      <c r="I6" s="3"/>
    </row>
    <row r="7" spans="2:9" ht="15">
      <c r="B7" s="34"/>
      <c r="C7" s="3"/>
      <c r="D7" s="42" t="s">
        <v>551</v>
      </c>
      <c r="E7" s="7"/>
      <c r="F7" s="10" t="s">
        <v>553</v>
      </c>
      <c r="G7" s="10"/>
      <c r="H7" s="10"/>
      <c r="I7" s="3"/>
    </row>
    <row r="8" spans="1:9" ht="13.5">
      <c r="A8" s="11" t="s">
        <v>547</v>
      </c>
      <c r="B8" s="32"/>
      <c r="C8" s="3"/>
      <c r="D8" s="42" t="s">
        <v>0</v>
      </c>
      <c r="E8" s="7"/>
      <c r="F8" s="10" t="s">
        <v>32</v>
      </c>
      <c r="G8" s="10"/>
      <c r="H8" s="10"/>
      <c r="I8" s="3"/>
    </row>
    <row r="9" spans="1:9" ht="13.5">
      <c r="A9" s="11" t="s">
        <v>548</v>
      </c>
      <c r="B9" s="32"/>
      <c r="C9" s="3"/>
      <c r="D9" s="43" t="s">
        <v>552</v>
      </c>
      <c r="E9" s="13"/>
      <c r="F9" s="12" t="s">
        <v>554</v>
      </c>
      <c r="G9" s="12"/>
      <c r="H9" s="12"/>
      <c r="I9" s="4"/>
    </row>
    <row r="10" spans="1:9" ht="13.5">
      <c r="A10" s="11" t="s">
        <v>549</v>
      </c>
      <c r="B10" s="32"/>
      <c r="C10" s="9"/>
      <c r="D10" s="42"/>
      <c r="E10" s="7"/>
      <c r="F10" s="9"/>
      <c r="G10" s="9"/>
      <c r="H10" s="9"/>
      <c r="I10" s="3"/>
    </row>
    <row r="11" spans="1:9" ht="13.5">
      <c r="A11" s="50"/>
      <c r="B11" s="51"/>
      <c r="C11" s="56" t="s">
        <v>40</v>
      </c>
      <c r="D11" s="52"/>
      <c r="E11" s="53"/>
      <c r="F11" s="54"/>
      <c r="G11" s="54"/>
      <c r="H11" s="54"/>
      <c r="I11" s="55"/>
    </row>
    <row r="12" spans="1:9" ht="12.75" customHeight="1">
      <c r="A12" s="125" t="s">
        <v>7</v>
      </c>
      <c r="B12" s="126" t="s">
        <v>8</v>
      </c>
      <c r="C12" s="126" t="s">
        <v>13</v>
      </c>
      <c r="D12" s="125" t="s">
        <v>14</v>
      </c>
      <c r="E12" s="127" t="s">
        <v>15</v>
      </c>
      <c r="F12" s="128" t="s">
        <v>6</v>
      </c>
      <c r="G12" s="128"/>
      <c r="H12" s="128"/>
      <c r="I12" s="128"/>
    </row>
    <row r="13" spans="1:9" ht="12.75" customHeight="1">
      <c r="A13" s="125"/>
      <c r="B13" s="126"/>
      <c r="C13" s="126"/>
      <c r="D13" s="125"/>
      <c r="E13" s="127"/>
      <c r="F13" s="15" t="s">
        <v>28</v>
      </c>
      <c r="G13" s="15" t="s">
        <v>29</v>
      </c>
      <c r="H13" s="15" t="s">
        <v>30</v>
      </c>
      <c r="I13" s="14" t="s">
        <v>31</v>
      </c>
    </row>
    <row r="14" spans="1:9" ht="14.25" customHeight="1">
      <c r="A14" s="38" t="s">
        <v>27</v>
      </c>
      <c r="B14" s="33"/>
      <c r="C14" s="117" t="s">
        <v>17</v>
      </c>
      <c r="D14" s="117"/>
      <c r="E14" s="117"/>
      <c r="F14" s="117"/>
      <c r="G14" s="117"/>
      <c r="H14" s="117"/>
      <c r="I14" s="117"/>
    </row>
    <row r="15" spans="1:11" s="65" customFormat="1" ht="27">
      <c r="A15" s="83" t="s">
        <v>3</v>
      </c>
      <c r="B15" s="84" t="s">
        <v>46</v>
      </c>
      <c r="C15" s="85" t="s">
        <v>47</v>
      </c>
      <c r="D15" s="86" t="s">
        <v>10</v>
      </c>
      <c r="E15" s="87">
        <v>6</v>
      </c>
      <c r="F15" s="88">
        <f>TRUNC('MEMÓRIA DESO '!F15,2)</f>
        <v>473.96</v>
      </c>
      <c r="G15" s="88">
        <f aca="true" t="shared" si="0" ref="G15:G25">TRUNC(F15*1.2882,2)</f>
        <v>610.55</v>
      </c>
      <c r="H15" s="88">
        <f aca="true" t="shared" si="1" ref="H15:H25">TRUNC(F15*E15,2)</f>
        <v>2843.76</v>
      </c>
      <c r="I15" s="89">
        <f aca="true" t="shared" si="2" ref="I15:I25">TRUNC(E15*G15,2)</f>
        <v>3663.3</v>
      </c>
      <c r="K15" s="66"/>
    </row>
    <row r="16" spans="1:11" s="65" customFormat="1" ht="41.25">
      <c r="A16" s="83" t="s">
        <v>260</v>
      </c>
      <c r="B16" s="84" t="s">
        <v>61</v>
      </c>
      <c r="C16" s="85" t="s">
        <v>62</v>
      </c>
      <c r="D16" s="86" t="s">
        <v>14</v>
      </c>
      <c r="E16" s="87">
        <v>1</v>
      </c>
      <c r="F16" s="88">
        <f>TRUNC('MEMÓRIA DESO '!F25,2)</f>
        <v>4169.39</v>
      </c>
      <c r="G16" s="88">
        <f t="shared" si="0"/>
        <v>5371</v>
      </c>
      <c r="H16" s="88">
        <f t="shared" si="1"/>
        <v>4169.39</v>
      </c>
      <c r="I16" s="89">
        <f t="shared" si="2"/>
        <v>5371</v>
      </c>
      <c r="K16" s="66"/>
    </row>
    <row r="17" spans="1:11" s="65" customFormat="1" ht="41.25">
      <c r="A17" s="83" t="s">
        <v>5</v>
      </c>
      <c r="B17" s="84" t="s">
        <v>86</v>
      </c>
      <c r="C17" s="85" t="s">
        <v>87</v>
      </c>
      <c r="D17" s="86" t="s">
        <v>14</v>
      </c>
      <c r="E17" s="87">
        <v>1</v>
      </c>
      <c r="F17" s="88">
        <f>TRUNC('MEMÓRIA DESO '!F43,2)</f>
        <v>2176.28</v>
      </c>
      <c r="G17" s="88">
        <f t="shared" si="0"/>
        <v>2803.48</v>
      </c>
      <c r="H17" s="88">
        <f t="shared" si="1"/>
        <v>2176.28</v>
      </c>
      <c r="I17" s="89">
        <f t="shared" si="2"/>
        <v>2803.48</v>
      </c>
      <c r="K17" s="66"/>
    </row>
    <row r="18" spans="1:11" s="65" customFormat="1" ht="39.75" customHeight="1">
      <c r="A18" s="83" t="s">
        <v>2</v>
      </c>
      <c r="B18" s="84" t="s">
        <v>112</v>
      </c>
      <c r="C18" s="85" t="s">
        <v>113</v>
      </c>
      <c r="D18" s="86" t="s">
        <v>10</v>
      </c>
      <c r="E18" s="87">
        <v>91.33</v>
      </c>
      <c r="F18" s="88">
        <f>TRUNC('MEMÓRIA DESO '!F58,2)</f>
        <v>3.49</v>
      </c>
      <c r="G18" s="88">
        <f t="shared" si="0"/>
        <v>4.49</v>
      </c>
      <c r="H18" s="88">
        <f t="shared" si="1"/>
        <v>318.74</v>
      </c>
      <c r="I18" s="89">
        <f t="shared" si="2"/>
        <v>410.07</v>
      </c>
      <c r="K18" s="66"/>
    </row>
    <row r="19" spans="1:11" s="65" customFormat="1" ht="41.25">
      <c r="A19" s="83" t="s">
        <v>1</v>
      </c>
      <c r="B19" s="84" t="s">
        <v>116</v>
      </c>
      <c r="C19" s="85" t="s">
        <v>117</v>
      </c>
      <c r="D19" s="86" t="s">
        <v>14</v>
      </c>
      <c r="E19" s="87">
        <v>1</v>
      </c>
      <c r="F19" s="88">
        <f>TRUNC('MEMÓRIA DESO '!F61,2)</f>
        <v>5890.41</v>
      </c>
      <c r="G19" s="88">
        <f t="shared" si="0"/>
        <v>7588.02</v>
      </c>
      <c r="H19" s="88">
        <f t="shared" si="1"/>
        <v>5890.41</v>
      </c>
      <c r="I19" s="89">
        <f t="shared" si="2"/>
        <v>7588.02</v>
      </c>
      <c r="K19" s="66"/>
    </row>
    <row r="20" spans="1:11" s="65" customFormat="1" ht="44.25" customHeight="1">
      <c r="A20" s="83" t="s">
        <v>36</v>
      </c>
      <c r="B20" s="84" t="s">
        <v>132</v>
      </c>
      <c r="C20" s="85" t="s">
        <v>133</v>
      </c>
      <c r="D20" s="86" t="s">
        <v>10</v>
      </c>
      <c r="E20" s="87">
        <v>21.24</v>
      </c>
      <c r="F20" s="88">
        <f>TRUNC('MEMÓRIA DESO '!F71,2)</f>
        <v>2.87</v>
      </c>
      <c r="G20" s="88">
        <f t="shared" si="0"/>
        <v>3.69</v>
      </c>
      <c r="H20" s="88">
        <f t="shared" si="1"/>
        <v>60.95</v>
      </c>
      <c r="I20" s="89">
        <f t="shared" si="2"/>
        <v>78.37</v>
      </c>
      <c r="K20" s="66"/>
    </row>
    <row r="21" spans="1:11" s="65" customFormat="1" ht="27">
      <c r="A21" s="83" t="s">
        <v>37</v>
      </c>
      <c r="B21" s="84" t="s">
        <v>138</v>
      </c>
      <c r="C21" s="85" t="s">
        <v>139</v>
      </c>
      <c r="D21" s="86" t="s">
        <v>83</v>
      </c>
      <c r="E21" s="87">
        <f>12.1+2.55</f>
        <v>14.649999999999999</v>
      </c>
      <c r="F21" s="88">
        <f>TRUNC('MEMÓRIA DESO '!F79,2)</f>
        <v>50.21</v>
      </c>
      <c r="G21" s="88">
        <f t="shared" si="0"/>
        <v>64.68</v>
      </c>
      <c r="H21" s="88">
        <f t="shared" si="1"/>
        <v>735.57</v>
      </c>
      <c r="I21" s="89">
        <f t="shared" si="2"/>
        <v>947.56</v>
      </c>
      <c r="K21" s="66"/>
    </row>
    <row r="22" spans="1:11" s="65" customFormat="1" ht="27">
      <c r="A22" s="83" t="s">
        <v>38</v>
      </c>
      <c r="B22" s="84" t="s">
        <v>140</v>
      </c>
      <c r="C22" s="85" t="s">
        <v>141</v>
      </c>
      <c r="D22" s="86" t="s">
        <v>83</v>
      </c>
      <c r="E22" s="87">
        <v>4.2</v>
      </c>
      <c r="F22" s="88">
        <f>TRUNC('MEMÓRIA DESO '!F82,2)</f>
        <v>19.87</v>
      </c>
      <c r="G22" s="88">
        <f t="shared" si="0"/>
        <v>25.59</v>
      </c>
      <c r="H22" s="88">
        <f t="shared" si="1"/>
        <v>83.45</v>
      </c>
      <c r="I22" s="89">
        <f t="shared" si="2"/>
        <v>107.47</v>
      </c>
      <c r="K22" s="66"/>
    </row>
    <row r="23" spans="1:11" s="65" customFormat="1" ht="27">
      <c r="A23" s="83" t="s">
        <v>533</v>
      </c>
      <c r="B23" s="84" t="s">
        <v>481</v>
      </c>
      <c r="C23" s="85" t="s">
        <v>482</v>
      </c>
      <c r="D23" s="86" t="s">
        <v>83</v>
      </c>
      <c r="E23" s="87">
        <v>9.67</v>
      </c>
      <c r="F23" s="88">
        <f>TRUNC('MEMÓRIA DESO '!F88,2)</f>
        <v>75.64</v>
      </c>
      <c r="G23" s="88">
        <f t="shared" si="0"/>
        <v>97.43</v>
      </c>
      <c r="H23" s="88">
        <f t="shared" si="1"/>
        <v>731.43</v>
      </c>
      <c r="I23" s="89">
        <f t="shared" si="2"/>
        <v>942.14</v>
      </c>
      <c r="K23" s="66"/>
    </row>
    <row r="24" spans="1:11" s="65" customFormat="1" ht="24" customHeight="1">
      <c r="A24" s="83" t="s">
        <v>534</v>
      </c>
      <c r="B24" s="84" t="s">
        <v>438</v>
      </c>
      <c r="C24" s="85" t="s">
        <v>439</v>
      </c>
      <c r="D24" s="86" t="s">
        <v>10</v>
      </c>
      <c r="E24" s="87">
        <v>19.76</v>
      </c>
      <c r="F24" s="88">
        <f>TRUNC('MEMÓRIA DESO '!F92,2)</f>
        <v>14.77</v>
      </c>
      <c r="G24" s="88">
        <f t="shared" si="0"/>
        <v>19.02</v>
      </c>
      <c r="H24" s="88">
        <f t="shared" si="1"/>
        <v>291.85</v>
      </c>
      <c r="I24" s="89">
        <f t="shared" si="2"/>
        <v>375.83</v>
      </c>
      <c r="K24" s="66"/>
    </row>
    <row r="25" spans="1:11" s="65" customFormat="1" ht="27">
      <c r="A25" s="83" t="s">
        <v>541</v>
      </c>
      <c r="B25" s="84" t="s">
        <v>535</v>
      </c>
      <c r="C25" s="85" t="s">
        <v>536</v>
      </c>
      <c r="D25" s="86" t="s">
        <v>83</v>
      </c>
      <c r="E25" s="87">
        <v>3.18</v>
      </c>
      <c r="F25" s="88">
        <f>TRUNC('MEMÓRIA DESO '!F95,2)</f>
        <v>5.51</v>
      </c>
      <c r="G25" s="88">
        <f t="shared" si="0"/>
        <v>7.09</v>
      </c>
      <c r="H25" s="88">
        <f t="shared" si="1"/>
        <v>17.52</v>
      </c>
      <c r="I25" s="89">
        <f t="shared" si="2"/>
        <v>22.54</v>
      </c>
      <c r="K25" s="66"/>
    </row>
    <row r="26" spans="1:9" s="9" customFormat="1" ht="13.5">
      <c r="A26" s="31" t="s">
        <v>27</v>
      </c>
      <c r="B26" s="29"/>
      <c r="C26" s="21" t="s">
        <v>18</v>
      </c>
      <c r="D26" s="39"/>
      <c r="E26" s="22"/>
      <c r="F26" s="23"/>
      <c r="G26" s="23"/>
      <c r="H26" s="24">
        <f>H15+H16+H17+H18+H19+H20+H21+H22+H23+H24+H25</f>
        <v>17319.35</v>
      </c>
      <c r="I26" s="24">
        <f>I15+I16+I17+I18+I19+I20+I21+I22+I23+I24+I25</f>
        <v>22309.780000000002</v>
      </c>
    </row>
    <row r="27" spans="1:9" s="9" customFormat="1" ht="13.5">
      <c r="A27" s="31" t="s">
        <v>261</v>
      </c>
      <c r="B27" s="21"/>
      <c r="C27" s="67" t="s">
        <v>148</v>
      </c>
      <c r="D27" s="39"/>
      <c r="E27" s="22"/>
      <c r="F27" s="23"/>
      <c r="G27" s="23"/>
      <c r="H27" s="24"/>
      <c r="I27" s="24"/>
    </row>
    <row r="28" spans="1:11" s="65" customFormat="1" ht="54" customHeight="1">
      <c r="A28" s="83" t="s">
        <v>262</v>
      </c>
      <c r="B28" s="84" t="s">
        <v>149</v>
      </c>
      <c r="C28" s="85" t="s">
        <v>150</v>
      </c>
      <c r="D28" s="86" t="s">
        <v>83</v>
      </c>
      <c r="E28" s="87">
        <v>23.57</v>
      </c>
      <c r="F28" s="88">
        <f>TRUNC('MEMÓRIA DESO '!F102,2)</f>
        <v>550.05</v>
      </c>
      <c r="G28" s="88">
        <f aca="true" t="shared" si="3" ref="G28:G33">TRUNC(F28*1.2882,2)</f>
        <v>708.57</v>
      </c>
      <c r="H28" s="88">
        <f aca="true" t="shared" si="4" ref="H28:H33">TRUNC(F28*E28,2)</f>
        <v>12964.67</v>
      </c>
      <c r="I28" s="89">
        <f aca="true" t="shared" si="5" ref="I28:I33">TRUNC(E28*G28,2)</f>
        <v>16700.99</v>
      </c>
      <c r="K28" s="66"/>
    </row>
    <row r="29" spans="1:11" s="65" customFormat="1" ht="38.25" customHeight="1">
      <c r="A29" s="83" t="s">
        <v>263</v>
      </c>
      <c r="B29" s="84" t="s">
        <v>157</v>
      </c>
      <c r="C29" s="85" t="s">
        <v>158</v>
      </c>
      <c r="D29" s="86" t="s">
        <v>10</v>
      </c>
      <c r="E29" s="87">
        <v>11</v>
      </c>
      <c r="F29" s="88">
        <f>TRUNC('MEMÓRIA DESO '!F107,2)</f>
        <v>26.88</v>
      </c>
      <c r="G29" s="88">
        <f t="shared" si="3"/>
        <v>34.62</v>
      </c>
      <c r="H29" s="88">
        <f t="shared" si="4"/>
        <v>295.68</v>
      </c>
      <c r="I29" s="89">
        <f t="shared" si="5"/>
        <v>380.82</v>
      </c>
      <c r="K29" s="66"/>
    </row>
    <row r="30" spans="1:11" s="65" customFormat="1" ht="75" customHeight="1">
      <c r="A30" s="83" t="s">
        <v>264</v>
      </c>
      <c r="B30" s="84" t="s">
        <v>317</v>
      </c>
      <c r="C30" s="85" t="s">
        <v>164</v>
      </c>
      <c r="D30" s="86" t="s">
        <v>19</v>
      </c>
      <c r="E30" s="87">
        <v>520.34</v>
      </c>
      <c r="F30" s="88">
        <f>TRUNC('MEMÓRIA DESO '!F112,2)</f>
        <v>12.65</v>
      </c>
      <c r="G30" s="88">
        <f t="shared" si="3"/>
        <v>16.29</v>
      </c>
      <c r="H30" s="88">
        <f t="shared" si="4"/>
        <v>6582.3</v>
      </c>
      <c r="I30" s="89">
        <f t="shared" si="5"/>
        <v>8476.33</v>
      </c>
      <c r="K30" s="66"/>
    </row>
    <row r="31" spans="1:11" s="65" customFormat="1" ht="54.75">
      <c r="A31" s="83" t="s">
        <v>265</v>
      </c>
      <c r="B31" s="84" t="s">
        <v>322</v>
      </c>
      <c r="C31" s="85" t="s">
        <v>170</v>
      </c>
      <c r="D31" s="86" t="s">
        <v>19</v>
      </c>
      <c r="E31" s="87">
        <v>94.95</v>
      </c>
      <c r="F31" s="88">
        <f>TRUNC('MEMÓRIA DESO '!F116,2)</f>
        <v>16.69</v>
      </c>
      <c r="G31" s="88">
        <f t="shared" si="3"/>
        <v>21.5</v>
      </c>
      <c r="H31" s="88">
        <f t="shared" si="4"/>
        <v>1584.71</v>
      </c>
      <c r="I31" s="89">
        <f t="shared" si="5"/>
        <v>2041.42</v>
      </c>
      <c r="K31" s="66"/>
    </row>
    <row r="32" spans="1:11" s="65" customFormat="1" ht="41.25">
      <c r="A32" s="83" t="s">
        <v>266</v>
      </c>
      <c r="B32" s="84" t="s">
        <v>327</v>
      </c>
      <c r="C32" s="85" t="s">
        <v>176</v>
      </c>
      <c r="D32" s="86" t="s">
        <v>10</v>
      </c>
      <c r="E32" s="87">
        <v>107.05</v>
      </c>
      <c r="F32" s="88">
        <f>TRUNC('MEMÓRIA DESO '!F122,2)</f>
        <v>57.4</v>
      </c>
      <c r="G32" s="88">
        <f t="shared" si="3"/>
        <v>73.94</v>
      </c>
      <c r="H32" s="88">
        <f t="shared" si="4"/>
        <v>6144.67</v>
      </c>
      <c r="I32" s="89">
        <f t="shared" si="5"/>
        <v>7915.27</v>
      </c>
      <c r="K32" s="66"/>
    </row>
    <row r="33" spans="1:11" s="65" customFormat="1" ht="41.25">
      <c r="A33" s="83" t="s">
        <v>267</v>
      </c>
      <c r="B33" s="84" t="s">
        <v>183</v>
      </c>
      <c r="C33" s="85" t="s">
        <v>184</v>
      </c>
      <c r="D33" s="86" t="s">
        <v>10</v>
      </c>
      <c r="E33" s="87">
        <v>64.48</v>
      </c>
      <c r="F33" s="88">
        <f>TRUNC('MEMÓRIA DESO '!F131,2)</f>
        <v>67.83</v>
      </c>
      <c r="G33" s="88">
        <f t="shared" si="3"/>
        <v>87.37</v>
      </c>
      <c r="H33" s="88">
        <f t="shared" si="4"/>
        <v>4373.67</v>
      </c>
      <c r="I33" s="89">
        <f t="shared" si="5"/>
        <v>5633.61</v>
      </c>
      <c r="K33" s="66"/>
    </row>
    <row r="34" spans="1:9" s="9" customFormat="1" ht="13.5">
      <c r="A34" s="31" t="s">
        <v>27</v>
      </c>
      <c r="B34" s="29"/>
      <c r="C34" s="21" t="s">
        <v>334</v>
      </c>
      <c r="D34" s="39"/>
      <c r="E34" s="22"/>
      <c r="F34" s="23"/>
      <c r="G34" s="23"/>
      <c r="H34" s="24">
        <f>H28+H29+H30+H31+H32+H33</f>
        <v>31945.699999999997</v>
      </c>
      <c r="I34" s="24">
        <f>I28+I29+I30+I31+I32+I33</f>
        <v>41148.44</v>
      </c>
    </row>
    <row r="35" spans="1:9" s="9" customFormat="1" ht="13.5">
      <c r="A35" s="31" t="s">
        <v>268</v>
      </c>
      <c r="B35" s="21"/>
      <c r="C35" s="67" t="s">
        <v>189</v>
      </c>
      <c r="D35" s="39"/>
      <c r="E35" s="22"/>
      <c r="F35" s="23"/>
      <c r="G35" s="23"/>
      <c r="H35" s="24"/>
      <c r="I35" s="24"/>
    </row>
    <row r="36" spans="1:11" s="65" customFormat="1" ht="41.25">
      <c r="A36" s="83" t="s">
        <v>269</v>
      </c>
      <c r="B36" s="84" t="s">
        <v>190</v>
      </c>
      <c r="C36" s="85" t="s">
        <v>191</v>
      </c>
      <c r="D36" s="86" t="s">
        <v>10</v>
      </c>
      <c r="E36" s="87">
        <v>128.64</v>
      </c>
      <c r="F36" s="88">
        <f>TRUNC('MEMÓRIA DESO '!F139,2)</f>
        <v>28.06</v>
      </c>
      <c r="G36" s="88">
        <f>TRUNC(F36*1.2882,2)</f>
        <v>36.14</v>
      </c>
      <c r="H36" s="88">
        <f>TRUNC(F36*E36,2)</f>
        <v>3609.63</v>
      </c>
      <c r="I36" s="89">
        <f>TRUNC(E36*G36,2)</f>
        <v>4649.04</v>
      </c>
      <c r="K36" s="66"/>
    </row>
    <row r="37" spans="1:11" s="65" customFormat="1" ht="41.25">
      <c r="A37" s="83" t="s">
        <v>270</v>
      </c>
      <c r="B37" s="84" t="s">
        <v>196</v>
      </c>
      <c r="C37" s="85" t="s">
        <v>197</v>
      </c>
      <c r="D37" s="86" t="s">
        <v>10</v>
      </c>
      <c r="E37" s="87">
        <v>29.52</v>
      </c>
      <c r="F37" s="88">
        <f>TRUNC('MEMÓRIA DESO '!F145,2)</f>
        <v>17.95</v>
      </c>
      <c r="G37" s="88">
        <f>TRUNC(F37*1.2882,2)</f>
        <v>23.12</v>
      </c>
      <c r="H37" s="88">
        <f>TRUNC(F37*E37,2)</f>
        <v>529.88</v>
      </c>
      <c r="I37" s="89">
        <f>TRUNC(E37*G37,2)</f>
        <v>682.5</v>
      </c>
      <c r="K37" s="66"/>
    </row>
    <row r="38" spans="1:11" s="65" customFormat="1" ht="27">
      <c r="A38" s="83" t="s">
        <v>271</v>
      </c>
      <c r="B38" s="84" t="s">
        <v>204</v>
      </c>
      <c r="C38" s="85" t="s">
        <v>205</v>
      </c>
      <c r="D38" s="86" t="s">
        <v>10</v>
      </c>
      <c r="E38" s="87">
        <v>104.43</v>
      </c>
      <c r="F38" s="88">
        <f>TRUNC('MEMÓRIA DESO '!F152,2)</f>
        <v>14.49</v>
      </c>
      <c r="G38" s="88">
        <f>TRUNC(F38*1.2882,2)</f>
        <v>18.66</v>
      </c>
      <c r="H38" s="88">
        <f>TRUNC(F38*E38,2)</f>
        <v>1513.19</v>
      </c>
      <c r="I38" s="89">
        <f>TRUNC(E38*G38,2)</f>
        <v>1948.66</v>
      </c>
      <c r="K38" s="66"/>
    </row>
    <row r="39" spans="1:11" s="65" customFormat="1" ht="41.25">
      <c r="A39" s="83" t="s">
        <v>272</v>
      </c>
      <c r="B39" s="84" t="s">
        <v>332</v>
      </c>
      <c r="C39" s="85" t="s">
        <v>216</v>
      </c>
      <c r="D39" s="86" t="s">
        <v>10</v>
      </c>
      <c r="E39" s="87">
        <v>104.43</v>
      </c>
      <c r="F39" s="88">
        <f>TRUNC('MEMÓRIA DESO '!F157,2)</f>
        <v>20.49</v>
      </c>
      <c r="G39" s="88">
        <f>TRUNC(F39*1.2882,2)</f>
        <v>26.39</v>
      </c>
      <c r="H39" s="88">
        <f>TRUNC(F39*E39,2)</f>
        <v>2139.77</v>
      </c>
      <c r="I39" s="89">
        <f>TRUNC(E39*G39,2)</f>
        <v>2755.9</v>
      </c>
      <c r="K39" s="66"/>
    </row>
    <row r="40" spans="1:9" s="9" customFormat="1" ht="13.5">
      <c r="A40" s="31" t="s">
        <v>27</v>
      </c>
      <c r="B40" s="29"/>
      <c r="C40" s="21" t="s">
        <v>280</v>
      </c>
      <c r="D40" s="39"/>
      <c r="E40" s="22"/>
      <c r="F40" s="23"/>
      <c r="G40" s="23"/>
      <c r="H40" s="24">
        <f>H39+H38+H37+H36</f>
        <v>7792.47</v>
      </c>
      <c r="I40" s="24">
        <f>I39+I38+I37+I36</f>
        <v>10036.1</v>
      </c>
    </row>
    <row r="41" spans="1:9" s="9" customFormat="1" ht="13.5">
      <c r="A41" s="31" t="s">
        <v>273</v>
      </c>
      <c r="B41" s="21"/>
      <c r="C41" s="67" t="s">
        <v>221</v>
      </c>
      <c r="D41" s="39"/>
      <c r="E41" s="22"/>
      <c r="F41" s="23"/>
      <c r="G41" s="23"/>
      <c r="H41" s="24"/>
      <c r="I41" s="24"/>
    </row>
    <row r="42" spans="1:11" s="65" customFormat="1" ht="24.75" customHeight="1">
      <c r="A42" s="83" t="s">
        <v>274</v>
      </c>
      <c r="B42" s="84" t="s">
        <v>222</v>
      </c>
      <c r="C42" s="85" t="s">
        <v>223</v>
      </c>
      <c r="D42" s="86" t="s">
        <v>10</v>
      </c>
      <c r="E42" s="87">
        <v>23</v>
      </c>
      <c r="F42" s="88">
        <f>TRUNC('MEMÓRIA DESO '!F166,2)</f>
        <v>6.71</v>
      </c>
      <c r="G42" s="88">
        <f>TRUNC(F42*1.2882,2)</f>
        <v>8.64</v>
      </c>
      <c r="H42" s="88">
        <f>TRUNC(F42*E42,2)</f>
        <v>154.33</v>
      </c>
      <c r="I42" s="89">
        <f>TRUNC(E42*G42,2)</f>
        <v>198.72</v>
      </c>
      <c r="K42" s="66"/>
    </row>
    <row r="43" spans="1:11" s="65" customFormat="1" ht="27">
      <c r="A43" s="83" t="s">
        <v>275</v>
      </c>
      <c r="B43" s="84" t="s">
        <v>226</v>
      </c>
      <c r="C43" s="85" t="s">
        <v>227</v>
      </c>
      <c r="D43" s="86" t="s">
        <v>9</v>
      </c>
      <c r="E43" s="87">
        <v>6</v>
      </c>
      <c r="F43" s="88">
        <f>TRUNC('MEMÓRIA DESO '!F171,2)</f>
        <v>18.01</v>
      </c>
      <c r="G43" s="88">
        <f>TRUNC(F43*1.2882,2)</f>
        <v>23.2</v>
      </c>
      <c r="H43" s="88">
        <f>TRUNC(F43*E43,2)</f>
        <v>108.06</v>
      </c>
      <c r="I43" s="89">
        <f>TRUNC(E43*G43,2)</f>
        <v>139.2</v>
      </c>
      <c r="K43" s="66"/>
    </row>
    <row r="44" spans="1:11" s="65" customFormat="1" ht="13.5">
      <c r="A44" s="83" t="s">
        <v>276</v>
      </c>
      <c r="B44" s="84" t="s">
        <v>233</v>
      </c>
      <c r="C44" s="85" t="s">
        <v>236</v>
      </c>
      <c r="D44" s="86" t="s">
        <v>10</v>
      </c>
      <c r="E44" s="87">
        <v>31.52</v>
      </c>
      <c r="F44" s="88">
        <f>TRUNC('MEMÓRIA DESO '!F176,2)</f>
        <v>11.08</v>
      </c>
      <c r="G44" s="88">
        <f>TRUNC(F44*1.2882,2)</f>
        <v>14.27</v>
      </c>
      <c r="H44" s="88">
        <f>TRUNC(F44*E44,2)</f>
        <v>349.24</v>
      </c>
      <c r="I44" s="89">
        <f>TRUNC(E44*G44,2)</f>
        <v>449.79</v>
      </c>
      <c r="K44" s="66"/>
    </row>
    <row r="45" spans="1:11" s="65" customFormat="1" ht="41.25">
      <c r="A45" s="83" t="s">
        <v>277</v>
      </c>
      <c r="B45" s="84" t="s">
        <v>237</v>
      </c>
      <c r="C45" s="85" t="s">
        <v>238</v>
      </c>
      <c r="D45" s="86" t="s">
        <v>10</v>
      </c>
      <c r="E45" s="87">
        <v>91.33</v>
      </c>
      <c r="F45" s="88">
        <f>TRUNC('MEMÓRIA DESO '!F180,2)</f>
        <v>44.24</v>
      </c>
      <c r="G45" s="88">
        <f>TRUNC(F45*1.2882,2)</f>
        <v>56.98</v>
      </c>
      <c r="H45" s="88">
        <f>TRUNC(F45*E45,2)</f>
        <v>4040.43</v>
      </c>
      <c r="I45" s="89">
        <f>TRUNC(E45*G45,2)</f>
        <v>5203.98</v>
      </c>
      <c r="K45" s="66"/>
    </row>
    <row r="46" spans="1:11" s="65" customFormat="1" ht="27">
      <c r="A46" s="83" t="s">
        <v>278</v>
      </c>
      <c r="B46" s="84" t="s">
        <v>241</v>
      </c>
      <c r="C46" s="85" t="s">
        <v>242</v>
      </c>
      <c r="D46" s="86" t="s">
        <v>10</v>
      </c>
      <c r="E46" s="87">
        <v>91.33</v>
      </c>
      <c r="F46" s="88">
        <f>TRUNC('MEMÓRIA DESO '!F184,2)</f>
        <v>40.58</v>
      </c>
      <c r="G46" s="88">
        <f>TRUNC(F46*1.2882,2)</f>
        <v>52.27</v>
      </c>
      <c r="H46" s="88">
        <f>TRUNC(F46*E46,2)</f>
        <v>3706.17</v>
      </c>
      <c r="I46" s="89">
        <f>TRUNC(E46*G46,2)</f>
        <v>4773.81</v>
      </c>
      <c r="K46" s="66"/>
    </row>
    <row r="47" spans="1:9" s="9" customFormat="1" ht="13.5">
      <c r="A47" s="31" t="s">
        <v>27</v>
      </c>
      <c r="B47" s="29"/>
      <c r="C47" s="21" t="s">
        <v>279</v>
      </c>
      <c r="D47" s="39"/>
      <c r="E47" s="22"/>
      <c r="F47" s="23"/>
      <c r="G47" s="23"/>
      <c r="H47" s="24">
        <f>H42+H43+H44+H45+H46</f>
        <v>8358.23</v>
      </c>
      <c r="I47" s="24">
        <f>I42+I43+I44+I45+I46</f>
        <v>10765.5</v>
      </c>
    </row>
    <row r="48" spans="1:9" s="9" customFormat="1" ht="13.5">
      <c r="A48" s="31" t="s">
        <v>281</v>
      </c>
      <c r="B48" s="21"/>
      <c r="C48" s="67" t="s">
        <v>480</v>
      </c>
      <c r="D48" s="39"/>
      <c r="E48" s="22"/>
      <c r="F48" s="23"/>
      <c r="G48" s="23"/>
      <c r="H48" s="24"/>
      <c r="I48" s="24"/>
    </row>
    <row r="49" spans="1:11" s="65" customFormat="1" ht="27">
      <c r="A49" s="83" t="s">
        <v>527</v>
      </c>
      <c r="B49" s="84" t="s">
        <v>486</v>
      </c>
      <c r="C49" s="85" t="s">
        <v>483</v>
      </c>
      <c r="D49" s="86" t="s">
        <v>10</v>
      </c>
      <c r="E49" s="87">
        <v>4.2</v>
      </c>
      <c r="F49" s="88">
        <f>TRUNC('MEMÓRIA DESO '!F191,2)</f>
        <v>771.53</v>
      </c>
      <c r="G49" s="88">
        <f aca="true" t="shared" si="6" ref="G49:G54">TRUNC(F49*1.2882,2)</f>
        <v>993.88</v>
      </c>
      <c r="H49" s="88">
        <f aca="true" t="shared" si="7" ref="H49:H54">TRUNC(F49*E49,2)</f>
        <v>3240.42</v>
      </c>
      <c r="I49" s="89">
        <f aca="true" t="shared" si="8" ref="I49:I54">TRUNC(E49*G49,2)</f>
        <v>4174.29</v>
      </c>
      <c r="K49" s="66"/>
    </row>
    <row r="50" spans="1:11" s="65" customFormat="1" ht="54.75">
      <c r="A50" s="83" t="s">
        <v>528</v>
      </c>
      <c r="B50" s="84" t="s">
        <v>485</v>
      </c>
      <c r="C50" s="85" t="s">
        <v>484</v>
      </c>
      <c r="D50" s="86" t="s">
        <v>10</v>
      </c>
      <c r="E50" s="87">
        <v>15.56</v>
      </c>
      <c r="F50" s="88">
        <f>TRUNC('MEMÓRIA DESO '!F197,2)</f>
        <v>293.91</v>
      </c>
      <c r="G50" s="88">
        <f t="shared" si="6"/>
        <v>378.61</v>
      </c>
      <c r="H50" s="88">
        <f t="shared" si="7"/>
        <v>4573.23</v>
      </c>
      <c r="I50" s="89">
        <f t="shared" si="8"/>
        <v>5891.17</v>
      </c>
      <c r="K50" s="66"/>
    </row>
    <row r="51" spans="1:11" s="65" customFormat="1" ht="13.5">
      <c r="A51" s="83" t="s">
        <v>529</v>
      </c>
      <c r="B51" s="84" t="s">
        <v>434</v>
      </c>
      <c r="C51" s="85" t="s">
        <v>435</v>
      </c>
      <c r="D51" s="86" t="s">
        <v>14</v>
      </c>
      <c r="E51" s="87">
        <v>1</v>
      </c>
      <c r="F51" s="88">
        <f>TRUNC('MEMÓRIA DESO '!F202,2)</f>
        <v>15.05</v>
      </c>
      <c r="G51" s="88">
        <f t="shared" si="6"/>
        <v>19.38</v>
      </c>
      <c r="H51" s="88">
        <f t="shared" si="7"/>
        <v>15.05</v>
      </c>
      <c r="I51" s="89">
        <f t="shared" si="8"/>
        <v>19.38</v>
      </c>
      <c r="K51" s="66"/>
    </row>
    <row r="52" spans="1:11" s="65" customFormat="1" ht="27">
      <c r="A52" s="83" t="s">
        <v>530</v>
      </c>
      <c r="B52" s="84" t="s">
        <v>493</v>
      </c>
      <c r="C52" s="85" t="s">
        <v>492</v>
      </c>
      <c r="D52" s="86" t="s">
        <v>14</v>
      </c>
      <c r="E52" s="87">
        <v>2</v>
      </c>
      <c r="F52" s="88">
        <f>TRUNC('MEMÓRIA DESO '!F206,2)</f>
        <v>15.73</v>
      </c>
      <c r="G52" s="88">
        <f t="shared" si="6"/>
        <v>20.26</v>
      </c>
      <c r="H52" s="88">
        <f t="shared" si="7"/>
        <v>31.46</v>
      </c>
      <c r="I52" s="89">
        <f t="shared" si="8"/>
        <v>40.52</v>
      </c>
      <c r="K52" s="66"/>
    </row>
    <row r="53" spans="1:11" s="65" customFormat="1" ht="27">
      <c r="A53" s="83" t="s">
        <v>531</v>
      </c>
      <c r="B53" s="84" t="s">
        <v>444</v>
      </c>
      <c r="C53" s="85" t="s">
        <v>445</v>
      </c>
      <c r="D53" s="86" t="s">
        <v>14</v>
      </c>
      <c r="E53" s="87">
        <v>1</v>
      </c>
      <c r="F53" s="88">
        <f>TRUNC('MEMÓRIA DESO '!F212,2)</f>
        <v>4756.74</v>
      </c>
      <c r="G53" s="88">
        <f t="shared" si="6"/>
        <v>6127.63</v>
      </c>
      <c r="H53" s="88">
        <f t="shared" si="7"/>
        <v>4756.74</v>
      </c>
      <c r="I53" s="89">
        <f t="shared" si="8"/>
        <v>6127.63</v>
      </c>
      <c r="K53" s="66"/>
    </row>
    <row r="54" spans="1:11" s="65" customFormat="1" ht="27">
      <c r="A54" s="83" t="s">
        <v>532</v>
      </c>
      <c r="B54" s="84" t="s">
        <v>452</v>
      </c>
      <c r="C54" s="85" t="s">
        <v>453</v>
      </c>
      <c r="D54" s="86" t="s">
        <v>14</v>
      </c>
      <c r="E54" s="87">
        <v>1</v>
      </c>
      <c r="F54" s="88">
        <f>TRUNC('MEMÓRIA DESO '!F217,2)</f>
        <v>280.81</v>
      </c>
      <c r="G54" s="88">
        <f t="shared" si="6"/>
        <v>361.73</v>
      </c>
      <c r="H54" s="88">
        <f t="shared" si="7"/>
        <v>280.81</v>
      </c>
      <c r="I54" s="89">
        <f t="shared" si="8"/>
        <v>361.73</v>
      </c>
      <c r="K54" s="66"/>
    </row>
    <row r="55" spans="1:9" s="9" customFormat="1" ht="13.5">
      <c r="A55" s="31" t="s">
        <v>27</v>
      </c>
      <c r="B55" s="29"/>
      <c r="C55" s="21" t="s">
        <v>410</v>
      </c>
      <c r="D55" s="39"/>
      <c r="E55" s="22"/>
      <c r="F55" s="23"/>
      <c r="G55" s="23"/>
      <c r="H55" s="24">
        <f>H49+H50+H51+H52+H53+H54</f>
        <v>12897.71</v>
      </c>
      <c r="I55" s="24">
        <f>I49+I50+I51+I52+I53+I54</f>
        <v>16614.719999999998</v>
      </c>
    </row>
    <row r="56" spans="1:9" s="74" customFormat="1" ht="13.5">
      <c r="A56" s="73" t="s">
        <v>284</v>
      </c>
      <c r="B56" s="21"/>
      <c r="C56" s="67" t="s">
        <v>250</v>
      </c>
      <c r="D56" s="39"/>
      <c r="E56" s="22"/>
      <c r="F56" s="23"/>
      <c r="G56" s="23"/>
      <c r="H56" s="24"/>
      <c r="I56" s="24"/>
    </row>
    <row r="57" spans="1:11" s="65" customFormat="1" ht="69">
      <c r="A57" s="83" t="s">
        <v>282</v>
      </c>
      <c r="B57" s="84" t="s">
        <v>333</v>
      </c>
      <c r="C57" s="85" t="s">
        <v>252</v>
      </c>
      <c r="D57" s="86" t="s">
        <v>253</v>
      </c>
      <c r="E57" s="87">
        <v>63.72</v>
      </c>
      <c r="F57" s="88">
        <f>TRUNC('MEMÓRIA DESO '!F234,2)</f>
        <v>8</v>
      </c>
      <c r="G57" s="88">
        <f>TRUNC(F57*1.2882,2)</f>
        <v>10.3</v>
      </c>
      <c r="H57" s="88">
        <f>TRUNC(F57*E57,2)</f>
        <v>509.76</v>
      </c>
      <c r="I57" s="89">
        <f>TRUNC(E57*G57,2)</f>
        <v>656.31</v>
      </c>
      <c r="K57" s="66"/>
    </row>
    <row r="58" spans="1:11" s="65" customFormat="1" ht="41.25">
      <c r="A58" s="83" t="s">
        <v>283</v>
      </c>
      <c r="B58" s="84" t="s">
        <v>256</v>
      </c>
      <c r="C58" s="85" t="s">
        <v>257</v>
      </c>
      <c r="D58" s="86" t="s">
        <v>14</v>
      </c>
      <c r="E58" s="87">
        <v>2</v>
      </c>
      <c r="F58" s="88">
        <f>TRUNC('MEMÓRIA DESO '!F237,2)</f>
        <v>258.86</v>
      </c>
      <c r="G58" s="88">
        <f>TRUNC(F58*1.2882,2)</f>
        <v>333.46</v>
      </c>
      <c r="H58" s="88">
        <f>TRUNC(F58*E58,2)</f>
        <v>517.72</v>
      </c>
      <c r="I58" s="89">
        <f>TRUNC(E58*G58,2)</f>
        <v>666.92</v>
      </c>
      <c r="K58" s="66"/>
    </row>
    <row r="59" spans="1:9" s="9" customFormat="1" ht="13.5">
      <c r="A59" s="31" t="s">
        <v>27</v>
      </c>
      <c r="B59" s="29"/>
      <c r="C59" s="21" t="s">
        <v>285</v>
      </c>
      <c r="D59" s="39"/>
      <c r="E59" s="22"/>
      <c r="F59" s="23"/>
      <c r="G59" s="23"/>
      <c r="H59" s="24">
        <f>H57+H58</f>
        <v>1027.48</v>
      </c>
      <c r="I59" s="24">
        <f>I57+I58</f>
        <v>1323.23</v>
      </c>
    </row>
    <row r="60" spans="1:9" s="9" customFormat="1" ht="13.5">
      <c r="A60" s="31" t="s">
        <v>27</v>
      </c>
      <c r="B60" s="29"/>
      <c r="C60" s="21" t="s">
        <v>12</v>
      </c>
      <c r="D60" s="39"/>
      <c r="E60" s="22"/>
      <c r="F60" s="23"/>
      <c r="G60" s="23"/>
      <c r="H60" s="24">
        <f>H59+H55+H47+H40+H34+H26</f>
        <v>79340.94</v>
      </c>
      <c r="I60" s="24">
        <f>I59+I55+I47+I40+I34+I26</f>
        <v>102197.76999999999</v>
      </c>
    </row>
  </sheetData>
  <sheetProtection/>
  <mergeCells count="10">
    <mergeCell ref="C14:I14"/>
    <mergeCell ref="A1:F1"/>
    <mergeCell ref="A2:F2"/>
    <mergeCell ref="A3:F3"/>
    <mergeCell ref="A12:A13"/>
    <mergeCell ref="B12:B13"/>
    <mergeCell ref="C12:C13"/>
    <mergeCell ref="D12:D13"/>
    <mergeCell ref="E12:E13"/>
    <mergeCell ref="F12:I12"/>
  </mergeCells>
  <printOptions horizontalCentered="1"/>
  <pageMargins left="0.5905511811023623" right="0.3937007874015748" top="0.3937007874015748" bottom="0.5905511811023623" header="0" footer="0"/>
  <pageSetup horizontalDpi="600" verticalDpi="600" orientation="portrait" paperSize="9" scale="45" r:id="rId2"/>
  <headerFooter alignWithMargins="0">
    <oddFooter>&amp;C&amp;A&amp;RPágina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zoomScale="55" zoomScaleNormal="55" zoomScalePageLayoutView="0" workbookViewId="0" topLeftCell="A1">
      <selection activeCell="C11" sqref="C11"/>
    </sheetView>
  </sheetViews>
  <sheetFormatPr defaultColWidth="9.140625" defaultRowHeight="12.75"/>
  <cols>
    <col min="2" max="2" width="57.57421875" style="0" bestFit="1" customWidth="1"/>
    <col min="3" max="3" width="17.00390625" style="0" bestFit="1" customWidth="1"/>
    <col min="4" max="4" width="29.140625" style="0" bestFit="1" customWidth="1"/>
    <col min="5" max="5" width="14.8515625" style="0" bestFit="1" customWidth="1"/>
    <col min="6" max="6" width="27.00390625" style="0" bestFit="1" customWidth="1"/>
    <col min="7" max="7" width="17.00390625" style="0" bestFit="1" customWidth="1"/>
    <col min="8" max="8" width="27.00390625" style="0" bestFit="1" customWidth="1"/>
    <col min="9" max="9" width="56.140625" style="0" customWidth="1"/>
    <col min="11" max="11" width="12.00390625" style="0" customWidth="1"/>
  </cols>
  <sheetData>
    <row r="1" spans="1:9" ht="26.25" customHeight="1">
      <c r="A1" s="148" t="s">
        <v>411</v>
      </c>
      <c r="B1" s="149"/>
      <c r="C1" s="149"/>
      <c r="D1" s="149"/>
      <c r="E1" s="149"/>
      <c r="F1" s="149"/>
      <c r="G1" s="149"/>
      <c r="H1" s="149"/>
      <c r="I1" s="150"/>
    </row>
    <row r="2" spans="1:9" ht="26.25" customHeight="1">
      <c r="A2" s="151" t="s">
        <v>412</v>
      </c>
      <c r="B2" s="152"/>
      <c r="C2" s="152"/>
      <c r="D2" s="152"/>
      <c r="E2" s="152"/>
      <c r="F2" s="152"/>
      <c r="G2" s="152"/>
      <c r="H2" s="152"/>
      <c r="I2" s="153"/>
    </row>
    <row r="3" spans="1:9" ht="26.25" customHeight="1">
      <c r="A3" s="151" t="s">
        <v>413</v>
      </c>
      <c r="B3" s="152"/>
      <c r="C3" s="152"/>
      <c r="D3" s="152"/>
      <c r="E3" s="152"/>
      <c r="F3" s="152"/>
      <c r="G3" s="152"/>
      <c r="H3" s="152"/>
      <c r="I3" s="153"/>
    </row>
    <row r="4" spans="1:9" ht="25.5" customHeight="1">
      <c r="A4" s="154" t="s">
        <v>547</v>
      </c>
      <c r="B4" s="155"/>
      <c r="C4" s="155"/>
      <c r="D4" s="155"/>
      <c r="E4" s="155"/>
      <c r="F4" s="155"/>
      <c r="G4" s="155"/>
      <c r="H4" s="155"/>
      <c r="I4" s="156"/>
    </row>
    <row r="5" spans="1:9" ht="24">
      <c r="A5" s="133" t="s">
        <v>548</v>
      </c>
      <c r="B5" s="134"/>
      <c r="C5" s="134"/>
      <c r="D5" s="134"/>
      <c r="E5" s="134"/>
      <c r="F5" s="134"/>
      <c r="G5" s="134"/>
      <c r="H5" s="134"/>
      <c r="I5" s="135"/>
    </row>
    <row r="6" spans="1:9" ht="25.5" customHeight="1">
      <c r="A6" s="161" t="s">
        <v>549</v>
      </c>
      <c r="B6" s="162"/>
      <c r="C6" s="162"/>
      <c r="D6" s="162"/>
      <c r="E6" s="162"/>
      <c r="F6" s="162"/>
      <c r="G6" s="162"/>
      <c r="H6" s="162"/>
      <c r="I6" s="163"/>
    </row>
    <row r="7" spans="1:9" ht="24">
      <c r="A7" s="138"/>
      <c r="B7" s="139"/>
      <c r="C7" s="139"/>
      <c r="D7" s="139"/>
      <c r="E7" s="139"/>
      <c r="F7" s="139"/>
      <c r="G7" s="139"/>
      <c r="H7" s="139"/>
      <c r="I7" s="90"/>
    </row>
    <row r="8" spans="1:9" ht="23.25" customHeight="1">
      <c r="A8" s="140" t="s">
        <v>414</v>
      </c>
      <c r="B8" s="141"/>
      <c r="C8" s="141"/>
      <c r="D8" s="141"/>
      <c r="E8" s="141"/>
      <c r="F8" s="141"/>
      <c r="G8" s="141"/>
      <c r="H8" s="141"/>
      <c r="I8" s="142"/>
    </row>
    <row r="9" spans="1:9" ht="21">
      <c r="A9" s="143" t="s">
        <v>7</v>
      </c>
      <c r="B9" s="143" t="s">
        <v>415</v>
      </c>
      <c r="C9" s="129" t="s">
        <v>416</v>
      </c>
      <c r="D9" s="164"/>
      <c r="E9" s="164"/>
      <c r="F9" s="164"/>
      <c r="G9" s="164"/>
      <c r="H9" s="164"/>
      <c r="I9" s="130"/>
    </row>
    <row r="10" spans="1:9" ht="21">
      <c r="A10" s="144"/>
      <c r="B10" s="144"/>
      <c r="C10" s="129" t="s">
        <v>417</v>
      </c>
      <c r="D10" s="130"/>
      <c r="E10" s="129" t="s">
        <v>418</v>
      </c>
      <c r="F10" s="130"/>
      <c r="G10" s="129" t="s">
        <v>419</v>
      </c>
      <c r="H10" s="130"/>
      <c r="I10" s="110" t="s">
        <v>420</v>
      </c>
    </row>
    <row r="11" spans="1:9" ht="21">
      <c r="A11" s="145"/>
      <c r="B11" s="145"/>
      <c r="C11" s="111" t="s">
        <v>421</v>
      </c>
      <c r="D11" s="112" t="s">
        <v>422</v>
      </c>
      <c r="E11" s="111" t="s">
        <v>421</v>
      </c>
      <c r="F11" s="112" t="s">
        <v>422</v>
      </c>
      <c r="G11" s="111" t="s">
        <v>421</v>
      </c>
      <c r="H11" s="112" t="s">
        <v>422</v>
      </c>
      <c r="I11" s="110" t="s">
        <v>423</v>
      </c>
    </row>
    <row r="12" spans="1:9" ht="24">
      <c r="A12" s="131"/>
      <c r="B12" s="132"/>
      <c r="C12" s="91"/>
      <c r="D12" s="91"/>
      <c r="E12" s="92"/>
      <c r="F12" s="91"/>
      <c r="G12" s="91"/>
      <c r="H12" s="91"/>
      <c r="I12" s="93"/>
    </row>
    <row r="13" spans="1:11" ht="24">
      <c r="A13" s="94" t="s">
        <v>424</v>
      </c>
      <c r="B13" s="95" t="s">
        <v>17</v>
      </c>
      <c r="C13" s="96">
        <v>1</v>
      </c>
      <c r="D13" s="97">
        <f aca="true" t="shared" si="0" ref="D13:D18">C13*I13</f>
        <v>22309.780000000002</v>
      </c>
      <c r="E13" s="114">
        <v>0</v>
      </c>
      <c r="F13" s="113">
        <f aca="true" t="shared" si="1" ref="F13:F18">E13*I13</f>
        <v>0</v>
      </c>
      <c r="G13" s="101">
        <v>0</v>
      </c>
      <c r="H13" s="113">
        <f aca="true" t="shared" si="2" ref="H13:H18">G13*I13</f>
        <v>0</v>
      </c>
      <c r="I13" s="99">
        <v>22309.780000000002</v>
      </c>
      <c r="K13" s="109"/>
    </row>
    <row r="14" spans="1:11" ht="24">
      <c r="A14" s="94" t="s">
        <v>261</v>
      </c>
      <c r="B14" s="100" t="s">
        <v>148</v>
      </c>
      <c r="C14" s="96">
        <v>0.15</v>
      </c>
      <c r="D14" s="97">
        <f t="shared" si="0"/>
        <v>6172.2660000000005</v>
      </c>
      <c r="E14" s="98">
        <v>0.85</v>
      </c>
      <c r="F14" s="97">
        <f t="shared" si="1"/>
        <v>34976.174</v>
      </c>
      <c r="G14" s="101">
        <v>0</v>
      </c>
      <c r="H14" s="113">
        <f t="shared" si="2"/>
        <v>0</v>
      </c>
      <c r="I14" s="99">
        <v>41148.44</v>
      </c>
      <c r="K14" s="109"/>
    </row>
    <row r="15" spans="1:11" ht="24">
      <c r="A15" s="94" t="s">
        <v>268</v>
      </c>
      <c r="B15" s="100" t="s">
        <v>189</v>
      </c>
      <c r="C15" s="101">
        <v>0</v>
      </c>
      <c r="D15" s="113">
        <f t="shared" si="0"/>
        <v>0</v>
      </c>
      <c r="E15" s="98">
        <v>0.3</v>
      </c>
      <c r="F15" s="97">
        <f t="shared" si="1"/>
        <v>3010.83</v>
      </c>
      <c r="G15" s="96">
        <v>0.7</v>
      </c>
      <c r="H15" s="97">
        <f t="shared" si="2"/>
        <v>7025.2699999999995</v>
      </c>
      <c r="I15" s="99">
        <v>10036.1</v>
      </c>
      <c r="K15" s="109"/>
    </row>
    <row r="16" spans="1:11" ht="24">
      <c r="A16" s="94" t="s">
        <v>273</v>
      </c>
      <c r="B16" s="100" t="s">
        <v>221</v>
      </c>
      <c r="C16" s="96">
        <v>0.3</v>
      </c>
      <c r="D16" s="97">
        <f t="shared" si="0"/>
        <v>3229.65</v>
      </c>
      <c r="E16" s="98">
        <v>0.7</v>
      </c>
      <c r="F16" s="97">
        <f t="shared" si="1"/>
        <v>7535.849999999999</v>
      </c>
      <c r="G16" s="101">
        <v>0</v>
      </c>
      <c r="H16" s="113">
        <f t="shared" si="2"/>
        <v>0</v>
      </c>
      <c r="I16" s="99">
        <v>10765.5</v>
      </c>
      <c r="K16" s="109"/>
    </row>
    <row r="17" spans="1:11" ht="24">
      <c r="A17" s="94" t="s">
        <v>281</v>
      </c>
      <c r="B17" s="100" t="s">
        <v>249</v>
      </c>
      <c r="C17" s="101">
        <v>0</v>
      </c>
      <c r="D17" s="113">
        <f t="shared" si="0"/>
        <v>0</v>
      </c>
      <c r="E17" s="114">
        <v>0</v>
      </c>
      <c r="F17" s="113">
        <f t="shared" si="1"/>
        <v>0</v>
      </c>
      <c r="G17" s="96">
        <v>1</v>
      </c>
      <c r="H17" s="97">
        <f t="shared" si="2"/>
        <v>16614.719999999998</v>
      </c>
      <c r="I17" s="99">
        <v>16614.719999999998</v>
      </c>
      <c r="K17" s="109"/>
    </row>
    <row r="18" spans="1:11" ht="24">
      <c r="A18" s="94" t="s">
        <v>284</v>
      </c>
      <c r="B18" s="100" t="s">
        <v>250</v>
      </c>
      <c r="C18" s="96">
        <v>0.33</v>
      </c>
      <c r="D18" s="97">
        <f t="shared" si="0"/>
        <v>436.6659</v>
      </c>
      <c r="E18" s="98">
        <v>0.33</v>
      </c>
      <c r="F18" s="97">
        <f t="shared" si="1"/>
        <v>436.6659</v>
      </c>
      <c r="G18" s="96">
        <v>0.34</v>
      </c>
      <c r="H18" s="97">
        <f t="shared" si="2"/>
        <v>449.89820000000003</v>
      </c>
      <c r="I18" s="99">
        <v>1323.23</v>
      </c>
      <c r="K18" s="109"/>
    </row>
    <row r="19" spans="1:9" ht="24">
      <c r="A19" s="115"/>
      <c r="B19" s="116"/>
      <c r="C19" s="101"/>
      <c r="D19" s="101"/>
      <c r="E19" s="101"/>
      <c r="F19" s="101"/>
      <c r="G19" s="101"/>
      <c r="H19" s="101"/>
      <c r="I19" s="99">
        <f>SUM(I13:I18)</f>
        <v>102197.77</v>
      </c>
    </row>
    <row r="20" spans="1:9" ht="24">
      <c r="A20" s="157" t="s">
        <v>425</v>
      </c>
      <c r="B20" s="158"/>
      <c r="C20" s="136">
        <f>SUM(D13:D18)</f>
        <v>32148.361900000004</v>
      </c>
      <c r="D20" s="137"/>
      <c r="E20" s="136">
        <f>SUM(F13:F18)</f>
        <v>45959.5199</v>
      </c>
      <c r="F20" s="137"/>
      <c r="G20" s="136">
        <f>SUM(H13:H18)</f>
        <v>24089.888199999998</v>
      </c>
      <c r="H20" s="137"/>
      <c r="I20" s="102"/>
    </row>
    <row r="21" spans="1:9" ht="24">
      <c r="A21" s="157" t="s">
        <v>426</v>
      </c>
      <c r="B21" s="158"/>
      <c r="C21" s="159">
        <f>C20</f>
        <v>32148.361900000004</v>
      </c>
      <c r="D21" s="160"/>
      <c r="E21" s="159">
        <f>E20+C21</f>
        <v>78107.8818</v>
      </c>
      <c r="F21" s="160"/>
      <c r="G21" s="159">
        <f>G20+E21</f>
        <v>102197.77</v>
      </c>
      <c r="H21" s="160"/>
      <c r="I21" s="103"/>
    </row>
    <row r="22" spans="1:9" ht="24">
      <c r="A22" s="165" t="s">
        <v>427</v>
      </c>
      <c r="B22" s="166"/>
      <c r="C22" s="146">
        <f>C20/I19</f>
        <v>0.3145700918914376</v>
      </c>
      <c r="D22" s="147"/>
      <c r="E22" s="146">
        <f>E20/I19</f>
        <v>0.4497115729628934</v>
      </c>
      <c r="F22" s="147"/>
      <c r="G22" s="146">
        <f>G20/I19</f>
        <v>0.235718335145669</v>
      </c>
      <c r="H22" s="147"/>
      <c r="I22" s="104"/>
    </row>
    <row r="23" spans="1:9" ht="24">
      <c r="A23" s="165" t="s">
        <v>428</v>
      </c>
      <c r="B23" s="166"/>
      <c r="C23" s="146">
        <f>C22</f>
        <v>0.3145700918914376</v>
      </c>
      <c r="D23" s="147"/>
      <c r="E23" s="146">
        <f>E22+C23</f>
        <v>0.7642816648543309</v>
      </c>
      <c r="F23" s="147"/>
      <c r="G23" s="146">
        <f>G22+E23</f>
        <v>0.9999999999999999</v>
      </c>
      <c r="H23" s="147"/>
      <c r="I23" s="105"/>
    </row>
    <row r="27" ht="44.25" customHeight="1">
      <c r="D27" s="109"/>
    </row>
  </sheetData>
  <sheetProtection/>
  <mergeCells count="31">
    <mergeCell ref="C22:D22"/>
    <mergeCell ref="G21:H21"/>
    <mergeCell ref="G22:H22"/>
    <mergeCell ref="A20:B20"/>
    <mergeCell ref="A6:I6"/>
    <mergeCell ref="C9:I9"/>
    <mergeCell ref="A23:B23"/>
    <mergeCell ref="C23:D23"/>
    <mergeCell ref="E23:F23"/>
    <mergeCell ref="G23:H23"/>
    <mergeCell ref="A22:B22"/>
    <mergeCell ref="C10:D10"/>
    <mergeCell ref="E22:F22"/>
    <mergeCell ref="G10:H10"/>
    <mergeCell ref="A1:I1"/>
    <mergeCell ref="A2:I2"/>
    <mergeCell ref="A3:I3"/>
    <mergeCell ref="A4:I4"/>
    <mergeCell ref="A21:B21"/>
    <mergeCell ref="C21:D21"/>
    <mergeCell ref="E21:F21"/>
    <mergeCell ref="E10:F10"/>
    <mergeCell ref="A12:B12"/>
    <mergeCell ref="A5:I5"/>
    <mergeCell ref="C20:D20"/>
    <mergeCell ref="E20:F20"/>
    <mergeCell ref="G20:H20"/>
    <mergeCell ref="A7:H7"/>
    <mergeCell ref="A8:I8"/>
    <mergeCell ref="A9:A11"/>
    <mergeCell ref="B9:B11"/>
  </mergeCells>
  <printOptions horizontalCentered="1" vertic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12"/>
  <sheetViews>
    <sheetView view="pageBreakPreview" zoomScale="80" zoomScaleNormal="75" zoomScaleSheetLayoutView="80" zoomScalePageLayoutView="0" workbookViewId="0" topLeftCell="A226">
      <selection activeCell="A9" sqref="A9"/>
    </sheetView>
  </sheetViews>
  <sheetFormatPr defaultColWidth="9.140625" defaultRowHeight="12.75"/>
  <cols>
    <col min="1" max="1" width="6.8515625" style="36" customWidth="1"/>
    <col min="2" max="2" width="20.140625" style="35" bestFit="1" customWidth="1"/>
    <col min="3" max="3" width="94.7109375" style="26" customWidth="1"/>
    <col min="4" max="4" width="10.7109375" style="40" customWidth="1"/>
    <col min="5" max="5" width="14.8515625" style="26" customWidth="1"/>
    <col min="6" max="6" width="12.7109375" style="26" bestFit="1" customWidth="1"/>
    <col min="7" max="7" width="12.140625" style="26" bestFit="1" customWidth="1"/>
    <col min="8" max="8" width="14.8515625" style="26" bestFit="1" customWidth="1"/>
    <col min="9" max="9" width="19.00390625" style="27" customWidth="1"/>
    <col min="10" max="10" width="14.28125" style="2" bestFit="1" customWidth="1"/>
    <col min="11" max="11" width="10.28125" style="2" bestFit="1" customWidth="1"/>
    <col min="12" max="12" width="45.7109375" style="2" customWidth="1"/>
    <col min="13" max="16384" width="9.140625" style="2" customWidth="1"/>
  </cols>
  <sheetData>
    <row r="1" spans="1:9" ht="15">
      <c r="A1" s="118"/>
      <c r="B1" s="119"/>
      <c r="C1" s="119"/>
      <c r="D1" s="119"/>
      <c r="E1" s="119"/>
      <c r="F1" s="119"/>
      <c r="G1" s="44"/>
      <c r="H1" s="44"/>
      <c r="I1" s="1"/>
    </row>
    <row r="2" spans="1:9" ht="15">
      <c r="A2" s="120"/>
      <c r="B2" s="121"/>
      <c r="C2" s="121"/>
      <c r="D2" s="121"/>
      <c r="E2" s="121"/>
      <c r="F2" s="121"/>
      <c r="G2" s="45"/>
      <c r="H2" s="45"/>
      <c r="I2" s="3"/>
    </row>
    <row r="3" spans="1:9" ht="15">
      <c r="A3" s="122"/>
      <c r="B3" s="123"/>
      <c r="C3" s="123"/>
      <c r="D3" s="123"/>
      <c r="E3" s="124"/>
      <c r="F3" s="124"/>
      <c r="G3" s="46"/>
      <c r="H3" s="46"/>
      <c r="I3" s="4"/>
    </row>
    <row r="4" spans="1:9" ht="15">
      <c r="A4" s="30"/>
      <c r="B4" s="32"/>
      <c r="C4" s="9"/>
      <c r="D4" s="47" t="s">
        <v>33</v>
      </c>
      <c r="E4" s="6"/>
      <c r="F4" s="5"/>
      <c r="G4" s="5"/>
      <c r="H4" s="5"/>
      <c r="I4" s="1"/>
    </row>
    <row r="5" spans="2:9" ht="15">
      <c r="B5" s="34"/>
      <c r="C5" s="3"/>
      <c r="D5" s="41" t="s">
        <v>39</v>
      </c>
      <c r="E5" s="7"/>
      <c r="F5" s="8">
        <v>44650</v>
      </c>
      <c r="G5" s="8"/>
      <c r="H5" s="8"/>
      <c r="I5" s="3"/>
    </row>
    <row r="6" spans="1:9" ht="14.25">
      <c r="A6" s="37" t="s">
        <v>20</v>
      </c>
      <c r="B6" s="32"/>
      <c r="C6" s="3"/>
      <c r="D6" s="42" t="s">
        <v>550</v>
      </c>
      <c r="E6" s="7"/>
      <c r="F6" s="10" t="s">
        <v>553</v>
      </c>
      <c r="G6" s="10"/>
      <c r="H6" s="10"/>
      <c r="I6" s="3"/>
    </row>
    <row r="7" spans="2:9" ht="15">
      <c r="B7" s="34"/>
      <c r="C7" s="3"/>
      <c r="D7" s="42" t="s">
        <v>551</v>
      </c>
      <c r="E7" s="7"/>
      <c r="F7" s="10" t="s">
        <v>553</v>
      </c>
      <c r="G7" s="10"/>
      <c r="H7" s="10"/>
      <c r="I7" s="3"/>
    </row>
    <row r="8" spans="1:9" ht="13.5">
      <c r="A8" s="11" t="s">
        <v>547</v>
      </c>
      <c r="B8" s="32"/>
      <c r="C8" s="3"/>
      <c r="D8" s="42" t="s">
        <v>0</v>
      </c>
      <c r="E8" s="7"/>
      <c r="F8" s="10" t="s">
        <v>32</v>
      </c>
      <c r="G8" s="10"/>
      <c r="H8" s="10"/>
      <c r="I8" s="3"/>
    </row>
    <row r="9" spans="1:9" ht="13.5">
      <c r="A9" s="11" t="s">
        <v>548</v>
      </c>
      <c r="B9" s="32"/>
      <c r="C9" s="3"/>
      <c r="D9" s="43" t="s">
        <v>552</v>
      </c>
      <c r="E9" s="13"/>
      <c r="F9" s="12" t="s">
        <v>554</v>
      </c>
      <c r="G9" s="12"/>
      <c r="H9" s="12"/>
      <c r="I9" s="4"/>
    </row>
    <row r="10" spans="1:9" ht="13.5">
      <c r="A10" s="11" t="s">
        <v>549</v>
      </c>
      <c r="B10" s="32"/>
      <c r="C10" s="9"/>
      <c r="D10" s="42"/>
      <c r="E10" s="7"/>
      <c r="F10" s="9"/>
      <c r="G10" s="9"/>
      <c r="H10" s="9"/>
      <c r="I10" s="3"/>
    </row>
    <row r="11" spans="1:9" ht="13.5">
      <c r="A11" s="50"/>
      <c r="B11" s="51"/>
      <c r="C11" s="56" t="s">
        <v>40</v>
      </c>
      <c r="D11" s="52"/>
      <c r="E11" s="53"/>
      <c r="F11" s="54"/>
      <c r="G11" s="54"/>
      <c r="H11" s="54"/>
      <c r="I11" s="55"/>
    </row>
    <row r="12" spans="1:9" ht="12.75" customHeight="1">
      <c r="A12" s="125" t="s">
        <v>7</v>
      </c>
      <c r="B12" s="126" t="s">
        <v>8</v>
      </c>
      <c r="C12" s="126" t="s">
        <v>13</v>
      </c>
      <c r="D12" s="125" t="s">
        <v>14</v>
      </c>
      <c r="E12" s="127" t="s">
        <v>15</v>
      </c>
      <c r="F12" s="128" t="s">
        <v>6</v>
      </c>
      <c r="G12" s="128"/>
      <c r="H12" s="128"/>
      <c r="I12" s="128"/>
    </row>
    <row r="13" spans="1:9" ht="12.75" customHeight="1">
      <c r="A13" s="125"/>
      <c r="B13" s="126"/>
      <c r="C13" s="126"/>
      <c r="D13" s="125"/>
      <c r="E13" s="127"/>
      <c r="F13" s="15" t="s">
        <v>28</v>
      </c>
      <c r="G13" s="15" t="s">
        <v>29</v>
      </c>
      <c r="H13" s="15" t="s">
        <v>30</v>
      </c>
      <c r="I13" s="14" t="s">
        <v>31</v>
      </c>
    </row>
    <row r="14" spans="1:9" ht="14.25" customHeight="1">
      <c r="A14" s="38" t="s">
        <v>27</v>
      </c>
      <c r="B14" s="33"/>
      <c r="C14" s="117" t="s">
        <v>17</v>
      </c>
      <c r="D14" s="117"/>
      <c r="E14" s="117"/>
      <c r="F14" s="117"/>
      <c r="G14" s="117"/>
      <c r="H14" s="117"/>
      <c r="I14" s="117"/>
    </row>
    <row r="15" spans="1:11" s="65" customFormat="1" ht="27">
      <c r="A15" s="58" t="s">
        <v>3</v>
      </c>
      <c r="B15" s="59" t="s">
        <v>335</v>
      </c>
      <c r="C15" s="60" t="s">
        <v>47</v>
      </c>
      <c r="D15" s="61" t="s">
        <v>10</v>
      </c>
      <c r="E15" s="62">
        <v>6</v>
      </c>
      <c r="F15" s="63">
        <f>TRUNC(G24,2)</f>
        <v>500.89</v>
      </c>
      <c r="G15" s="63">
        <f>TRUNC(F15*1.2247,2)</f>
        <v>613.43</v>
      </c>
      <c r="H15" s="63">
        <f>TRUNC(F15*E15,2)</f>
        <v>3005.34</v>
      </c>
      <c r="I15" s="64">
        <f>TRUNC(E15*G15,2)</f>
        <v>3680.58</v>
      </c>
      <c r="K15" s="66"/>
    </row>
    <row r="16" spans="1:11" s="28" customFormat="1" ht="27">
      <c r="A16" s="48"/>
      <c r="B16" s="25" t="s">
        <v>11</v>
      </c>
      <c r="C16" s="16" t="s">
        <v>41</v>
      </c>
      <c r="D16" s="49" t="s">
        <v>19</v>
      </c>
      <c r="E16" s="17">
        <v>0.3</v>
      </c>
      <c r="F16" s="18">
        <f>TRUNC(19.43,2)</f>
        <v>19.43</v>
      </c>
      <c r="G16" s="18">
        <f aca="true" t="shared" si="0" ref="G16:G23">TRUNC(E16*F16,2)</f>
        <v>5.82</v>
      </c>
      <c r="H16" s="18"/>
      <c r="I16" s="19"/>
      <c r="K16" s="20"/>
    </row>
    <row r="17" spans="1:11" s="28" customFormat="1" ht="13.5">
      <c r="A17" s="48"/>
      <c r="B17" s="25" t="s">
        <v>48</v>
      </c>
      <c r="C17" s="16" t="s">
        <v>49</v>
      </c>
      <c r="D17" s="49" t="s">
        <v>9</v>
      </c>
      <c r="E17" s="17">
        <v>9.2</v>
      </c>
      <c r="F17" s="18">
        <f>TRUNC(5.83,2)</f>
        <v>5.83</v>
      </c>
      <c r="G17" s="18">
        <f t="shared" si="0"/>
        <v>53.63</v>
      </c>
      <c r="H17" s="18"/>
      <c r="I17" s="19"/>
      <c r="K17" s="20"/>
    </row>
    <row r="18" spans="1:11" s="28" customFormat="1" ht="13.5">
      <c r="A18" s="48"/>
      <c r="B18" s="25" t="s">
        <v>50</v>
      </c>
      <c r="C18" s="16" t="s">
        <v>51</v>
      </c>
      <c r="D18" s="49" t="s">
        <v>52</v>
      </c>
      <c r="E18" s="17">
        <v>0.2</v>
      </c>
      <c r="F18" s="18">
        <f>TRUNC(70.36,2)</f>
        <v>70.36</v>
      </c>
      <c r="G18" s="18">
        <f t="shared" si="0"/>
        <v>14.07</v>
      </c>
      <c r="H18" s="18"/>
      <c r="I18" s="19"/>
      <c r="K18" s="20"/>
    </row>
    <row r="19" spans="1:11" s="28" customFormat="1" ht="27">
      <c r="A19" s="48"/>
      <c r="B19" s="25" t="s">
        <v>53</v>
      </c>
      <c r="C19" s="16" t="s">
        <v>54</v>
      </c>
      <c r="D19" s="49" t="s">
        <v>19</v>
      </c>
      <c r="E19" s="17">
        <v>5</v>
      </c>
      <c r="F19" s="18">
        <f>TRUNC(21.4377,2)</f>
        <v>21.43</v>
      </c>
      <c r="G19" s="18">
        <f t="shared" si="0"/>
        <v>107.15</v>
      </c>
      <c r="H19" s="18"/>
      <c r="I19" s="19"/>
      <c r="K19" s="20"/>
    </row>
    <row r="20" spans="1:11" s="28" customFormat="1" ht="13.5">
      <c r="A20" s="48"/>
      <c r="B20" s="25" t="s">
        <v>171</v>
      </c>
      <c r="C20" s="16" t="s">
        <v>172</v>
      </c>
      <c r="D20" s="49" t="s">
        <v>4</v>
      </c>
      <c r="E20" s="17">
        <v>2.06</v>
      </c>
      <c r="F20" s="18">
        <f>TRUNC(16.55,2)</f>
        <v>16.55</v>
      </c>
      <c r="G20" s="18">
        <f t="shared" si="0"/>
        <v>34.09</v>
      </c>
      <c r="H20" s="18"/>
      <c r="I20" s="19"/>
      <c r="K20" s="20"/>
    </row>
    <row r="21" spans="1:11" s="28" customFormat="1" ht="13.5">
      <c r="A21" s="48"/>
      <c r="B21" s="25" t="s">
        <v>336</v>
      </c>
      <c r="C21" s="16" t="s">
        <v>337</v>
      </c>
      <c r="D21" s="49" t="s">
        <v>4</v>
      </c>
      <c r="E21" s="17">
        <v>2.06</v>
      </c>
      <c r="F21" s="18">
        <f>TRUNC(24.61,2)</f>
        <v>24.61</v>
      </c>
      <c r="G21" s="18">
        <f t="shared" si="0"/>
        <v>50.69</v>
      </c>
      <c r="H21" s="18"/>
      <c r="I21" s="19"/>
      <c r="K21" s="20"/>
    </row>
    <row r="22" spans="1:11" s="28" customFormat="1" ht="13.5">
      <c r="A22" s="48"/>
      <c r="B22" s="25" t="s">
        <v>213</v>
      </c>
      <c r="C22" s="16" t="s">
        <v>214</v>
      </c>
      <c r="D22" s="49" t="s">
        <v>4</v>
      </c>
      <c r="E22" s="17">
        <v>4.12</v>
      </c>
      <c r="F22" s="18">
        <f>TRUNC(22.86,2)</f>
        <v>22.86</v>
      </c>
      <c r="G22" s="18">
        <f t="shared" si="0"/>
        <v>94.18</v>
      </c>
      <c r="H22" s="18"/>
      <c r="I22" s="19"/>
      <c r="K22" s="20"/>
    </row>
    <row r="23" spans="1:11" s="28" customFormat="1" ht="13.5">
      <c r="A23" s="48"/>
      <c r="B23" s="25" t="s">
        <v>338</v>
      </c>
      <c r="C23" s="16" t="s">
        <v>339</v>
      </c>
      <c r="D23" s="49" t="s">
        <v>4</v>
      </c>
      <c r="E23" s="17">
        <v>1</v>
      </c>
      <c r="F23" s="18">
        <f>TRUNC(141.2693,2)</f>
        <v>141.26</v>
      </c>
      <c r="G23" s="18">
        <f t="shared" si="0"/>
        <v>141.26</v>
      </c>
      <c r="H23" s="18"/>
      <c r="I23" s="19"/>
      <c r="K23" s="20"/>
    </row>
    <row r="24" spans="1:11" s="28" customFormat="1" ht="13.5">
      <c r="A24" s="48"/>
      <c r="B24" s="25"/>
      <c r="C24" s="16"/>
      <c r="D24" s="49"/>
      <c r="E24" s="17" t="s">
        <v>16</v>
      </c>
      <c r="F24" s="18"/>
      <c r="G24" s="18">
        <f>TRUNC(SUM(G16:G23),2)</f>
        <v>500.89</v>
      </c>
      <c r="H24" s="18"/>
      <c r="I24" s="19"/>
      <c r="K24" s="20"/>
    </row>
    <row r="25" spans="1:11" s="65" customFormat="1" ht="41.25">
      <c r="A25" s="58" t="s">
        <v>260</v>
      </c>
      <c r="B25" s="59" t="s">
        <v>340</v>
      </c>
      <c r="C25" s="60" t="s">
        <v>62</v>
      </c>
      <c r="D25" s="61" t="s">
        <v>14</v>
      </c>
      <c r="E25" s="62">
        <v>1</v>
      </c>
      <c r="F25" s="63">
        <f>TRUNC(G42,2)</f>
        <v>4304.59</v>
      </c>
      <c r="G25" s="63">
        <f>TRUNC(F25*1.2247,2)</f>
        <v>5271.83</v>
      </c>
      <c r="H25" s="63">
        <f>TRUNC(F25*E25,2)</f>
        <v>4304.59</v>
      </c>
      <c r="I25" s="64">
        <f>TRUNC(E25*G25,2)</f>
        <v>5271.83</v>
      </c>
      <c r="K25" s="66"/>
    </row>
    <row r="26" spans="1:11" s="28" customFormat="1" ht="13.5">
      <c r="A26" s="48"/>
      <c r="B26" s="25" t="s">
        <v>71</v>
      </c>
      <c r="C26" s="16" t="s">
        <v>72</v>
      </c>
      <c r="D26" s="49" t="s">
        <v>9</v>
      </c>
      <c r="E26" s="17">
        <v>3.44</v>
      </c>
      <c r="F26" s="18">
        <f>TRUNC(18,2)</f>
        <v>18</v>
      </c>
      <c r="G26" s="18">
        <f aca="true" t="shared" si="1" ref="G26:G41">TRUNC(E26*F26,2)</f>
        <v>61.92</v>
      </c>
      <c r="H26" s="18"/>
      <c r="I26" s="19"/>
      <c r="K26" s="20"/>
    </row>
    <row r="27" spans="1:11" s="28" customFormat="1" ht="13.5">
      <c r="A27" s="48"/>
      <c r="B27" s="25" t="s">
        <v>48</v>
      </c>
      <c r="C27" s="16" t="s">
        <v>49</v>
      </c>
      <c r="D27" s="49" t="s">
        <v>9</v>
      </c>
      <c r="E27" s="17">
        <v>25</v>
      </c>
      <c r="F27" s="18">
        <f>TRUNC(5.83,2)</f>
        <v>5.83</v>
      </c>
      <c r="G27" s="18">
        <f t="shared" si="1"/>
        <v>145.75</v>
      </c>
      <c r="H27" s="18"/>
      <c r="I27" s="19"/>
      <c r="K27" s="20"/>
    </row>
    <row r="28" spans="1:11" s="28" customFormat="1" ht="27">
      <c r="A28" s="48"/>
      <c r="B28" s="25" t="s">
        <v>11</v>
      </c>
      <c r="C28" s="16" t="s">
        <v>41</v>
      </c>
      <c r="D28" s="49" t="s">
        <v>19</v>
      </c>
      <c r="E28" s="17">
        <v>1</v>
      </c>
      <c r="F28" s="18">
        <f>TRUNC(19.43,2)</f>
        <v>19.43</v>
      </c>
      <c r="G28" s="18">
        <f t="shared" si="1"/>
        <v>19.43</v>
      </c>
      <c r="H28" s="18"/>
      <c r="I28" s="19"/>
      <c r="K28" s="20"/>
    </row>
    <row r="29" spans="1:11" s="28" customFormat="1" ht="13.5">
      <c r="A29" s="48"/>
      <c r="B29" s="25" t="s">
        <v>65</v>
      </c>
      <c r="C29" s="16" t="s">
        <v>66</v>
      </c>
      <c r="D29" s="49" t="s">
        <v>14</v>
      </c>
      <c r="E29" s="17">
        <v>30</v>
      </c>
      <c r="F29" s="18">
        <f>TRUNC(0.73,2)</f>
        <v>0.73</v>
      </c>
      <c r="G29" s="18">
        <f t="shared" si="1"/>
        <v>21.9</v>
      </c>
      <c r="H29" s="18"/>
      <c r="I29" s="19"/>
      <c r="K29" s="20"/>
    </row>
    <row r="30" spans="1:11" s="28" customFormat="1" ht="13.5">
      <c r="A30" s="48"/>
      <c r="B30" s="25" t="s">
        <v>69</v>
      </c>
      <c r="C30" s="16" t="s">
        <v>70</v>
      </c>
      <c r="D30" s="49" t="s">
        <v>9</v>
      </c>
      <c r="E30" s="17">
        <v>30</v>
      </c>
      <c r="F30" s="18">
        <f>TRUNC(30.75,2)</f>
        <v>30.75</v>
      </c>
      <c r="G30" s="18">
        <f t="shared" si="1"/>
        <v>922.5</v>
      </c>
      <c r="H30" s="18"/>
      <c r="I30" s="19"/>
      <c r="K30" s="20"/>
    </row>
    <row r="31" spans="1:11" s="28" customFormat="1" ht="13.5">
      <c r="A31" s="48"/>
      <c r="B31" s="25" t="s">
        <v>73</v>
      </c>
      <c r="C31" s="16" t="s">
        <v>74</v>
      </c>
      <c r="D31" s="49" t="s">
        <v>14</v>
      </c>
      <c r="E31" s="17">
        <v>1</v>
      </c>
      <c r="F31" s="18">
        <f>TRUNC(391.3,2)</f>
        <v>391.3</v>
      </c>
      <c r="G31" s="18">
        <f t="shared" si="1"/>
        <v>391.3</v>
      </c>
      <c r="H31" s="18"/>
      <c r="I31" s="19"/>
      <c r="K31" s="20"/>
    </row>
    <row r="32" spans="1:11" s="28" customFormat="1" ht="13.5">
      <c r="A32" s="48"/>
      <c r="B32" s="25" t="s">
        <v>63</v>
      </c>
      <c r="C32" s="16" t="s">
        <v>64</v>
      </c>
      <c r="D32" s="49" t="s">
        <v>14</v>
      </c>
      <c r="E32" s="17">
        <v>1</v>
      </c>
      <c r="F32" s="18">
        <f>TRUNC(21,2)</f>
        <v>21</v>
      </c>
      <c r="G32" s="18">
        <f t="shared" si="1"/>
        <v>21</v>
      </c>
      <c r="H32" s="18"/>
      <c r="I32" s="19"/>
      <c r="K32" s="20"/>
    </row>
    <row r="33" spans="1:11" s="28" customFormat="1" ht="27">
      <c r="A33" s="48"/>
      <c r="B33" s="25" t="s">
        <v>67</v>
      </c>
      <c r="C33" s="16" t="s">
        <v>68</v>
      </c>
      <c r="D33" s="49" t="s">
        <v>14</v>
      </c>
      <c r="E33" s="17">
        <v>1</v>
      </c>
      <c r="F33" s="18">
        <f>TRUNC(28.94,2)</f>
        <v>28.94</v>
      </c>
      <c r="G33" s="18">
        <f t="shared" si="1"/>
        <v>28.94</v>
      </c>
      <c r="H33" s="18"/>
      <c r="I33" s="19"/>
      <c r="K33" s="20"/>
    </row>
    <row r="34" spans="1:11" s="28" customFormat="1" ht="13.5">
      <c r="A34" s="48"/>
      <c r="B34" s="25" t="s">
        <v>336</v>
      </c>
      <c r="C34" s="16" t="s">
        <v>337</v>
      </c>
      <c r="D34" s="49" t="s">
        <v>4</v>
      </c>
      <c r="E34" s="17">
        <v>8.24</v>
      </c>
      <c r="F34" s="18">
        <f>TRUNC(24.61,2)</f>
        <v>24.61</v>
      </c>
      <c r="G34" s="18">
        <f t="shared" si="1"/>
        <v>202.78</v>
      </c>
      <c r="H34" s="18"/>
      <c r="I34" s="19"/>
      <c r="K34" s="20"/>
    </row>
    <row r="35" spans="1:11" s="28" customFormat="1" ht="13.5">
      <c r="A35" s="48"/>
      <c r="B35" s="25" t="s">
        <v>341</v>
      </c>
      <c r="C35" s="16" t="s">
        <v>342</v>
      </c>
      <c r="D35" s="49" t="s">
        <v>4</v>
      </c>
      <c r="E35" s="17">
        <v>8.24</v>
      </c>
      <c r="F35" s="18">
        <f>TRUNC(22.86,2)</f>
        <v>22.86</v>
      </c>
      <c r="G35" s="18">
        <f t="shared" si="1"/>
        <v>188.36</v>
      </c>
      <c r="H35" s="18"/>
      <c r="I35" s="19"/>
      <c r="K35" s="20"/>
    </row>
    <row r="36" spans="1:11" s="28" customFormat="1" ht="27">
      <c r="A36" s="48"/>
      <c r="B36" s="25" t="s">
        <v>343</v>
      </c>
      <c r="C36" s="16" t="s">
        <v>344</v>
      </c>
      <c r="D36" s="49" t="s">
        <v>4</v>
      </c>
      <c r="E36" s="17">
        <v>11.33</v>
      </c>
      <c r="F36" s="18">
        <f>TRUNC(22.86,2)</f>
        <v>22.86</v>
      </c>
      <c r="G36" s="18">
        <f t="shared" si="1"/>
        <v>259</v>
      </c>
      <c r="H36" s="18"/>
      <c r="I36" s="19"/>
      <c r="K36" s="20"/>
    </row>
    <row r="37" spans="1:11" s="28" customFormat="1" ht="13.5">
      <c r="A37" s="48"/>
      <c r="B37" s="25" t="s">
        <v>171</v>
      </c>
      <c r="C37" s="16" t="s">
        <v>172</v>
      </c>
      <c r="D37" s="49" t="s">
        <v>4</v>
      </c>
      <c r="E37" s="17">
        <v>8.24</v>
      </c>
      <c r="F37" s="18">
        <f>TRUNC(16.55,2)</f>
        <v>16.55</v>
      </c>
      <c r="G37" s="18">
        <f t="shared" si="1"/>
        <v>136.37</v>
      </c>
      <c r="H37" s="18"/>
      <c r="I37" s="19"/>
      <c r="K37" s="20"/>
    </row>
    <row r="38" spans="1:11" s="28" customFormat="1" ht="27">
      <c r="A38" s="48"/>
      <c r="B38" s="25" t="s">
        <v>77</v>
      </c>
      <c r="C38" s="16" t="s">
        <v>78</v>
      </c>
      <c r="D38" s="49" t="s">
        <v>14</v>
      </c>
      <c r="E38" s="17">
        <v>1</v>
      </c>
      <c r="F38" s="18">
        <f>TRUNC(990.4339,2)</f>
        <v>990.43</v>
      </c>
      <c r="G38" s="18">
        <f t="shared" si="1"/>
        <v>990.43</v>
      </c>
      <c r="H38" s="18"/>
      <c r="I38" s="19"/>
      <c r="K38" s="20"/>
    </row>
    <row r="39" spans="1:11" s="28" customFormat="1" ht="13.5">
      <c r="A39" s="48"/>
      <c r="B39" s="25" t="s">
        <v>345</v>
      </c>
      <c r="C39" s="16" t="s">
        <v>346</v>
      </c>
      <c r="D39" s="49" t="s">
        <v>14</v>
      </c>
      <c r="E39" s="17">
        <v>1</v>
      </c>
      <c r="F39" s="18">
        <f>TRUNC(659.2204,2)</f>
        <v>659.22</v>
      </c>
      <c r="G39" s="18">
        <f t="shared" si="1"/>
        <v>659.22</v>
      </c>
      <c r="H39" s="18"/>
      <c r="I39" s="19"/>
      <c r="K39" s="20"/>
    </row>
    <row r="40" spans="1:11" s="28" customFormat="1" ht="13.5">
      <c r="A40" s="48"/>
      <c r="B40" s="25" t="s">
        <v>347</v>
      </c>
      <c r="C40" s="16" t="s">
        <v>348</v>
      </c>
      <c r="D40" s="49" t="s">
        <v>83</v>
      </c>
      <c r="E40" s="17">
        <v>0.018</v>
      </c>
      <c r="F40" s="18">
        <f>TRUNC(405.218,2)</f>
        <v>405.21</v>
      </c>
      <c r="G40" s="18">
        <f t="shared" si="1"/>
        <v>7.29</v>
      </c>
      <c r="H40" s="18"/>
      <c r="I40" s="19"/>
      <c r="K40" s="20"/>
    </row>
    <row r="41" spans="1:11" s="28" customFormat="1" ht="13.5">
      <c r="A41" s="48"/>
      <c r="B41" s="25" t="s">
        <v>349</v>
      </c>
      <c r="C41" s="16" t="s">
        <v>350</v>
      </c>
      <c r="D41" s="49" t="s">
        <v>10</v>
      </c>
      <c r="E41" s="17">
        <v>8</v>
      </c>
      <c r="F41" s="18">
        <f>TRUNC(31.0531,2)</f>
        <v>31.05</v>
      </c>
      <c r="G41" s="18">
        <f t="shared" si="1"/>
        <v>248.4</v>
      </c>
      <c r="H41" s="18"/>
      <c r="I41" s="19"/>
      <c r="K41" s="20"/>
    </row>
    <row r="42" spans="1:11" s="28" customFormat="1" ht="13.5">
      <c r="A42" s="48"/>
      <c r="B42" s="25"/>
      <c r="C42" s="16"/>
      <c r="D42" s="49"/>
      <c r="E42" s="17" t="s">
        <v>16</v>
      </c>
      <c r="F42" s="18"/>
      <c r="G42" s="18">
        <f>TRUNC(SUM(G26:G41),2)</f>
        <v>4304.59</v>
      </c>
      <c r="H42" s="18"/>
      <c r="I42" s="19"/>
      <c r="K42" s="20"/>
    </row>
    <row r="43" spans="1:11" s="65" customFormat="1" ht="41.25">
      <c r="A43" s="58" t="s">
        <v>5</v>
      </c>
      <c r="B43" s="59" t="s">
        <v>351</v>
      </c>
      <c r="C43" s="60" t="s">
        <v>87</v>
      </c>
      <c r="D43" s="61" t="s">
        <v>14</v>
      </c>
      <c r="E43" s="62">
        <v>1</v>
      </c>
      <c r="F43" s="63">
        <f>TRUNC(G57,2)</f>
        <v>2306.3</v>
      </c>
      <c r="G43" s="63">
        <f>TRUNC(F43*1.2247,2)</f>
        <v>2824.52</v>
      </c>
      <c r="H43" s="63">
        <f>TRUNC(F43*E43,2)</f>
        <v>2306.3</v>
      </c>
      <c r="I43" s="64">
        <f>TRUNC(E43*G43,2)</f>
        <v>2824.52</v>
      </c>
      <c r="K43" s="66"/>
    </row>
    <row r="44" spans="1:11" s="28" customFormat="1" ht="13.5">
      <c r="A44" s="48"/>
      <c r="B44" s="25" t="s">
        <v>88</v>
      </c>
      <c r="C44" s="16" t="s">
        <v>89</v>
      </c>
      <c r="D44" s="49" t="s">
        <v>14</v>
      </c>
      <c r="E44" s="17">
        <v>1</v>
      </c>
      <c r="F44" s="18">
        <f>TRUNC(2.06,2)</f>
        <v>2.06</v>
      </c>
      <c r="G44" s="18">
        <f aca="true" t="shared" si="2" ref="G44:G56">TRUNC(E44*F44,2)</f>
        <v>2.06</v>
      </c>
      <c r="H44" s="18"/>
      <c r="I44" s="19"/>
      <c r="K44" s="20"/>
    </row>
    <row r="45" spans="1:11" s="28" customFormat="1" ht="13.5">
      <c r="A45" s="48"/>
      <c r="B45" s="25" t="s">
        <v>90</v>
      </c>
      <c r="C45" s="16" t="s">
        <v>91</v>
      </c>
      <c r="D45" s="49" t="s">
        <v>14</v>
      </c>
      <c r="E45" s="17">
        <v>4</v>
      </c>
      <c r="F45" s="18">
        <f>TRUNC(27.2,2)</f>
        <v>27.2</v>
      </c>
      <c r="G45" s="18">
        <f t="shared" si="2"/>
        <v>108.8</v>
      </c>
      <c r="H45" s="18"/>
      <c r="I45" s="19"/>
      <c r="K45" s="20"/>
    </row>
    <row r="46" spans="1:11" s="28" customFormat="1" ht="13.5">
      <c r="A46" s="48"/>
      <c r="B46" s="25" t="s">
        <v>92</v>
      </c>
      <c r="C46" s="16" t="s">
        <v>93</v>
      </c>
      <c r="D46" s="49" t="s">
        <v>14</v>
      </c>
      <c r="E46" s="17">
        <v>4</v>
      </c>
      <c r="F46" s="18">
        <f>TRUNC(5.45,2)</f>
        <v>5.45</v>
      </c>
      <c r="G46" s="18">
        <f t="shared" si="2"/>
        <v>21.8</v>
      </c>
      <c r="H46" s="18"/>
      <c r="I46" s="19"/>
      <c r="K46" s="20"/>
    </row>
    <row r="47" spans="1:11" s="28" customFormat="1" ht="13.5">
      <c r="A47" s="48"/>
      <c r="B47" s="25" t="s">
        <v>94</v>
      </c>
      <c r="C47" s="16" t="s">
        <v>95</v>
      </c>
      <c r="D47" s="49" t="s">
        <v>9</v>
      </c>
      <c r="E47" s="17">
        <v>6</v>
      </c>
      <c r="F47" s="18">
        <f>TRUNC(60.9,2)</f>
        <v>60.9</v>
      </c>
      <c r="G47" s="18">
        <f t="shared" si="2"/>
        <v>365.4</v>
      </c>
      <c r="H47" s="18"/>
      <c r="I47" s="19"/>
      <c r="K47" s="20"/>
    </row>
    <row r="48" spans="1:11" s="28" customFormat="1" ht="13.5">
      <c r="A48" s="48"/>
      <c r="B48" s="25" t="s">
        <v>96</v>
      </c>
      <c r="C48" s="16" t="s">
        <v>97</v>
      </c>
      <c r="D48" s="49" t="s">
        <v>9</v>
      </c>
      <c r="E48" s="17">
        <v>1</v>
      </c>
      <c r="F48" s="18">
        <f>TRUNC(20.27,2)</f>
        <v>20.27</v>
      </c>
      <c r="G48" s="18">
        <f t="shared" si="2"/>
        <v>20.27</v>
      </c>
      <c r="H48" s="18"/>
      <c r="I48" s="19"/>
      <c r="K48" s="20"/>
    </row>
    <row r="49" spans="1:11" s="28" customFormat="1" ht="13.5">
      <c r="A49" s="48"/>
      <c r="B49" s="25" t="s">
        <v>98</v>
      </c>
      <c r="C49" s="16" t="s">
        <v>99</v>
      </c>
      <c r="D49" s="49" t="s">
        <v>14</v>
      </c>
      <c r="E49" s="17">
        <v>1</v>
      </c>
      <c r="F49" s="18">
        <f>TRUNC(139.09,2)</f>
        <v>139.09</v>
      </c>
      <c r="G49" s="18">
        <f t="shared" si="2"/>
        <v>139.09</v>
      </c>
      <c r="H49" s="18"/>
      <c r="I49" s="19"/>
      <c r="K49" s="20"/>
    </row>
    <row r="50" spans="1:11" s="28" customFormat="1" ht="13.5">
      <c r="A50" s="48"/>
      <c r="B50" s="25" t="s">
        <v>100</v>
      </c>
      <c r="C50" s="16" t="s">
        <v>101</v>
      </c>
      <c r="D50" s="49" t="s">
        <v>14</v>
      </c>
      <c r="E50" s="17">
        <v>2</v>
      </c>
      <c r="F50" s="18">
        <f>TRUNC(3.99,2)</f>
        <v>3.99</v>
      </c>
      <c r="G50" s="18">
        <f t="shared" si="2"/>
        <v>7.98</v>
      </c>
      <c r="H50" s="18"/>
      <c r="I50" s="19"/>
      <c r="K50" s="20"/>
    </row>
    <row r="51" spans="1:11" s="28" customFormat="1" ht="13.5">
      <c r="A51" s="48"/>
      <c r="B51" s="25" t="s">
        <v>102</v>
      </c>
      <c r="C51" s="16" t="s">
        <v>103</v>
      </c>
      <c r="D51" s="49" t="s">
        <v>14</v>
      </c>
      <c r="E51" s="17">
        <v>3</v>
      </c>
      <c r="F51" s="18">
        <f>TRUNC(60.72,2)</f>
        <v>60.72</v>
      </c>
      <c r="G51" s="18">
        <f t="shared" si="2"/>
        <v>182.16</v>
      </c>
      <c r="H51" s="18"/>
      <c r="I51" s="19"/>
      <c r="K51" s="20"/>
    </row>
    <row r="52" spans="1:11" s="28" customFormat="1" ht="27">
      <c r="A52" s="48"/>
      <c r="B52" s="25" t="s">
        <v>104</v>
      </c>
      <c r="C52" s="16" t="s">
        <v>105</v>
      </c>
      <c r="D52" s="49" t="s">
        <v>14</v>
      </c>
      <c r="E52" s="17">
        <v>4</v>
      </c>
      <c r="F52" s="18">
        <f>TRUNC(8.02,2)</f>
        <v>8.02</v>
      </c>
      <c r="G52" s="18">
        <f t="shared" si="2"/>
        <v>32.08</v>
      </c>
      <c r="H52" s="18"/>
      <c r="I52" s="19"/>
      <c r="K52" s="20"/>
    </row>
    <row r="53" spans="1:11" s="28" customFormat="1" ht="13.5">
      <c r="A53" s="48"/>
      <c r="B53" s="25" t="s">
        <v>106</v>
      </c>
      <c r="C53" s="16" t="s">
        <v>107</v>
      </c>
      <c r="D53" s="49" t="s">
        <v>9</v>
      </c>
      <c r="E53" s="17">
        <v>20</v>
      </c>
      <c r="F53" s="18">
        <f>TRUNC(10.965,2)</f>
        <v>10.96</v>
      </c>
      <c r="G53" s="18">
        <f t="shared" si="2"/>
        <v>219.2</v>
      </c>
      <c r="H53" s="18"/>
      <c r="I53" s="19"/>
      <c r="K53" s="20"/>
    </row>
    <row r="54" spans="1:11" s="28" customFormat="1" ht="13.5">
      <c r="A54" s="48"/>
      <c r="B54" s="25" t="s">
        <v>108</v>
      </c>
      <c r="C54" s="16" t="s">
        <v>109</v>
      </c>
      <c r="D54" s="49" t="s">
        <v>9</v>
      </c>
      <c r="E54" s="17">
        <v>2</v>
      </c>
      <c r="F54" s="18">
        <f>TRUNC(116.6389,2)</f>
        <v>116.63</v>
      </c>
      <c r="G54" s="18">
        <f t="shared" si="2"/>
        <v>233.26</v>
      </c>
      <c r="H54" s="18"/>
      <c r="I54" s="19"/>
      <c r="K54" s="20"/>
    </row>
    <row r="55" spans="1:11" s="28" customFormat="1" ht="13.5">
      <c r="A55" s="48"/>
      <c r="B55" s="25" t="s">
        <v>171</v>
      </c>
      <c r="C55" s="16" t="s">
        <v>172</v>
      </c>
      <c r="D55" s="49" t="s">
        <v>4</v>
      </c>
      <c r="E55" s="17">
        <v>24.72</v>
      </c>
      <c r="F55" s="18">
        <f>TRUNC(16.55,2)</f>
        <v>16.55</v>
      </c>
      <c r="G55" s="18">
        <f t="shared" si="2"/>
        <v>409.11</v>
      </c>
      <c r="H55" s="18"/>
      <c r="I55" s="19"/>
      <c r="K55" s="20"/>
    </row>
    <row r="56" spans="1:11" s="28" customFormat="1" ht="13.5">
      <c r="A56" s="48"/>
      <c r="B56" s="25" t="s">
        <v>352</v>
      </c>
      <c r="C56" s="16" t="s">
        <v>353</v>
      </c>
      <c r="D56" s="49" t="s">
        <v>4</v>
      </c>
      <c r="E56" s="17">
        <v>24.72</v>
      </c>
      <c r="F56" s="18">
        <f>TRUNC(22.86,2)</f>
        <v>22.86</v>
      </c>
      <c r="G56" s="18">
        <f t="shared" si="2"/>
        <v>565.09</v>
      </c>
      <c r="H56" s="18"/>
      <c r="I56" s="19"/>
      <c r="K56" s="20"/>
    </row>
    <row r="57" spans="1:11" s="28" customFormat="1" ht="13.5">
      <c r="A57" s="48"/>
      <c r="B57" s="25"/>
      <c r="C57" s="16"/>
      <c r="D57" s="49"/>
      <c r="E57" s="17" t="s">
        <v>16</v>
      </c>
      <c r="F57" s="18"/>
      <c r="G57" s="18">
        <f>TRUNC(SUM(G44:G56),2)</f>
        <v>2306.3</v>
      </c>
      <c r="H57" s="18"/>
      <c r="I57" s="19"/>
      <c r="K57" s="20"/>
    </row>
    <row r="58" spans="1:11" s="65" customFormat="1" ht="27">
      <c r="A58" s="58" t="s">
        <v>2</v>
      </c>
      <c r="B58" s="59" t="s">
        <v>354</v>
      </c>
      <c r="C58" s="60" t="s">
        <v>113</v>
      </c>
      <c r="D58" s="61" t="s">
        <v>10</v>
      </c>
      <c r="E58" s="62">
        <v>91.33</v>
      </c>
      <c r="F58" s="63">
        <f>TRUNC(G60,2)</f>
        <v>4.03</v>
      </c>
      <c r="G58" s="63">
        <f>TRUNC(F58*1.2247,2)</f>
        <v>4.93</v>
      </c>
      <c r="H58" s="63">
        <f>TRUNC(F58*E58,2)</f>
        <v>368.05</v>
      </c>
      <c r="I58" s="64">
        <f>TRUNC(E58*G58,2)</f>
        <v>450.25</v>
      </c>
      <c r="K58" s="66"/>
    </row>
    <row r="59" spans="1:11" s="28" customFormat="1" ht="27">
      <c r="A59" s="48"/>
      <c r="B59" s="25" t="s">
        <v>355</v>
      </c>
      <c r="C59" s="16" t="s">
        <v>356</v>
      </c>
      <c r="D59" s="49" t="s">
        <v>4</v>
      </c>
      <c r="E59" s="17">
        <v>0.309</v>
      </c>
      <c r="F59" s="18">
        <f>TRUNC(13.06,2)</f>
        <v>13.06</v>
      </c>
      <c r="G59" s="18">
        <f>TRUNC(E59*F59,2)</f>
        <v>4.03</v>
      </c>
      <c r="H59" s="18"/>
      <c r="I59" s="19"/>
      <c r="K59" s="20"/>
    </row>
    <row r="60" spans="1:11" s="28" customFormat="1" ht="13.5">
      <c r="A60" s="48"/>
      <c r="B60" s="25"/>
      <c r="C60" s="16"/>
      <c r="D60" s="49"/>
      <c r="E60" s="17" t="s">
        <v>16</v>
      </c>
      <c r="F60" s="18"/>
      <c r="G60" s="18">
        <f>TRUNC(SUM(G59:G59),2)</f>
        <v>4.03</v>
      </c>
      <c r="H60" s="18"/>
      <c r="I60" s="19"/>
      <c r="K60" s="20"/>
    </row>
    <row r="61" spans="1:11" s="65" customFormat="1" ht="41.25">
      <c r="A61" s="58" t="s">
        <v>1</v>
      </c>
      <c r="B61" s="59" t="s">
        <v>357</v>
      </c>
      <c r="C61" s="60" t="s">
        <v>117</v>
      </c>
      <c r="D61" s="61" t="s">
        <v>14</v>
      </c>
      <c r="E61" s="62">
        <v>1</v>
      </c>
      <c r="F61" s="63">
        <f>TRUNC(G70,2)</f>
        <v>6593.18</v>
      </c>
      <c r="G61" s="63">
        <f>TRUNC(F61*1.2247,2)</f>
        <v>8074.66</v>
      </c>
      <c r="H61" s="63">
        <f>TRUNC(F61*E61,2)</f>
        <v>6593.18</v>
      </c>
      <c r="I61" s="64">
        <f>TRUNC(E61*G61,2)</f>
        <v>8074.66</v>
      </c>
      <c r="K61" s="66"/>
    </row>
    <row r="62" spans="1:11" s="28" customFormat="1" ht="13.5">
      <c r="A62" s="48"/>
      <c r="B62" s="25" t="s">
        <v>171</v>
      </c>
      <c r="C62" s="16" t="s">
        <v>172</v>
      </c>
      <c r="D62" s="49" t="s">
        <v>4</v>
      </c>
      <c r="E62" s="17">
        <v>63.0168</v>
      </c>
      <c r="F62" s="18">
        <f>TRUNC(16.55,2)</f>
        <v>16.55</v>
      </c>
      <c r="G62" s="18">
        <f aca="true" t="shared" si="3" ref="G62:G69">TRUNC(E62*F62,2)</f>
        <v>1042.92</v>
      </c>
      <c r="H62" s="18"/>
      <c r="I62" s="19"/>
      <c r="K62" s="20"/>
    </row>
    <row r="63" spans="1:11" s="28" customFormat="1" ht="13.5">
      <c r="A63" s="48"/>
      <c r="B63" s="25" t="s">
        <v>358</v>
      </c>
      <c r="C63" s="16" t="s">
        <v>359</v>
      </c>
      <c r="D63" s="49" t="s">
        <v>4</v>
      </c>
      <c r="E63" s="17">
        <v>38.2397</v>
      </c>
      <c r="F63" s="18">
        <f>TRUNC(17.43,2)</f>
        <v>17.43</v>
      </c>
      <c r="G63" s="18">
        <f t="shared" si="3"/>
        <v>666.51</v>
      </c>
      <c r="H63" s="18"/>
      <c r="I63" s="19"/>
      <c r="K63" s="20"/>
    </row>
    <row r="64" spans="1:11" s="28" customFormat="1" ht="13.5">
      <c r="A64" s="48"/>
      <c r="B64" s="25" t="s">
        <v>360</v>
      </c>
      <c r="C64" s="16" t="s">
        <v>361</v>
      </c>
      <c r="D64" s="49" t="s">
        <v>4</v>
      </c>
      <c r="E64" s="17">
        <v>5.7288</v>
      </c>
      <c r="F64" s="18">
        <f>TRUNC(206.63,2)</f>
        <v>206.63</v>
      </c>
      <c r="G64" s="18">
        <f t="shared" si="3"/>
        <v>1183.74</v>
      </c>
      <c r="H64" s="18"/>
      <c r="I64" s="19"/>
      <c r="K64" s="20"/>
    </row>
    <row r="65" spans="1:11" s="28" customFormat="1" ht="13.5">
      <c r="A65" s="48"/>
      <c r="B65" s="25" t="s">
        <v>362</v>
      </c>
      <c r="C65" s="16" t="s">
        <v>363</v>
      </c>
      <c r="D65" s="49" t="s">
        <v>4</v>
      </c>
      <c r="E65" s="17">
        <v>38.2397</v>
      </c>
      <c r="F65" s="18">
        <f>TRUNC(20.94,2)</f>
        <v>20.94</v>
      </c>
      <c r="G65" s="18">
        <f t="shared" si="3"/>
        <v>800.73</v>
      </c>
      <c r="H65" s="18"/>
      <c r="I65" s="19"/>
      <c r="K65" s="20"/>
    </row>
    <row r="66" spans="1:11" s="28" customFormat="1" ht="27">
      <c r="A66" s="48"/>
      <c r="B66" s="25" t="s">
        <v>364</v>
      </c>
      <c r="C66" s="16" t="s">
        <v>365</v>
      </c>
      <c r="D66" s="49" t="s">
        <v>4</v>
      </c>
      <c r="E66" s="17">
        <v>19.0483</v>
      </c>
      <c r="F66" s="18">
        <f>TRUNC(31.63,2)</f>
        <v>31.63</v>
      </c>
      <c r="G66" s="18">
        <f t="shared" si="3"/>
        <v>602.49</v>
      </c>
      <c r="H66" s="18"/>
      <c r="I66" s="19"/>
      <c r="K66" s="20"/>
    </row>
    <row r="67" spans="1:11" s="28" customFormat="1" ht="27">
      <c r="A67" s="48"/>
      <c r="B67" s="25" t="s">
        <v>366</v>
      </c>
      <c r="C67" s="16" t="s">
        <v>367</v>
      </c>
      <c r="D67" s="49" t="s">
        <v>4</v>
      </c>
      <c r="E67" s="17">
        <v>19.0483</v>
      </c>
      <c r="F67" s="18">
        <f>TRUNC(31.63,2)</f>
        <v>31.63</v>
      </c>
      <c r="G67" s="18">
        <f t="shared" si="3"/>
        <v>602.49</v>
      </c>
      <c r="H67" s="18"/>
      <c r="I67" s="19"/>
      <c r="K67" s="20"/>
    </row>
    <row r="68" spans="1:11" s="28" customFormat="1" ht="27">
      <c r="A68" s="48"/>
      <c r="B68" s="25" t="s">
        <v>368</v>
      </c>
      <c r="C68" s="16" t="s">
        <v>369</v>
      </c>
      <c r="D68" s="49" t="s">
        <v>4</v>
      </c>
      <c r="E68" s="17">
        <v>50.9159</v>
      </c>
      <c r="F68" s="18">
        <f>TRUNC(1.1191,2)</f>
        <v>1.11</v>
      </c>
      <c r="G68" s="18">
        <f t="shared" si="3"/>
        <v>56.51</v>
      </c>
      <c r="H68" s="18"/>
      <c r="I68" s="19"/>
      <c r="K68" s="20"/>
    </row>
    <row r="69" spans="1:11" s="28" customFormat="1" ht="27">
      <c r="A69" s="48"/>
      <c r="B69" s="25" t="s">
        <v>370</v>
      </c>
      <c r="C69" s="16" t="s">
        <v>371</v>
      </c>
      <c r="D69" s="49" t="s">
        <v>4</v>
      </c>
      <c r="E69" s="17">
        <v>15.9117</v>
      </c>
      <c r="F69" s="18">
        <f>TRUNC(102.9372,2)</f>
        <v>102.93</v>
      </c>
      <c r="G69" s="18">
        <f t="shared" si="3"/>
        <v>1637.79</v>
      </c>
      <c r="H69" s="18"/>
      <c r="I69" s="19"/>
      <c r="K69" s="20"/>
    </row>
    <row r="70" spans="1:11" s="28" customFormat="1" ht="13.5">
      <c r="A70" s="48"/>
      <c r="B70" s="25"/>
      <c r="C70" s="16"/>
      <c r="D70" s="49"/>
      <c r="E70" s="17" t="s">
        <v>16</v>
      </c>
      <c r="F70" s="18"/>
      <c r="G70" s="18">
        <f>TRUNC(SUM(G62:G69),2)</f>
        <v>6593.18</v>
      </c>
      <c r="H70" s="18"/>
      <c r="I70" s="19"/>
      <c r="K70" s="20"/>
    </row>
    <row r="71" spans="1:11" s="65" customFormat="1" ht="27">
      <c r="A71" s="58" t="s">
        <v>36</v>
      </c>
      <c r="B71" s="59" t="s">
        <v>372</v>
      </c>
      <c r="C71" s="60" t="s">
        <v>133</v>
      </c>
      <c r="D71" s="61" t="s">
        <v>10</v>
      </c>
      <c r="E71" s="62">
        <v>21.24</v>
      </c>
      <c r="F71" s="63">
        <f>TRUNC(G78,2)</f>
        <v>3.16</v>
      </c>
      <c r="G71" s="63">
        <f>TRUNC(F71*1.2247,2)</f>
        <v>3.87</v>
      </c>
      <c r="H71" s="63">
        <f>TRUNC(F71*E71,2)</f>
        <v>67.11</v>
      </c>
      <c r="I71" s="64">
        <f>TRUNC(E71*G71,2)</f>
        <v>82.19</v>
      </c>
      <c r="K71" s="66"/>
    </row>
    <row r="72" spans="1:11" s="28" customFormat="1" ht="27">
      <c r="A72" s="48"/>
      <c r="B72" s="25" t="s">
        <v>11</v>
      </c>
      <c r="C72" s="16" t="s">
        <v>41</v>
      </c>
      <c r="D72" s="49" t="s">
        <v>19</v>
      </c>
      <c r="E72" s="17">
        <v>0.002</v>
      </c>
      <c r="F72" s="18">
        <f>TRUNC(19.43,2)</f>
        <v>19.43</v>
      </c>
      <c r="G72" s="18">
        <f aca="true" t="shared" si="4" ref="G72:G77">TRUNC(E72*F72,2)</f>
        <v>0.03</v>
      </c>
      <c r="H72" s="18"/>
      <c r="I72" s="19"/>
      <c r="K72" s="20"/>
    </row>
    <row r="73" spans="1:11" s="28" customFormat="1" ht="13.5">
      <c r="A73" s="48"/>
      <c r="B73" s="25" t="s">
        <v>48</v>
      </c>
      <c r="C73" s="16" t="s">
        <v>49</v>
      </c>
      <c r="D73" s="49" t="s">
        <v>9</v>
      </c>
      <c r="E73" s="17">
        <v>0.05</v>
      </c>
      <c r="F73" s="18">
        <f>TRUNC(5.83,2)</f>
        <v>5.83</v>
      </c>
      <c r="G73" s="18">
        <f t="shared" si="4"/>
        <v>0.29</v>
      </c>
      <c r="H73" s="18"/>
      <c r="I73" s="19"/>
      <c r="K73" s="20"/>
    </row>
    <row r="74" spans="1:11" s="28" customFormat="1" ht="13.5">
      <c r="A74" s="48"/>
      <c r="B74" s="25" t="s">
        <v>134</v>
      </c>
      <c r="C74" s="16" t="s">
        <v>135</v>
      </c>
      <c r="D74" s="49" t="s">
        <v>9</v>
      </c>
      <c r="E74" s="17">
        <v>0.07</v>
      </c>
      <c r="F74" s="18">
        <f>TRUNC(9.67,2)</f>
        <v>9.67</v>
      </c>
      <c r="G74" s="18">
        <f t="shared" si="4"/>
        <v>0.67</v>
      </c>
      <c r="H74" s="18"/>
      <c r="I74" s="19"/>
      <c r="K74" s="20"/>
    </row>
    <row r="75" spans="1:11" s="28" customFormat="1" ht="13.5">
      <c r="A75" s="48"/>
      <c r="B75" s="25" t="s">
        <v>136</v>
      </c>
      <c r="C75" s="16" t="s">
        <v>137</v>
      </c>
      <c r="D75" s="49" t="s">
        <v>19</v>
      </c>
      <c r="E75" s="17">
        <v>0.004</v>
      </c>
      <c r="F75" s="18">
        <f>TRUNC(11.662,2)</f>
        <v>11.66</v>
      </c>
      <c r="G75" s="18">
        <f t="shared" si="4"/>
        <v>0.04</v>
      </c>
      <c r="H75" s="18"/>
      <c r="I75" s="19"/>
      <c r="K75" s="20"/>
    </row>
    <row r="76" spans="1:11" s="28" customFormat="1" ht="13.5">
      <c r="A76" s="48"/>
      <c r="B76" s="25" t="s">
        <v>171</v>
      </c>
      <c r="C76" s="16" t="s">
        <v>172</v>
      </c>
      <c r="D76" s="49" t="s">
        <v>4</v>
      </c>
      <c r="E76" s="17">
        <v>0.07210000000000001</v>
      </c>
      <c r="F76" s="18">
        <f>TRUNC(16.55,2)</f>
        <v>16.55</v>
      </c>
      <c r="G76" s="18">
        <f t="shared" si="4"/>
        <v>1.19</v>
      </c>
      <c r="H76" s="18"/>
      <c r="I76" s="19"/>
      <c r="K76" s="20"/>
    </row>
    <row r="77" spans="1:11" s="28" customFormat="1" ht="13.5">
      <c r="A77" s="48"/>
      <c r="B77" s="25" t="s">
        <v>179</v>
      </c>
      <c r="C77" s="16" t="s">
        <v>180</v>
      </c>
      <c r="D77" s="49" t="s">
        <v>4</v>
      </c>
      <c r="E77" s="17">
        <v>0.0412</v>
      </c>
      <c r="F77" s="18">
        <f>TRUNC(22.86,2)</f>
        <v>22.86</v>
      </c>
      <c r="G77" s="18">
        <f t="shared" si="4"/>
        <v>0.94</v>
      </c>
      <c r="H77" s="18"/>
      <c r="I77" s="19"/>
      <c r="K77" s="20"/>
    </row>
    <row r="78" spans="1:11" s="28" customFormat="1" ht="13.5">
      <c r="A78" s="48"/>
      <c r="B78" s="25"/>
      <c r="C78" s="16"/>
      <c r="D78" s="49"/>
      <c r="E78" s="17" t="s">
        <v>16</v>
      </c>
      <c r="F78" s="18"/>
      <c r="G78" s="18">
        <f>TRUNC(SUM(G72:G77),2)</f>
        <v>3.16</v>
      </c>
      <c r="H78" s="18"/>
      <c r="I78" s="19"/>
      <c r="K78" s="20"/>
    </row>
    <row r="79" spans="1:11" s="65" customFormat="1" ht="27">
      <c r="A79" s="58" t="s">
        <v>37</v>
      </c>
      <c r="B79" s="59" t="s">
        <v>373</v>
      </c>
      <c r="C79" s="60" t="s">
        <v>139</v>
      </c>
      <c r="D79" s="61" t="s">
        <v>83</v>
      </c>
      <c r="E79" s="62">
        <v>14.65</v>
      </c>
      <c r="F79" s="63">
        <f>TRUNC(G81,2)</f>
        <v>57.95</v>
      </c>
      <c r="G79" s="63">
        <f>TRUNC(F79*1.2247,2)</f>
        <v>70.97</v>
      </c>
      <c r="H79" s="63">
        <f>TRUNC(F79*E79,2)</f>
        <v>848.96</v>
      </c>
      <c r="I79" s="64">
        <f>TRUNC(E79*G79,2)</f>
        <v>1039.71</v>
      </c>
      <c r="K79" s="66"/>
    </row>
    <row r="80" spans="1:11" s="28" customFormat="1" ht="13.5">
      <c r="A80" s="48"/>
      <c r="B80" s="25" t="s">
        <v>171</v>
      </c>
      <c r="C80" s="16" t="s">
        <v>172</v>
      </c>
      <c r="D80" s="49" t="s">
        <v>4</v>
      </c>
      <c r="E80" s="17">
        <v>3.502</v>
      </c>
      <c r="F80" s="18">
        <f>TRUNC(16.55,2)</f>
        <v>16.55</v>
      </c>
      <c r="G80" s="18">
        <f>TRUNC(E80*F80,2)</f>
        <v>57.95</v>
      </c>
      <c r="H80" s="18"/>
      <c r="I80" s="19"/>
      <c r="K80" s="20"/>
    </row>
    <row r="81" spans="1:11" s="28" customFormat="1" ht="13.5">
      <c r="A81" s="48"/>
      <c r="B81" s="25"/>
      <c r="C81" s="16"/>
      <c r="D81" s="49"/>
      <c r="E81" s="17" t="s">
        <v>16</v>
      </c>
      <c r="F81" s="18"/>
      <c r="G81" s="18">
        <f>TRUNC(SUM(G80:G80),2)</f>
        <v>57.95</v>
      </c>
      <c r="H81" s="18"/>
      <c r="I81" s="19"/>
      <c r="K81" s="20"/>
    </row>
    <row r="82" spans="1:11" s="65" customFormat="1" ht="27">
      <c r="A82" s="58" t="s">
        <v>38</v>
      </c>
      <c r="B82" s="59" t="s">
        <v>374</v>
      </c>
      <c r="C82" s="60" t="s">
        <v>141</v>
      </c>
      <c r="D82" s="61" t="s">
        <v>83</v>
      </c>
      <c r="E82" s="62">
        <v>4.2</v>
      </c>
      <c r="F82" s="63">
        <f>TRUNC(G87,2)</f>
        <v>22.77</v>
      </c>
      <c r="G82" s="63">
        <f>TRUNC(F82*1.2247,2)</f>
        <v>27.88</v>
      </c>
      <c r="H82" s="63">
        <f>TRUNC(F82*E82,2)</f>
        <v>95.63</v>
      </c>
      <c r="I82" s="64">
        <f>TRUNC(E82*G82,2)</f>
        <v>117.09</v>
      </c>
      <c r="K82" s="66"/>
    </row>
    <row r="83" spans="1:11" s="28" customFormat="1" ht="13.5">
      <c r="A83" s="48"/>
      <c r="B83" s="25" t="s">
        <v>171</v>
      </c>
      <c r="C83" s="16" t="s">
        <v>172</v>
      </c>
      <c r="D83" s="49" t="s">
        <v>4</v>
      </c>
      <c r="E83" s="17">
        <v>1.09901</v>
      </c>
      <c r="F83" s="18">
        <f>TRUNC(16.55,2)</f>
        <v>16.55</v>
      </c>
      <c r="G83" s="18">
        <f>TRUNC(E83*F83,2)</f>
        <v>18.18</v>
      </c>
      <c r="H83" s="18"/>
      <c r="I83" s="19"/>
      <c r="K83" s="20"/>
    </row>
    <row r="84" spans="1:11" s="28" customFormat="1" ht="13.5">
      <c r="A84" s="48"/>
      <c r="B84" s="25" t="s">
        <v>375</v>
      </c>
      <c r="C84" s="16" t="s">
        <v>376</v>
      </c>
      <c r="D84" s="49" t="s">
        <v>4</v>
      </c>
      <c r="E84" s="17">
        <v>0.13699</v>
      </c>
      <c r="F84" s="18">
        <f>TRUNC(25.68,2)</f>
        <v>25.68</v>
      </c>
      <c r="G84" s="18">
        <f>TRUNC(E84*F84,2)</f>
        <v>3.51</v>
      </c>
      <c r="H84" s="18"/>
      <c r="I84" s="19"/>
      <c r="K84" s="20"/>
    </row>
    <row r="85" spans="1:11" s="28" customFormat="1" ht="13.5">
      <c r="A85" s="48"/>
      <c r="B85" s="25" t="s">
        <v>377</v>
      </c>
      <c r="C85" s="16" t="s">
        <v>378</v>
      </c>
      <c r="D85" s="49" t="s">
        <v>4</v>
      </c>
      <c r="E85" s="17">
        <v>0.033</v>
      </c>
      <c r="F85" s="18">
        <f>TRUNC(2.178,2)</f>
        <v>2.17</v>
      </c>
      <c r="G85" s="18">
        <f>TRUNC(E85*F85,2)</f>
        <v>0.07</v>
      </c>
      <c r="H85" s="18"/>
      <c r="I85" s="19"/>
      <c r="K85" s="20"/>
    </row>
    <row r="86" spans="1:11" s="28" customFormat="1" ht="13.5">
      <c r="A86" s="48"/>
      <c r="B86" s="25" t="s">
        <v>379</v>
      </c>
      <c r="C86" s="16" t="s">
        <v>380</v>
      </c>
      <c r="D86" s="49" t="s">
        <v>4</v>
      </c>
      <c r="E86" s="17">
        <v>0.1</v>
      </c>
      <c r="F86" s="18">
        <f>TRUNC(10.1202,2)</f>
        <v>10.12</v>
      </c>
      <c r="G86" s="18">
        <f>TRUNC(E86*F86,2)</f>
        <v>1.01</v>
      </c>
      <c r="H86" s="18"/>
      <c r="I86" s="19"/>
      <c r="K86" s="20"/>
    </row>
    <row r="87" spans="1:11" s="28" customFormat="1" ht="13.5">
      <c r="A87" s="48"/>
      <c r="B87" s="25"/>
      <c r="C87" s="16"/>
      <c r="D87" s="49"/>
      <c r="E87" s="17" t="s">
        <v>16</v>
      </c>
      <c r="F87" s="18"/>
      <c r="G87" s="18">
        <f>TRUNC(SUM(G83:G86),2)</f>
        <v>22.77</v>
      </c>
      <c r="H87" s="18"/>
      <c r="I87" s="19"/>
      <c r="K87" s="20"/>
    </row>
    <row r="88" spans="1:11" s="65" customFormat="1" ht="27">
      <c r="A88" s="58" t="s">
        <v>533</v>
      </c>
      <c r="B88" s="59" t="s">
        <v>494</v>
      </c>
      <c r="C88" s="60" t="s">
        <v>482</v>
      </c>
      <c r="D88" s="61" t="s">
        <v>83</v>
      </c>
      <c r="E88" s="62">
        <v>9.67</v>
      </c>
      <c r="F88" s="63">
        <f>TRUNC(G91,2)</f>
        <v>87.29</v>
      </c>
      <c r="G88" s="63">
        <f>TRUNC(F88*1.2247,2)</f>
        <v>106.9</v>
      </c>
      <c r="H88" s="63">
        <f>TRUNC(F88*E88,2)</f>
        <v>844.09</v>
      </c>
      <c r="I88" s="64">
        <f>TRUNC(E88*G88,2)</f>
        <v>1033.72</v>
      </c>
      <c r="K88" s="66"/>
    </row>
    <row r="89" spans="1:11" s="28" customFormat="1" ht="13.5">
      <c r="A89" s="48"/>
      <c r="B89" s="25" t="s">
        <v>171</v>
      </c>
      <c r="C89" s="16" t="s">
        <v>172</v>
      </c>
      <c r="D89" s="49" t="s">
        <v>4</v>
      </c>
      <c r="E89" s="17">
        <v>4.635</v>
      </c>
      <c r="F89" s="18">
        <f>TRUNC(16.55,2)</f>
        <v>16.55</v>
      </c>
      <c r="G89" s="18">
        <f>TRUNC(E89*F89,2)</f>
        <v>76.7</v>
      </c>
      <c r="H89" s="18"/>
      <c r="I89" s="19"/>
      <c r="K89" s="20"/>
    </row>
    <row r="90" spans="1:11" s="28" customFormat="1" ht="13.5">
      <c r="A90" s="48"/>
      <c r="B90" s="25" t="s">
        <v>341</v>
      </c>
      <c r="C90" s="16" t="s">
        <v>342</v>
      </c>
      <c r="D90" s="49" t="s">
        <v>4</v>
      </c>
      <c r="E90" s="17">
        <v>0.4635</v>
      </c>
      <c r="F90" s="18">
        <f>TRUNC(22.86,2)</f>
        <v>22.86</v>
      </c>
      <c r="G90" s="18">
        <f>TRUNC(E90*F90,2)</f>
        <v>10.59</v>
      </c>
      <c r="H90" s="18"/>
      <c r="I90" s="19"/>
      <c r="K90" s="20"/>
    </row>
    <row r="91" spans="1:11" s="28" customFormat="1" ht="13.5">
      <c r="A91" s="48"/>
      <c r="B91" s="25"/>
      <c r="C91" s="16"/>
      <c r="D91" s="49"/>
      <c r="E91" s="17" t="s">
        <v>16</v>
      </c>
      <c r="F91" s="18"/>
      <c r="G91" s="18">
        <f>TRUNC(SUM(G89:G90),2)</f>
        <v>87.29</v>
      </c>
      <c r="H91" s="18"/>
      <c r="I91" s="19"/>
      <c r="K91" s="20"/>
    </row>
    <row r="92" spans="1:11" s="65" customFormat="1" ht="13.5">
      <c r="A92" s="58" t="s">
        <v>534</v>
      </c>
      <c r="B92" s="59" t="s">
        <v>495</v>
      </c>
      <c r="C92" s="60" t="s">
        <v>439</v>
      </c>
      <c r="D92" s="61" t="s">
        <v>10</v>
      </c>
      <c r="E92" s="62">
        <v>19.76</v>
      </c>
      <c r="F92" s="63">
        <f>TRUNC(G94,2)</f>
        <v>17.04</v>
      </c>
      <c r="G92" s="63">
        <f>TRUNC(F92*1.2247,2)</f>
        <v>20.86</v>
      </c>
      <c r="H92" s="63">
        <f>TRUNC(F92*E92,2)</f>
        <v>336.71</v>
      </c>
      <c r="I92" s="64">
        <f>TRUNC(E92*G92,2)</f>
        <v>412.19</v>
      </c>
      <c r="K92" s="66"/>
    </row>
    <row r="93" spans="1:11" s="28" customFormat="1" ht="13.5">
      <c r="A93" s="48"/>
      <c r="B93" s="25" t="s">
        <v>171</v>
      </c>
      <c r="C93" s="16" t="s">
        <v>172</v>
      </c>
      <c r="D93" s="49" t="s">
        <v>4</v>
      </c>
      <c r="E93" s="17">
        <v>1.03</v>
      </c>
      <c r="F93" s="18">
        <f>TRUNC(16.55,2)</f>
        <v>16.55</v>
      </c>
      <c r="G93" s="18">
        <f>TRUNC(E93*F93,2)</f>
        <v>17.04</v>
      </c>
      <c r="H93" s="18"/>
      <c r="I93" s="19"/>
      <c r="K93" s="20"/>
    </row>
    <row r="94" spans="1:11" s="28" customFormat="1" ht="13.5">
      <c r="A94" s="48"/>
      <c r="B94" s="25"/>
      <c r="C94" s="16"/>
      <c r="D94" s="49"/>
      <c r="E94" s="17" t="s">
        <v>16</v>
      </c>
      <c r="F94" s="18"/>
      <c r="G94" s="18">
        <f>TRUNC(SUM(G93:G93),2)</f>
        <v>17.04</v>
      </c>
      <c r="H94" s="18"/>
      <c r="I94" s="19"/>
      <c r="K94" s="20"/>
    </row>
    <row r="95" spans="1:11" s="65" customFormat="1" ht="27">
      <c r="A95" s="58" t="s">
        <v>541</v>
      </c>
      <c r="B95" s="59" t="s">
        <v>542</v>
      </c>
      <c r="C95" s="60" t="s">
        <v>536</v>
      </c>
      <c r="D95" s="61" t="s">
        <v>83</v>
      </c>
      <c r="E95" s="62">
        <v>3.18</v>
      </c>
      <c r="F95" s="63">
        <f>TRUNC(G99,2)</f>
        <v>5.75</v>
      </c>
      <c r="G95" s="63">
        <f>TRUNC(F95*1.2247,2)</f>
        <v>7.04</v>
      </c>
      <c r="H95" s="63">
        <f>TRUNC(F95*E95,2)</f>
        <v>18.28</v>
      </c>
      <c r="I95" s="64">
        <f>TRUNC(E95*G95,2)</f>
        <v>22.38</v>
      </c>
      <c r="K95" s="66"/>
    </row>
    <row r="96" spans="1:11" s="28" customFormat="1" ht="13.5">
      <c r="A96" s="48"/>
      <c r="B96" s="25" t="s">
        <v>171</v>
      </c>
      <c r="C96" s="16" t="s">
        <v>172</v>
      </c>
      <c r="D96" s="49" t="s">
        <v>4</v>
      </c>
      <c r="E96" s="17">
        <v>0.071428</v>
      </c>
      <c r="F96" s="18">
        <f>TRUNC(16.55,2)</f>
        <v>16.55</v>
      </c>
      <c r="G96" s="18">
        <f>TRUNC(E96*F96,2)</f>
        <v>1.18</v>
      </c>
      <c r="H96" s="18"/>
      <c r="I96" s="19"/>
      <c r="K96" s="20"/>
    </row>
    <row r="97" spans="1:11" s="28" customFormat="1" ht="13.5">
      <c r="A97" s="48"/>
      <c r="B97" s="25" t="s">
        <v>543</v>
      </c>
      <c r="C97" s="16" t="s">
        <v>544</v>
      </c>
      <c r="D97" s="49" t="s">
        <v>4</v>
      </c>
      <c r="E97" s="17">
        <v>0.00476</v>
      </c>
      <c r="F97" s="18">
        <f>TRUNC(74.064,2)</f>
        <v>74.06</v>
      </c>
      <c r="G97" s="18">
        <f>TRUNC(E97*F97,2)</f>
        <v>0.35</v>
      </c>
      <c r="H97" s="18"/>
      <c r="I97" s="19"/>
      <c r="K97" s="20"/>
    </row>
    <row r="98" spans="1:11" s="28" customFormat="1" ht="13.5">
      <c r="A98" s="48"/>
      <c r="B98" s="25" t="s">
        <v>545</v>
      </c>
      <c r="C98" s="16" t="s">
        <v>546</v>
      </c>
      <c r="D98" s="49" t="s">
        <v>4</v>
      </c>
      <c r="E98" s="17">
        <v>0.019</v>
      </c>
      <c r="F98" s="18">
        <f>TRUNC(222.4102,2)</f>
        <v>222.41</v>
      </c>
      <c r="G98" s="18">
        <f>TRUNC(E98*F98,2)</f>
        <v>4.22</v>
      </c>
      <c r="H98" s="18"/>
      <c r="I98" s="19"/>
      <c r="K98" s="20"/>
    </row>
    <row r="99" spans="1:11" s="28" customFormat="1" ht="13.5">
      <c r="A99" s="48"/>
      <c r="B99" s="25"/>
      <c r="C99" s="16"/>
      <c r="D99" s="49"/>
      <c r="E99" s="17" t="s">
        <v>16</v>
      </c>
      <c r="F99" s="18"/>
      <c r="G99" s="18">
        <f>TRUNC(SUM(G96:G98),2)</f>
        <v>5.75</v>
      </c>
      <c r="H99" s="18"/>
      <c r="I99" s="19"/>
      <c r="K99" s="20"/>
    </row>
    <row r="100" spans="1:9" s="9" customFormat="1" ht="13.5">
      <c r="A100" s="31" t="s">
        <v>27</v>
      </c>
      <c r="B100" s="29"/>
      <c r="C100" s="21" t="s">
        <v>18</v>
      </c>
      <c r="D100" s="39"/>
      <c r="E100" s="22"/>
      <c r="F100" s="23"/>
      <c r="G100" s="23"/>
      <c r="H100" s="24">
        <f>H15+H25+H43+H58+H61+H71+H79+H82+H88+H92+H95</f>
        <v>18788.239999999998</v>
      </c>
      <c r="I100" s="24">
        <f>I15+I25+I43+I58+I61+I71+I79+I82+I88+I92+I95</f>
        <v>23009.12</v>
      </c>
    </row>
    <row r="101" spans="1:9" s="9" customFormat="1" ht="13.5">
      <c r="A101" s="31" t="s">
        <v>261</v>
      </c>
      <c r="B101" s="21"/>
      <c r="C101" s="67" t="s">
        <v>148</v>
      </c>
      <c r="D101" s="39"/>
      <c r="E101" s="22"/>
      <c r="F101" s="23"/>
      <c r="G101" s="23"/>
      <c r="H101" s="24"/>
      <c r="I101" s="24"/>
    </row>
    <row r="102" spans="1:11" s="65" customFormat="1" ht="41.25">
      <c r="A102" s="58" t="s">
        <v>262</v>
      </c>
      <c r="B102" s="59" t="s">
        <v>381</v>
      </c>
      <c r="C102" s="60" t="s">
        <v>150</v>
      </c>
      <c r="D102" s="61" t="s">
        <v>83</v>
      </c>
      <c r="E102" s="62">
        <v>23.57</v>
      </c>
      <c r="F102" s="63">
        <f>TRUNC(G106,2)</f>
        <v>575.68</v>
      </c>
      <c r="G102" s="63">
        <f>TRUNC(F102*1.2247,2)</f>
        <v>705.03</v>
      </c>
      <c r="H102" s="63">
        <f>TRUNC(F102*E102,2)</f>
        <v>13568.77</v>
      </c>
      <c r="I102" s="64">
        <f>TRUNC(E102*G102,2)</f>
        <v>16617.55</v>
      </c>
      <c r="K102" s="66"/>
    </row>
    <row r="103" spans="1:11" s="28" customFormat="1" ht="13.5">
      <c r="A103" s="48"/>
      <c r="B103" s="25" t="s">
        <v>382</v>
      </c>
      <c r="C103" s="16" t="s">
        <v>383</v>
      </c>
      <c r="D103" s="49" t="s">
        <v>83</v>
      </c>
      <c r="E103" s="17">
        <v>1</v>
      </c>
      <c r="F103" s="18">
        <f>TRUNC(371.0821,2)</f>
        <v>371.08</v>
      </c>
      <c r="G103" s="18">
        <f>TRUNC(E103*F103,2)</f>
        <v>371.08</v>
      </c>
      <c r="H103" s="18"/>
      <c r="I103" s="19"/>
      <c r="K103" s="20"/>
    </row>
    <row r="104" spans="1:11" s="28" customFormat="1" ht="13.5">
      <c r="A104" s="48"/>
      <c r="B104" s="25" t="s">
        <v>384</v>
      </c>
      <c r="C104" s="16" t="s">
        <v>385</v>
      </c>
      <c r="D104" s="49" t="s">
        <v>83</v>
      </c>
      <c r="E104" s="17">
        <v>1</v>
      </c>
      <c r="F104" s="18">
        <f>TRUNC(121.337,2)</f>
        <v>121.33</v>
      </c>
      <c r="G104" s="18">
        <f>TRUNC(E104*F104,2)</f>
        <v>121.33</v>
      </c>
      <c r="H104" s="18"/>
      <c r="I104" s="19"/>
      <c r="K104" s="20"/>
    </row>
    <row r="105" spans="1:11" s="28" customFormat="1" ht="13.5">
      <c r="A105" s="48"/>
      <c r="B105" s="25" t="s">
        <v>386</v>
      </c>
      <c r="C105" s="16" t="s">
        <v>387</v>
      </c>
      <c r="D105" s="49" t="s">
        <v>83</v>
      </c>
      <c r="E105" s="17">
        <v>1</v>
      </c>
      <c r="F105" s="18">
        <f>TRUNC(83.2752,2)</f>
        <v>83.27</v>
      </c>
      <c r="G105" s="18">
        <f>TRUNC(E105*F105,2)</f>
        <v>83.27</v>
      </c>
      <c r="H105" s="18"/>
      <c r="I105" s="19"/>
      <c r="K105" s="20"/>
    </row>
    <row r="106" spans="1:11" s="28" customFormat="1" ht="13.5">
      <c r="A106" s="48"/>
      <c r="B106" s="25"/>
      <c r="C106" s="16"/>
      <c r="D106" s="49"/>
      <c r="E106" s="17" t="s">
        <v>16</v>
      </c>
      <c r="F106" s="18"/>
      <c r="G106" s="18">
        <f>TRUNC(SUM(G103:G105),2)</f>
        <v>575.68</v>
      </c>
      <c r="H106" s="18"/>
      <c r="I106" s="19"/>
      <c r="K106" s="20"/>
    </row>
    <row r="107" spans="1:11" s="65" customFormat="1" ht="27">
      <c r="A107" s="58" t="s">
        <v>263</v>
      </c>
      <c r="B107" s="59" t="s">
        <v>312</v>
      </c>
      <c r="C107" s="60" t="s">
        <v>158</v>
      </c>
      <c r="D107" s="61" t="s">
        <v>10</v>
      </c>
      <c r="E107" s="62">
        <v>11</v>
      </c>
      <c r="F107" s="63">
        <f>TRUNC(G111,2)</f>
        <v>28.35</v>
      </c>
      <c r="G107" s="63">
        <f>TRUNC(F107*1.2247,2)</f>
        <v>34.72</v>
      </c>
      <c r="H107" s="63">
        <f>TRUNC(F107*E107,2)</f>
        <v>311.85</v>
      </c>
      <c r="I107" s="64">
        <f>TRUNC(E107*G107,2)</f>
        <v>381.92</v>
      </c>
      <c r="K107" s="66"/>
    </row>
    <row r="108" spans="1:11" s="28" customFormat="1" ht="13.5">
      <c r="A108" s="48"/>
      <c r="B108" s="25" t="s">
        <v>313</v>
      </c>
      <c r="C108" s="16" t="s">
        <v>35</v>
      </c>
      <c r="D108" s="49" t="s">
        <v>4</v>
      </c>
      <c r="E108" s="17">
        <v>0.0741</v>
      </c>
      <c r="F108" s="18">
        <f>TRUNC(23.75,2)</f>
        <v>23.75</v>
      </c>
      <c r="G108" s="18">
        <f>TRUNC(E108*F108,2)</f>
        <v>1.75</v>
      </c>
      <c r="H108" s="18"/>
      <c r="I108" s="19"/>
      <c r="K108" s="20"/>
    </row>
    <row r="109" spans="1:11" s="28" customFormat="1" ht="13.5">
      <c r="A109" s="48"/>
      <c r="B109" s="25" t="s">
        <v>314</v>
      </c>
      <c r="C109" s="16" t="s">
        <v>160</v>
      </c>
      <c r="D109" s="49" t="s">
        <v>4</v>
      </c>
      <c r="E109" s="17">
        <v>0.2718</v>
      </c>
      <c r="F109" s="18">
        <f>TRUNC(30.22,2)</f>
        <v>30.22</v>
      </c>
      <c r="G109" s="18">
        <f>TRUNC(E109*F109,2)</f>
        <v>8.21</v>
      </c>
      <c r="H109" s="18"/>
      <c r="I109" s="19"/>
      <c r="K109" s="20"/>
    </row>
    <row r="110" spans="1:11" s="28" customFormat="1" ht="27">
      <c r="A110" s="48"/>
      <c r="B110" s="25" t="s">
        <v>315</v>
      </c>
      <c r="C110" s="16" t="s">
        <v>316</v>
      </c>
      <c r="D110" s="49" t="s">
        <v>83</v>
      </c>
      <c r="E110" s="17">
        <v>0.0565</v>
      </c>
      <c r="F110" s="18">
        <f>TRUNC(325.62,2)</f>
        <v>325.62</v>
      </c>
      <c r="G110" s="18">
        <f>TRUNC(E110*F110,2)</f>
        <v>18.39</v>
      </c>
      <c r="H110" s="18"/>
      <c r="I110" s="19"/>
      <c r="K110" s="20"/>
    </row>
    <row r="111" spans="1:11" s="28" customFormat="1" ht="13.5">
      <c r="A111" s="48"/>
      <c r="B111" s="25"/>
      <c r="C111" s="16"/>
      <c r="D111" s="49"/>
      <c r="E111" s="17" t="s">
        <v>16</v>
      </c>
      <c r="F111" s="18"/>
      <c r="G111" s="18">
        <f>TRUNC(SUM(G108:G110),2)</f>
        <v>28.35</v>
      </c>
      <c r="H111" s="18"/>
      <c r="I111" s="19"/>
      <c r="K111" s="20"/>
    </row>
    <row r="112" spans="1:11" s="65" customFormat="1" ht="69">
      <c r="A112" s="58" t="s">
        <v>264</v>
      </c>
      <c r="B112" s="59" t="s">
        <v>163</v>
      </c>
      <c r="C112" s="60" t="s">
        <v>164</v>
      </c>
      <c r="D112" s="61" t="s">
        <v>19</v>
      </c>
      <c r="E112" s="62">
        <v>520.34</v>
      </c>
      <c r="F112" s="63">
        <f>TRUNC(G115,2)</f>
        <v>13.22</v>
      </c>
      <c r="G112" s="63">
        <f>TRUNC(F112*1.2247,2)</f>
        <v>16.19</v>
      </c>
      <c r="H112" s="63">
        <f>TRUNC(F112*E112,2)</f>
        <v>6878.89</v>
      </c>
      <c r="I112" s="64">
        <f>TRUNC(E112*G112,2)</f>
        <v>8424.3</v>
      </c>
      <c r="K112" s="66"/>
    </row>
    <row r="113" spans="1:11" s="28" customFormat="1" ht="13.5">
      <c r="A113" s="48"/>
      <c r="B113" s="25" t="s">
        <v>165</v>
      </c>
      <c r="C113" s="16" t="s">
        <v>166</v>
      </c>
      <c r="D113" s="49" t="s">
        <v>19</v>
      </c>
      <c r="E113" s="17">
        <v>1</v>
      </c>
      <c r="F113" s="18">
        <f>TRUNC(4.2621,2)</f>
        <v>4.26</v>
      </c>
      <c r="G113" s="18">
        <f>TRUNC(E113*F113,2)</f>
        <v>4.26</v>
      </c>
      <c r="H113" s="18"/>
      <c r="I113" s="19"/>
      <c r="K113" s="20"/>
    </row>
    <row r="114" spans="1:11" s="28" customFormat="1" ht="13.5">
      <c r="A114" s="48"/>
      <c r="B114" s="25" t="s">
        <v>167</v>
      </c>
      <c r="C114" s="16" t="s">
        <v>168</v>
      </c>
      <c r="D114" s="49" t="s">
        <v>19</v>
      </c>
      <c r="E114" s="17">
        <v>1</v>
      </c>
      <c r="F114" s="18">
        <f>TRUNC(8.9678,2)</f>
        <v>8.96</v>
      </c>
      <c r="G114" s="18">
        <f>TRUNC(E114*F114,2)</f>
        <v>8.96</v>
      </c>
      <c r="H114" s="18"/>
      <c r="I114" s="19"/>
      <c r="K114" s="20"/>
    </row>
    <row r="115" spans="1:11" s="28" customFormat="1" ht="13.5">
      <c r="A115" s="48"/>
      <c r="B115" s="25"/>
      <c r="C115" s="16"/>
      <c r="D115" s="49"/>
      <c r="E115" s="17" t="s">
        <v>16</v>
      </c>
      <c r="F115" s="18"/>
      <c r="G115" s="18">
        <f>TRUNC(SUM(G113:G114),2)</f>
        <v>13.22</v>
      </c>
      <c r="H115" s="18"/>
      <c r="I115" s="19"/>
      <c r="K115" s="20"/>
    </row>
    <row r="116" spans="1:11" s="65" customFormat="1" ht="54.75">
      <c r="A116" s="58" t="s">
        <v>265</v>
      </c>
      <c r="B116" s="59" t="s">
        <v>169</v>
      </c>
      <c r="C116" s="60" t="s">
        <v>170</v>
      </c>
      <c r="D116" s="61" t="s">
        <v>19</v>
      </c>
      <c r="E116" s="62">
        <v>94.95</v>
      </c>
      <c r="F116" s="63">
        <f>TRUNC(G121,2)</f>
        <v>17.34</v>
      </c>
      <c r="G116" s="63">
        <f>TRUNC(F116*1.2247,2)</f>
        <v>21.23</v>
      </c>
      <c r="H116" s="63">
        <f>TRUNC(F116*E116,2)</f>
        <v>1646.43</v>
      </c>
      <c r="I116" s="64">
        <f>TRUNC(E116*G116,2)</f>
        <v>2015.78</v>
      </c>
      <c r="K116" s="66"/>
    </row>
    <row r="117" spans="1:11" s="82" customFormat="1" ht="13.5">
      <c r="A117" s="75"/>
      <c r="B117" s="76" t="s">
        <v>325</v>
      </c>
      <c r="C117" s="77" t="s">
        <v>326</v>
      </c>
      <c r="D117" s="78" t="s">
        <v>19</v>
      </c>
      <c r="E117" s="79">
        <v>1.1</v>
      </c>
      <c r="F117" s="80">
        <v>11.04</v>
      </c>
      <c r="G117" s="80">
        <f>TRUNC(E117*F117,2)</f>
        <v>12.14</v>
      </c>
      <c r="H117" s="80"/>
      <c r="I117" s="81"/>
      <c r="K117" s="72"/>
    </row>
    <row r="118" spans="1:11" s="28" customFormat="1" ht="13.5">
      <c r="A118" s="48"/>
      <c r="B118" s="25" t="s">
        <v>136</v>
      </c>
      <c r="C118" s="16" t="s">
        <v>137</v>
      </c>
      <c r="D118" s="49" t="s">
        <v>19</v>
      </c>
      <c r="E118" s="17">
        <v>0.03</v>
      </c>
      <c r="F118" s="18">
        <f>TRUNC(11.662,2)</f>
        <v>11.66</v>
      </c>
      <c r="G118" s="18">
        <f>TRUNC(E118*F118,2)</f>
        <v>0.34</v>
      </c>
      <c r="H118" s="18"/>
      <c r="I118" s="19"/>
      <c r="K118" s="20"/>
    </row>
    <row r="119" spans="1:11" s="28" customFormat="1" ht="13.5">
      <c r="A119" s="48"/>
      <c r="B119" s="25" t="s">
        <v>171</v>
      </c>
      <c r="C119" s="16" t="s">
        <v>172</v>
      </c>
      <c r="D119" s="49" t="s">
        <v>4</v>
      </c>
      <c r="E119" s="17">
        <v>0.1236</v>
      </c>
      <c r="F119" s="18">
        <f>TRUNC(16.55,2)</f>
        <v>16.55</v>
      </c>
      <c r="G119" s="18">
        <f>TRUNC(E119*F119,2)</f>
        <v>2.04</v>
      </c>
      <c r="H119" s="18"/>
      <c r="I119" s="19"/>
      <c r="K119" s="20"/>
    </row>
    <row r="120" spans="1:11" s="28" customFormat="1" ht="13.5">
      <c r="A120" s="48"/>
      <c r="B120" s="25" t="s">
        <v>173</v>
      </c>
      <c r="C120" s="16" t="s">
        <v>174</v>
      </c>
      <c r="D120" s="49" t="s">
        <v>4</v>
      </c>
      <c r="E120" s="17">
        <v>0.1236</v>
      </c>
      <c r="F120" s="18">
        <f>TRUNC(22.86,2)</f>
        <v>22.86</v>
      </c>
      <c r="G120" s="18">
        <f>TRUNC(E120*F120,2)</f>
        <v>2.82</v>
      </c>
      <c r="H120" s="18"/>
      <c r="I120" s="19"/>
      <c r="K120" s="20"/>
    </row>
    <row r="121" spans="1:11" s="28" customFormat="1" ht="13.5">
      <c r="A121" s="48"/>
      <c r="B121" s="25"/>
      <c r="C121" s="16"/>
      <c r="D121" s="49"/>
      <c r="E121" s="17" t="s">
        <v>16</v>
      </c>
      <c r="F121" s="18"/>
      <c r="G121" s="18">
        <f>TRUNC(SUM(G117:G120),2)</f>
        <v>17.34</v>
      </c>
      <c r="H121" s="18"/>
      <c r="I121" s="19"/>
      <c r="K121" s="20"/>
    </row>
    <row r="122" spans="1:11" s="65" customFormat="1" ht="41.25">
      <c r="A122" s="58" t="s">
        <v>266</v>
      </c>
      <c r="B122" s="59" t="s">
        <v>175</v>
      </c>
      <c r="C122" s="60" t="s">
        <v>176</v>
      </c>
      <c r="D122" s="61" t="s">
        <v>10</v>
      </c>
      <c r="E122" s="62">
        <v>107.05</v>
      </c>
      <c r="F122" s="63">
        <f>TRUNC(G130,2)</f>
        <v>63.43</v>
      </c>
      <c r="G122" s="63">
        <f>TRUNC(F122*1.2247,2)</f>
        <v>77.68</v>
      </c>
      <c r="H122" s="63">
        <f>TRUNC(F122*E122,2)</f>
        <v>6790.18</v>
      </c>
      <c r="I122" s="64">
        <f>TRUNC(E122*G122,2)</f>
        <v>8315.64</v>
      </c>
      <c r="K122" s="66"/>
    </row>
    <row r="123" spans="1:11" s="28" customFormat="1" ht="27">
      <c r="A123" s="48"/>
      <c r="B123" s="25" t="s">
        <v>11</v>
      </c>
      <c r="C123" s="16" t="s">
        <v>41</v>
      </c>
      <c r="D123" s="49" t="s">
        <v>19</v>
      </c>
      <c r="E123" s="17">
        <v>0.1</v>
      </c>
      <c r="F123" s="18">
        <f>TRUNC(19.43,2)</f>
        <v>19.43</v>
      </c>
      <c r="G123" s="18">
        <f aca="true" t="shared" si="5" ref="G123:G129">TRUNC(E123*F123,2)</f>
        <v>1.94</v>
      </c>
      <c r="H123" s="18"/>
      <c r="I123" s="19"/>
      <c r="K123" s="20"/>
    </row>
    <row r="124" spans="1:11" s="28" customFormat="1" ht="13.5">
      <c r="A124" s="48"/>
      <c r="B124" s="25" t="s">
        <v>48</v>
      </c>
      <c r="C124" s="16" t="s">
        <v>49</v>
      </c>
      <c r="D124" s="49" t="s">
        <v>9</v>
      </c>
      <c r="E124" s="17">
        <v>0.4</v>
      </c>
      <c r="F124" s="18">
        <f>TRUNC(5.83,2)</f>
        <v>5.83</v>
      </c>
      <c r="G124" s="18">
        <f t="shared" si="5"/>
        <v>2.33</v>
      </c>
      <c r="H124" s="18"/>
      <c r="I124" s="19"/>
      <c r="K124" s="20"/>
    </row>
    <row r="125" spans="1:11" s="28" customFormat="1" ht="13.5">
      <c r="A125" s="48"/>
      <c r="B125" s="25" t="s">
        <v>177</v>
      </c>
      <c r="C125" s="16" t="s">
        <v>178</v>
      </c>
      <c r="D125" s="49" t="s">
        <v>9</v>
      </c>
      <c r="E125" s="17">
        <v>0.93</v>
      </c>
      <c r="F125" s="18">
        <f>TRUNC(6.5726,2)</f>
        <v>6.57</v>
      </c>
      <c r="G125" s="18">
        <f t="shared" si="5"/>
        <v>6.11</v>
      </c>
      <c r="H125" s="18"/>
      <c r="I125" s="19"/>
      <c r="K125" s="20"/>
    </row>
    <row r="126" spans="1:11" s="28" customFormat="1" ht="13.5">
      <c r="A126" s="48"/>
      <c r="B126" s="25" t="s">
        <v>134</v>
      </c>
      <c r="C126" s="16" t="s">
        <v>135</v>
      </c>
      <c r="D126" s="49" t="s">
        <v>9</v>
      </c>
      <c r="E126" s="17">
        <v>0.7</v>
      </c>
      <c r="F126" s="18">
        <f>TRUNC(9.67,2)</f>
        <v>9.67</v>
      </c>
      <c r="G126" s="18">
        <f t="shared" si="5"/>
        <v>6.76</v>
      </c>
      <c r="H126" s="18"/>
      <c r="I126" s="19"/>
      <c r="K126" s="20"/>
    </row>
    <row r="127" spans="1:11" s="28" customFormat="1" ht="13.5">
      <c r="A127" s="48"/>
      <c r="B127" s="25" t="s">
        <v>171</v>
      </c>
      <c r="C127" s="16" t="s">
        <v>172</v>
      </c>
      <c r="D127" s="49" t="s">
        <v>4</v>
      </c>
      <c r="E127" s="17">
        <v>1.0815000000000001</v>
      </c>
      <c r="F127" s="18">
        <f>TRUNC(16.55,2)</f>
        <v>16.55</v>
      </c>
      <c r="G127" s="18">
        <f t="shared" si="5"/>
        <v>17.89</v>
      </c>
      <c r="H127" s="18"/>
      <c r="I127" s="19"/>
      <c r="K127" s="20"/>
    </row>
    <row r="128" spans="1:11" s="28" customFormat="1" ht="13.5">
      <c r="A128" s="48"/>
      <c r="B128" s="25" t="s">
        <v>179</v>
      </c>
      <c r="C128" s="16" t="s">
        <v>180</v>
      </c>
      <c r="D128" s="49" t="s">
        <v>4</v>
      </c>
      <c r="E128" s="17">
        <v>1.0815000000000001</v>
      </c>
      <c r="F128" s="18">
        <f>TRUNC(22.86,2)</f>
        <v>22.86</v>
      </c>
      <c r="G128" s="18">
        <f t="shared" si="5"/>
        <v>24.72</v>
      </c>
      <c r="H128" s="18"/>
      <c r="I128" s="19"/>
      <c r="K128" s="20"/>
    </row>
    <row r="129" spans="1:11" s="28" customFormat="1" ht="13.5">
      <c r="A129" s="48"/>
      <c r="B129" s="25" t="s">
        <v>181</v>
      </c>
      <c r="C129" s="16" t="s">
        <v>182</v>
      </c>
      <c r="D129" s="49" t="s">
        <v>10</v>
      </c>
      <c r="E129" s="17">
        <v>1</v>
      </c>
      <c r="F129" s="18">
        <f>TRUNC(3.6829,2)</f>
        <v>3.68</v>
      </c>
      <c r="G129" s="18">
        <f t="shared" si="5"/>
        <v>3.68</v>
      </c>
      <c r="H129" s="18"/>
      <c r="I129" s="19"/>
      <c r="K129" s="20"/>
    </row>
    <row r="130" spans="1:11" s="28" customFormat="1" ht="13.5">
      <c r="A130" s="48"/>
      <c r="B130" s="25"/>
      <c r="C130" s="16"/>
      <c r="D130" s="49"/>
      <c r="E130" s="17" t="s">
        <v>16</v>
      </c>
      <c r="F130" s="18"/>
      <c r="G130" s="18">
        <f>TRUNC(SUM(G123:G129),2)</f>
        <v>63.43</v>
      </c>
      <c r="H130" s="18"/>
      <c r="I130" s="19"/>
      <c r="K130" s="20"/>
    </row>
    <row r="131" spans="1:11" s="65" customFormat="1" ht="41.25">
      <c r="A131" s="58" t="s">
        <v>267</v>
      </c>
      <c r="B131" s="59" t="s">
        <v>388</v>
      </c>
      <c r="C131" s="60" t="s">
        <v>184</v>
      </c>
      <c r="D131" s="61" t="s">
        <v>10</v>
      </c>
      <c r="E131" s="62">
        <v>64.48</v>
      </c>
      <c r="F131" s="63">
        <f>TRUNC(G136,2)</f>
        <v>72.53</v>
      </c>
      <c r="G131" s="63">
        <f>TRUNC(F131*1.2247,2)</f>
        <v>88.82</v>
      </c>
      <c r="H131" s="63">
        <f>TRUNC(F131*E131,2)</f>
        <v>4676.73</v>
      </c>
      <c r="I131" s="64">
        <f>TRUNC(E131*G131,2)</f>
        <v>5727.11</v>
      </c>
      <c r="K131" s="66"/>
    </row>
    <row r="132" spans="1:11" s="28" customFormat="1" ht="13.5">
      <c r="A132" s="48"/>
      <c r="B132" s="25" t="s">
        <v>185</v>
      </c>
      <c r="C132" s="16" t="s">
        <v>186</v>
      </c>
      <c r="D132" s="49" t="s">
        <v>14</v>
      </c>
      <c r="E132" s="17">
        <v>13</v>
      </c>
      <c r="F132" s="18">
        <f>TRUNC(2.58,2)</f>
        <v>2.58</v>
      </c>
      <c r="G132" s="18">
        <f>TRUNC(E132*F132,2)</f>
        <v>33.54</v>
      </c>
      <c r="H132" s="18"/>
      <c r="I132" s="19"/>
      <c r="K132" s="20"/>
    </row>
    <row r="133" spans="1:11" s="28" customFormat="1" ht="13.5">
      <c r="A133" s="48"/>
      <c r="B133" s="25" t="s">
        <v>171</v>
      </c>
      <c r="C133" s="16" t="s">
        <v>172</v>
      </c>
      <c r="D133" s="49" t="s">
        <v>4</v>
      </c>
      <c r="E133" s="17">
        <v>0.8549</v>
      </c>
      <c r="F133" s="18">
        <f>TRUNC(16.55,2)</f>
        <v>16.55</v>
      </c>
      <c r="G133" s="18">
        <f>TRUNC(E133*F133,2)</f>
        <v>14.14</v>
      </c>
      <c r="H133" s="18"/>
      <c r="I133" s="19"/>
      <c r="K133" s="20"/>
    </row>
    <row r="134" spans="1:11" s="28" customFormat="1" ht="13.5">
      <c r="A134" s="48"/>
      <c r="B134" s="25" t="s">
        <v>341</v>
      </c>
      <c r="C134" s="16" t="s">
        <v>342</v>
      </c>
      <c r="D134" s="49" t="s">
        <v>4</v>
      </c>
      <c r="E134" s="17">
        <v>0.8549</v>
      </c>
      <c r="F134" s="18">
        <f>TRUNC(22.86,2)</f>
        <v>22.86</v>
      </c>
      <c r="G134" s="18">
        <f>TRUNC(E134*F134,2)</f>
        <v>19.54</v>
      </c>
      <c r="H134" s="18"/>
      <c r="I134" s="19"/>
      <c r="K134" s="20"/>
    </row>
    <row r="135" spans="1:11" s="28" customFormat="1" ht="13.5">
      <c r="A135" s="48"/>
      <c r="B135" s="25" t="s">
        <v>389</v>
      </c>
      <c r="C135" s="16" t="s">
        <v>390</v>
      </c>
      <c r="D135" s="49" t="s">
        <v>83</v>
      </c>
      <c r="E135" s="17">
        <v>0.015</v>
      </c>
      <c r="F135" s="18">
        <f>TRUNC(354.2035,2)</f>
        <v>354.2</v>
      </c>
      <c r="G135" s="18">
        <f>TRUNC(E135*F135,2)</f>
        <v>5.31</v>
      </c>
      <c r="H135" s="18"/>
      <c r="I135" s="19"/>
      <c r="K135" s="20"/>
    </row>
    <row r="136" spans="1:11" s="28" customFormat="1" ht="13.5">
      <c r="A136" s="48"/>
      <c r="B136" s="25"/>
      <c r="C136" s="16"/>
      <c r="D136" s="49"/>
      <c r="E136" s="17" t="s">
        <v>16</v>
      </c>
      <c r="F136" s="18"/>
      <c r="G136" s="18">
        <f>TRUNC(SUM(G132:G135),2)</f>
        <v>72.53</v>
      </c>
      <c r="H136" s="18"/>
      <c r="I136" s="19"/>
      <c r="K136" s="20"/>
    </row>
    <row r="137" spans="1:9" s="9" customFormat="1" ht="13.5">
      <c r="A137" s="31" t="s">
        <v>27</v>
      </c>
      <c r="B137" s="29"/>
      <c r="C137" s="21" t="s">
        <v>334</v>
      </c>
      <c r="D137" s="39"/>
      <c r="E137" s="22"/>
      <c r="F137" s="23"/>
      <c r="G137" s="23"/>
      <c r="H137" s="24">
        <f>H102+H107+H112+H116+H122+H131</f>
        <v>33872.850000000006</v>
      </c>
      <c r="I137" s="24">
        <f>I102+I107+I112+I116+I122+I131</f>
        <v>41482.299999999996</v>
      </c>
    </row>
    <row r="138" spans="1:9" s="9" customFormat="1" ht="13.5">
      <c r="A138" s="31" t="s">
        <v>268</v>
      </c>
      <c r="B138" s="21"/>
      <c r="C138" s="67" t="s">
        <v>189</v>
      </c>
      <c r="D138" s="39"/>
      <c r="E138" s="22"/>
      <c r="F138" s="23"/>
      <c r="G138" s="23"/>
      <c r="H138" s="24"/>
      <c r="I138" s="24"/>
    </row>
    <row r="139" spans="1:11" s="65" customFormat="1" ht="41.25">
      <c r="A139" s="58" t="s">
        <v>269</v>
      </c>
      <c r="B139" s="59" t="s">
        <v>391</v>
      </c>
      <c r="C139" s="60" t="s">
        <v>191</v>
      </c>
      <c r="D139" s="61" t="s">
        <v>10</v>
      </c>
      <c r="E139" s="62">
        <v>128.64</v>
      </c>
      <c r="F139" s="63">
        <f>TRUNC(G144,2)</f>
        <v>31.13</v>
      </c>
      <c r="G139" s="63">
        <f>TRUNC(F139*1.2247,2)</f>
        <v>38.12</v>
      </c>
      <c r="H139" s="63">
        <f>TRUNC(F139*E139,2)</f>
        <v>4004.56</v>
      </c>
      <c r="I139" s="64">
        <f>TRUNC(E139*G139,2)</f>
        <v>4903.75</v>
      </c>
      <c r="K139" s="66"/>
    </row>
    <row r="140" spans="1:11" s="28" customFormat="1" ht="13.5">
      <c r="A140" s="48"/>
      <c r="B140" s="25" t="s">
        <v>171</v>
      </c>
      <c r="C140" s="16" t="s">
        <v>172</v>
      </c>
      <c r="D140" s="49" t="s">
        <v>4</v>
      </c>
      <c r="E140" s="17">
        <v>0.41200000000000003</v>
      </c>
      <c r="F140" s="18">
        <f>TRUNC(16.55,2)</f>
        <v>16.55</v>
      </c>
      <c r="G140" s="18">
        <f>TRUNC(E140*F140,2)</f>
        <v>6.81</v>
      </c>
      <c r="H140" s="18"/>
      <c r="I140" s="19"/>
      <c r="K140" s="20"/>
    </row>
    <row r="141" spans="1:11" s="28" customFormat="1" ht="13.5">
      <c r="A141" s="48"/>
      <c r="B141" s="25" t="s">
        <v>341</v>
      </c>
      <c r="C141" s="16" t="s">
        <v>342</v>
      </c>
      <c r="D141" s="49" t="s">
        <v>4</v>
      </c>
      <c r="E141" s="17">
        <v>0.41200000000000003</v>
      </c>
      <c r="F141" s="18">
        <f>TRUNC(22.86,2)</f>
        <v>22.86</v>
      </c>
      <c r="G141" s="18">
        <f>TRUNC(E141*F141,2)</f>
        <v>9.41</v>
      </c>
      <c r="H141" s="18"/>
      <c r="I141" s="19"/>
      <c r="K141" s="20"/>
    </row>
    <row r="142" spans="1:11" s="28" customFormat="1" ht="13.5">
      <c r="A142" s="48"/>
      <c r="B142" s="25" t="s">
        <v>392</v>
      </c>
      <c r="C142" s="16" t="s">
        <v>393</v>
      </c>
      <c r="D142" s="49" t="s">
        <v>83</v>
      </c>
      <c r="E142" s="17">
        <v>0.02625</v>
      </c>
      <c r="F142" s="18">
        <f>TRUNC(336.3909,2)</f>
        <v>336.39</v>
      </c>
      <c r="G142" s="18">
        <f>TRUNC(E142*F142,2)</f>
        <v>8.83</v>
      </c>
      <c r="H142" s="18"/>
      <c r="I142" s="19"/>
      <c r="K142" s="20"/>
    </row>
    <row r="143" spans="1:11" s="28" customFormat="1" ht="27">
      <c r="A143" s="48"/>
      <c r="B143" s="25" t="s">
        <v>394</v>
      </c>
      <c r="C143" s="16" t="s">
        <v>395</v>
      </c>
      <c r="D143" s="49" t="s">
        <v>10</v>
      </c>
      <c r="E143" s="17">
        <v>1</v>
      </c>
      <c r="F143" s="18">
        <f>TRUNC(6.0851,2)</f>
        <v>6.08</v>
      </c>
      <c r="G143" s="18">
        <f>TRUNC(E143*F143,2)</f>
        <v>6.08</v>
      </c>
      <c r="H143" s="18"/>
      <c r="I143" s="19"/>
      <c r="K143" s="20"/>
    </row>
    <row r="144" spans="1:11" s="28" customFormat="1" ht="13.5">
      <c r="A144" s="48"/>
      <c r="B144" s="25"/>
      <c r="C144" s="16"/>
      <c r="D144" s="49"/>
      <c r="E144" s="17" t="s">
        <v>16</v>
      </c>
      <c r="F144" s="18"/>
      <c r="G144" s="18">
        <f>TRUNC(SUM(G140:G143),2)</f>
        <v>31.13</v>
      </c>
      <c r="H144" s="18"/>
      <c r="I144" s="19"/>
      <c r="K144" s="20"/>
    </row>
    <row r="145" spans="1:11" s="65" customFormat="1" ht="41.25">
      <c r="A145" s="58" t="s">
        <v>270</v>
      </c>
      <c r="B145" s="59" t="s">
        <v>396</v>
      </c>
      <c r="C145" s="60" t="s">
        <v>197</v>
      </c>
      <c r="D145" s="61" t="s">
        <v>10</v>
      </c>
      <c r="E145" s="62">
        <v>29.52</v>
      </c>
      <c r="F145" s="63">
        <f>TRUNC(G151,2)</f>
        <v>19.57</v>
      </c>
      <c r="G145" s="63">
        <f>TRUNC(F145*1.2247,2)</f>
        <v>23.96</v>
      </c>
      <c r="H145" s="63">
        <f>TRUNC(F145*E145,2)</f>
        <v>577.7</v>
      </c>
      <c r="I145" s="64">
        <f>TRUNC(E145*G145,2)</f>
        <v>707.29</v>
      </c>
      <c r="K145" s="66"/>
    </row>
    <row r="146" spans="1:11" s="28" customFormat="1" ht="13.5">
      <c r="A146" s="48"/>
      <c r="B146" s="25" t="s">
        <v>198</v>
      </c>
      <c r="C146" s="16" t="s">
        <v>199</v>
      </c>
      <c r="D146" s="49" t="s">
        <v>52</v>
      </c>
      <c r="E146" s="17">
        <v>0.03</v>
      </c>
      <c r="F146" s="18">
        <f>TRUNC(63.73,2)</f>
        <v>63.73</v>
      </c>
      <c r="G146" s="18">
        <f>TRUNC(E146*F146,2)</f>
        <v>1.91</v>
      </c>
      <c r="H146" s="18"/>
      <c r="I146" s="19"/>
      <c r="K146" s="20"/>
    </row>
    <row r="147" spans="1:11" s="28" customFormat="1" ht="13.5">
      <c r="A147" s="48"/>
      <c r="B147" s="25" t="s">
        <v>200</v>
      </c>
      <c r="C147" s="16" t="s">
        <v>201</v>
      </c>
      <c r="D147" s="49" t="s">
        <v>14</v>
      </c>
      <c r="E147" s="17">
        <v>0.5</v>
      </c>
      <c r="F147" s="18">
        <f>TRUNC(1.3,2)</f>
        <v>1.3</v>
      </c>
      <c r="G147" s="18">
        <f>TRUNC(E147*F147,2)</f>
        <v>0.65</v>
      </c>
      <c r="H147" s="18"/>
      <c r="I147" s="19"/>
      <c r="K147" s="20"/>
    </row>
    <row r="148" spans="1:11" s="28" customFormat="1" ht="13.5">
      <c r="A148" s="48"/>
      <c r="B148" s="25" t="s">
        <v>202</v>
      </c>
      <c r="C148" s="16" t="s">
        <v>203</v>
      </c>
      <c r="D148" s="49" t="s">
        <v>52</v>
      </c>
      <c r="E148" s="17">
        <v>0.05</v>
      </c>
      <c r="F148" s="18">
        <f>TRUNC(96.96,2)</f>
        <v>96.96</v>
      </c>
      <c r="G148" s="18">
        <f>TRUNC(E148*F148,2)</f>
        <v>4.84</v>
      </c>
      <c r="H148" s="18"/>
      <c r="I148" s="19"/>
      <c r="K148" s="20"/>
    </row>
    <row r="149" spans="1:11" s="28" customFormat="1" ht="13.5">
      <c r="A149" s="48"/>
      <c r="B149" s="25" t="s">
        <v>171</v>
      </c>
      <c r="C149" s="16" t="s">
        <v>172</v>
      </c>
      <c r="D149" s="49" t="s">
        <v>4</v>
      </c>
      <c r="E149" s="17">
        <v>0.1957</v>
      </c>
      <c r="F149" s="18">
        <f>TRUNC(16.55,2)</f>
        <v>16.55</v>
      </c>
      <c r="G149" s="18">
        <f>TRUNC(E149*F149,2)</f>
        <v>3.23</v>
      </c>
      <c r="H149" s="18"/>
      <c r="I149" s="19"/>
      <c r="K149" s="20"/>
    </row>
    <row r="150" spans="1:11" s="28" customFormat="1" ht="13.5">
      <c r="A150" s="48"/>
      <c r="B150" s="25" t="s">
        <v>213</v>
      </c>
      <c r="C150" s="16" t="s">
        <v>214</v>
      </c>
      <c r="D150" s="49" t="s">
        <v>4</v>
      </c>
      <c r="E150" s="17">
        <v>0.3914</v>
      </c>
      <c r="F150" s="18">
        <f>TRUNC(22.86,2)</f>
        <v>22.86</v>
      </c>
      <c r="G150" s="18">
        <f>TRUNC(E150*F150,2)</f>
        <v>8.94</v>
      </c>
      <c r="H150" s="18"/>
      <c r="I150" s="19"/>
      <c r="K150" s="20"/>
    </row>
    <row r="151" spans="1:11" s="28" customFormat="1" ht="13.5">
      <c r="A151" s="48"/>
      <c r="B151" s="25"/>
      <c r="C151" s="16"/>
      <c r="D151" s="49"/>
      <c r="E151" s="17" t="s">
        <v>16</v>
      </c>
      <c r="F151" s="18"/>
      <c r="G151" s="18">
        <f>TRUNC(SUM(G146:G150),2)</f>
        <v>19.57</v>
      </c>
      <c r="H151" s="18"/>
      <c r="I151" s="19"/>
      <c r="K151" s="20"/>
    </row>
    <row r="152" spans="1:11" s="65" customFormat="1" ht="27">
      <c r="A152" s="58" t="s">
        <v>271</v>
      </c>
      <c r="B152" s="59" t="s">
        <v>397</v>
      </c>
      <c r="C152" s="60" t="s">
        <v>205</v>
      </c>
      <c r="D152" s="61" t="s">
        <v>10</v>
      </c>
      <c r="E152" s="62">
        <v>104.43</v>
      </c>
      <c r="F152" s="63">
        <f>TRUNC(G156,2)</f>
        <v>14.49</v>
      </c>
      <c r="G152" s="63">
        <f>TRUNC(F152*1.2247,2)</f>
        <v>17.74</v>
      </c>
      <c r="H152" s="63">
        <f>TRUNC(F152*E152,2)</f>
        <v>1513.19</v>
      </c>
      <c r="I152" s="64">
        <f>TRUNC(E152*G152,2)</f>
        <v>1852.58</v>
      </c>
      <c r="K152" s="66"/>
    </row>
    <row r="153" spans="1:11" s="28" customFormat="1" ht="13.5">
      <c r="A153" s="48"/>
      <c r="B153" s="25" t="s">
        <v>206</v>
      </c>
      <c r="C153" s="16" t="s">
        <v>207</v>
      </c>
      <c r="D153" s="49" t="s">
        <v>208</v>
      </c>
      <c r="E153" s="17">
        <v>0.33</v>
      </c>
      <c r="F153" s="18">
        <f>TRUNC(23.52,2)</f>
        <v>23.52</v>
      </c>
      <c r="G153" s="18">
        <f>TRUNC(E153*F153,2)</f>
        <v>7.76</v>
      </c>
      <c r="H153" s="18"/>
      <c r="I153" s="19"/>
      <c r="K153" s="20"/>
    </row>
    <row r="154" spans="1:11" s="28" customFormat="1" ht="13.5">
      <c r="A154" s="48"/>
      <c r="B154" s="25" t="s">
        <v>34</v>
      </c>
      <c r="C154" s="16" t="s">
        <v>35</v>
      </c>
      <c r="D154" s="49" t="s">
        <v>4</v>
      </c>
      <c r="E154" s="17">
        <v>0.069</v>
      </c>
      <c r="F154" s="18">
        <f>TRUNC(21.54,2)</f>
        <v>21.54</v>
      </c>
      <c r="G154" s="18">
        <f>TRUNC(E154*F154,2)</f>
        <v>1.48</v>
      </c>
      <c r="H154" s="18"/>
      <c r="I154" s="19"/>
      <c r="K154" s="20"/>
    </row>
    <row r="155" spans="1:11" s="28" customFormat="1" ht="13.5">
      <c r="A155" s="48"/>
      <c r="B155" s="25" t="s">
        <v>209</v>
      </c>
      <c r="C155" s="16" t="s">
        <v>210</v>
      </c>
      <c r="D155" s="49" t="s">
        <v>4</v>
      </c>
      <c r="E155" s="17">
        <v>0.187</v>
      </c>
      <c r="F155" s="18">
        <f>TRUNC(28.08,2)</f>
        <v>28.08</v>
      </c>
      <c r="G155" s="18">
        <f>TRUNC(E155*F155,2)</f>
        <v>5.25</v>
      </c>
      <c r="H155" s="18"/>
      <c r="I155" s="19"/>
      <c r="K155" s="20"/>
    </row>
    <row r="156" spans="1:11" s="28" customFormat="1" ht="13.5">
      <c r="A156" s="48"/>
      <c r="B156" s="25"/>
      <c r="C156" s="16" t="s">
        <v>429</v>
      </c>
      <c r="D156" s="49"/>
      <c r="E156" s="17" t="s">
        <v>16</v>
      </c>
      <c r="F156" s="18"/>
      <c r="G156" s="18">
        <f>TRUNC(SUM(G153:G155),2)</f>
        <v>14.49</v>
      </c>
      <c r="H156" s="18"/>
      <c r="I156" s="19"/>
      <c r="K156" s="20"/>
    </row>
    <row r="157" spans="1:11" s="65" customFormat="1" ht="41.25">
      <c r="A157" s="58" t="s">
        <v>272</v>
      </c>
      <c r="B157" s="59" t="s">
        <v>215</v>
      </c>
      <c r="C157" s="60" t="s">
        <v>216</v>
      </c>
      <c r="D157" s="61" t="s">
        <v>10</v>
      </c>
      <c r="E157" s="62">
        <v>104.43</v>
      </c>
      <c r="F157" s="63">
        <f>TRUNC(G163,2)</f>
        <v>23.05</v>
      </c>
      <c r="G157" s="63">
        <f>TRUNC(F157*1.2247,2)</f>
        <v>28.22</v>
      </c>
      <c r="H157" s="63">
        <f>TRUNC(F157*E157,2)</f>
        <v>2407.11</v>
      </c>
      <c r="I157" s="64">
        <f>TRUNC(E157*G157,2)</f>
        <v>2947.01</v>
      </c>
      <c r="K157" s="66"/>
    </row>
    <row r="158" spans="1:11" s="28" customFormat="1" ht="13.5">
      <c r="A158" s="48"/>
      <c r="B158" s="25" t="s">
        <v>217</v>
      </c>
      <c r="C158" s="16" t="s">
        <v>218</v>
      </c>
      <c r="D158" s="49" t="s">
        <v>52</v>
      </c>
      <c r="E158" s="17">
        <v>0.03</v>
      </c>
      <c r="F158" s="18">
        <f>TRUNC(40.99,2)</f>
        <v>40.99</v>
      </c>
      <c r="G158" s="18">
        <f>TRUNC(E158*F158,2)</f>
        <v>1.22</v>
      </c>
      <c r="H158" s="18"/>
      <c r="I158" s="19"/>
      <c r="K158" s="20"/>
    </row>
    <row r="159" spans="1:11" s="28" customFormat="1" ht="13.5">
      <c r="A159" s="48"/>
      <c r="B159" s="25" t="s">
        <v>211</v>
      </c>
      <c r="C159" s="16" t="s">
        <v>212</v>
      </c>
      <c r="D159" s="49" t="s">
        <v>14</v>
      </c>
      <c r="E159" s="17">
        <v>0.027</v>
      </c>
      <c r="F159" s="18">
        <f>TRUNC(68.25,2)</f>
        <v>68.25</v>
      </c>
      <c r="G159" s="18">
        <f>TRUNC(E159*F159,2)</f>
        <v>1.84</v>
      </c>
      <c r="H159" s="18"/>
      <c r="I159" s="19"/>
      <c r="K159" s="20"/>
    </row>
    <row r="160" spans="1:11" s="28" customFormat="1" ht="13.5">
      <c r="A160" s="48"/>
      <c r="B160" s="25" t="s">
        <v>219</v>
      </c>
      <c r="C160" s="16" t="s">
        <v>220</v>
      </c>
      <c r="D160" s="49" t="s">
        <v>14</v>
      </c>
      <c r="E160" s="17">
        <v>1</v>
      </c>
      <c r="F160" s="18">
        <f>TRUNC(0.76,2)</f>
        <v>0.76</v>
      </c>
      <c r="G160" s="18">
        <f>TRUNC(E160*F160,2)</f>
        <v>0.76</v>
      </c>
      <c r="H160" s="18"/>
      <c r="I160" s="19"/>
      <c r="K160" s="20"/>
    </row>
    <row r="161" spans="1:11" s="28" customFormat="1" ht="13.5">
      <c r="A161" s="48"/>
      <c r="B161" s="25" t="s">
        <v>171</v>
      </c>
      <c r="C161" s="16" t="s">
        <v>172</v>
      </c>
      <c r="D161" s="49" t="s">
        <v>4</v>
      </c>
      <c r="E161" s="17">
        <v>0.309</v>
      </c>
      <c r="F161" s="18">
        <f>TRUNC(16.55,2)</f>
        <v>16.55</v>
      </c>
      <c r="G161" s="18">
        <f>TRUNC(E161*F161,2)</f>
        <v>5.11</v>
      </c>
      <c r="H161" s="18"/>
      <c r="I161" s="19"/>
      <c r="K161" s="20"/>
    </row>
    <row r="162" spans="1:11" s="28" customFormat="1" ht="13.5">
      <c r="A162" s="48"/>
      <c r="B162" s="25" t="s">
        <v>213</v>
      </c>
      <c r="C162" s="16" t="s">
        <v>214</v>
      </c>
      <c r="D162" s="49" t="s">
        <v>4</v>
      </c>
      <c r="E162" s="17">
        <v>0.618</v>
      </c>
      <c r="F162" s="18">
        <f>TRUNC(22.86,2)</f>
        <v>22.86</v>
      </c>
      <c r="G162" s="18">
        <f>TRUNC(E162*F162,2)</f>
        <v>14.12</v>
      </c>
      <c r="H162" s="18"/>
      <c r="I162" s="19"/>
      <c r="K162" s="20"/>
    </row>
    <row r="163" spans="1:11" s="28" customFormat="1" ht="13.5">
      <c r="A163" s="48"/>
      <c r="B163" s="25"/>
      <c r="C163" s="16"/>
      <c r="D163" s="49"/>
      <c r="E163" s="17" t="s">
        <v>16</v>
      </c>
      <c r="F163" s="18"/>
      <c r="G163" s="18">
        <f>TRUNC(SUM(G158:G162),2)</f>
        <v>23.05</v>
      </c>
      <c r="H163" s="18"/>
      <c r="I163" s="19"/>
      <c r="K163" s="20"/>
    </row>
    <row r="164" spans="1:9" s="9" customFormat="1" ht="13.5">
      <c r="A164" s="31" t="s">
        <v>27</v>
      </c>
      <c r="B164" s="29"/>
      <c r="C164" s="21" t="s">
        <v>280</v>
      </c>
      <c r="D164" s="39"/>
      <c r="E164" s="22"/>
      <c r="F164" s="23"/>
      <c r="G164" s="23"/>
      <c r="H164" s="24">
        <f>H157+H152+H145+H139</f>
        <v>8502.56</v>
      </c>
      <c r="I164" s="24">
        <f>I157+I152+I145+I139</f>
        <v>10410.630000000001</v>
      </c>
    </row>
    <row r="165" spans="1:9" s="9" customFormat="1" ht="13.5">
      <c r="A165" s="31" t="s">
        <v>273</v>
      </c>
      <c r="B165" s="21"/>
      <c r="C165" s="67" t="s">
        <v>221</v>
      </c>
      <c r="D165" s="39"/>
      <c r="E165" s="22"/>
      <c r="F165" s="23"/>
      <c r="G165" s="23"/>
      <c r="H165" s="24"/>
      <c r="I165" s="24"/>
    </row>
    <row r="166" spans="1:11" s="65" customFormat="1" ht="32.25" customHeight="1">
      <c r="A166" s="58" t="s">
        <v>274</v>
      </c>
      <c r="B166" s="59" t="s">
        <v>398</v>
      </c>
      <c r="C166" s="60" t="s">
        <v>223</v>
      </c>
      <c r="D166" s="61" t="s">
        <v>10</v>
      </c>
      <c r="E166" s="62">
        <v>23</v>
      </c>
      <c r="F166" s="63">
        <f>TRUNC(G170,2)</f>
        <v>6.87</v>
      </c>
      <c r="G166" s="63">
        <f>TRUNC(F166*1.2247,2)</f>
        <v>8.41</v>
      </c>
      <c r="H166" s="63">
        <f>TRUNC(F166*E166,2)</f>
        <v>158.01</v>
      </c>
      <c r="I166" s="64">
        <f>TRUNC(E166*G166,2)</f>
        <v>193.43</v>
      </c>
      <c r="K166" s="66"/>
    </row>
    <row r="167" spans="1:11" s="28" customFormat="1" ht="27">
      <c r="A167" s="48"/>
      <c r="B167" s="25" t="s">
        <v>224</v>
      </c>
      <c r="C167" s="16" t="s">
        <v>225</v>
      </c>
      <c r="D167" s="49" t="s">
        <v>10</v>
      </c>
      <c r="E167" s="17">
        <v>0.55</v>
      </c>
      <c r="F167" s="18">
        <f>TRUNC(10.3,2)</f>
        <v>10.3</v>
      </c>
      <c r="G167" s="18">
        <f>TRUNC(E167*F167,2)</f>
        <v>5.66</v>
      </c>
      <c r="H167" s="18"/>
      <c r="I167" s="19"/>
      <c r="K167" s="20"/>
    </row>
    <row r="168" spans="1:11" s="28" customFormat="1" ht="13.5">
      <c r="A168" s="48"/>
      <c r="B168" s="25" t="s">
        <v>171</v>
      </c>
      <c r="C168" s="16" t="s">
        <v>172</v>
      </c>
      <c r="D168" s="49" t="s">
        <v>4</v>
      </c>
      <c r="E168" s="17">
        <v>0.0309</v>
      </c>
      <c r="F168" s="18">
        <f>TRUNC(16.55,2)</f>
        <v>16.55</v>
      </c>
      <c r="G168" s="18">
        <f>TRUNC(E168*F168,2)</f>
        <v>0.51</v>
      </c>
      <c r="H168" s="18"/>
      <c r="I168" s="19"/>
      <c r="K168" s="20"/>
    </row>
    <row r="169" spans="1:11" s="28" customFormat="1" ht="13.5">
      <c r="A169" s="48"/>
      <c r="B169" s="25" t="s">
        <v>341</v>
      </c>
      <c r="C169" s="16" t="s">
        <v>342</v>
      </c>
      <c r="D169" s="49" t="s">
        <v>4</v>
      </c>
      <c r="E169" s="17">
        <v>0.0309</v>
      </c>
      <c r="F169" s="18">
        <f>TRUNC(22.86,2)</f>
        <v>22.86</v>
      </c>
      <c r="G169" s="18">
        <f>TRUNC(E169*F169,2)</f>
        <v>0.7</v>
      </c>
      <c r="H169" s="18"/>
      <c r="I169" s="19"/>
      <c r="K169" s="20"/>
    </row>
    <row r="170" spans="1:11" s="28" customFormat="1" ht="13.5">
      <c r="A170" s="48"/>
      <c r="B170" s="25"/>
      <c r="C170" s="16"/>
      <c r="D170" s="49"/>
      <c r="E170" s="17" t="s">
        <v>16</v>
      </c>
      <c r="F170" s="18"/>
      <c r="G170" s="18">
        <f>TRUNC(SUM(G167:G169),2)</f>
        <v>6.87</v>
      </c>
      <c r="H170" s="18"/>
      <c r="I170" s="19"/>
      <c r="K170" s="20"/>
    </row>
    <row r="171" spans="1:11" s="65" customFormat="1" ht="27">
      <c r="A171" s="58" t="s">
        <v>275</v>
      </c>
      <c r="B171" s="59" t="s">
        <v>399</v>
      </c>
      <c r="C171" s="60" t="s">
        <v>227</v>
      </c>
      <c r="D171" s="61" t="s">
        <v>9</v>
      </c>
      <c r="E171" s="62">
        <v>6</v>
      </c>
      <c r="F171" s="63">
        <f>TRUNC(G175,2)</f>
        <v>19.15</v>
      </c>
      <c r="G171" s="63">
        <f>TRUNC(F171*1.2247,2)</f>
        <v>23.45</v>
      </c>
      <c r="H171" s="63">
        <f>TRUNC(F171*E171,2)</f>
        <v>114.9</v>
      </c>
      <c r="I171" s="64">
        <f>TRUNC(E171*G171,2)</f>
        <v>140.7</v>
      </c>
      <c r="K171" s="66"/>
    </row>
    <row r="172" spans="1:11" s="28" customFormat="1" ht="13.5">
      <c r="A172" s="48"/>
      <c r="B172" s="25" t="s">
        <v>228</v>
      </c>
      <c r="C172" s="16" t="s">
        <v>229</v>
      </c>
      <c r="D172" s="49" t="s">
        <v>230</v>
      </c>
      <c r="E172" s="17">
        <v>0.00145</v>
      </c>
      <c r="F172" s="18">
        <f>TRUNC(60.8,2)</f>
        <v>60.8</v>
      </c>
      <c r="G172" s="18">
        <f>TRUNC(E172*F172,2)</f>
        <v>0.08</v>
      </c>
      <c r="H172" s="18"/>
      <c r="I172" s="19"/>
      <c r="K172" s="20"/>
    </row>
    <row r="173" spans="1:11" s="28" customFormat="1" ht="13.5">
      <c r="A173" s="48"/>
      <c r="B173" s="25" t="s">
        <v>231</v>
      </c>
      <c r="C173" s="16" t="s">
        <v>232</v>
      </c>
      <c r="D173" s="49" t="s">
        <v>14</v>
      </c>
      <c r="E173" s="17">
        <v>0.175</v>
      </c>
      <c r="F173" s="18">
        <f>TRUNC(60.29,2)</f>
        <v>60.29</v>
      </c>
      <c r="G173" s="18">
        <f>TRUNC(E173*F173,2)</f>
        <v>10.55</v>
      </c>
      <c r="H173" s="18"/>
      <c r="I173" s="19"/>
      <c r="K173" s="20"/>
    </row>
    <row r="174" spans="1:11" s="28" customFormat="1" ht="13.5">
      <c r="A174" s="48"/>
      <c r="B174" s="25" t="s">
        <v>171</v>
      </c>
      <c r="C174" s="16" t="s">
        <v>172</v>
      </c>
      <c r="D174" s="49" t="s">
        <v>4</v>
      </c>
      <c r="E174" s="17">
        <v>0.515</v>
      </c>
      <c r="F174" s="18">
        <f>TRUNC(16.55,2)</f>
        <v>16.55</v>
      </c>
      <c r="G174" s="18">
        <f>TRUNC(E174*F174,2)</f>
        <v>8.52</v>
      </c>
      <c r="H174" s="18"/>
      <c r="I174" s="19"/>
      <c r="K174" s="20"/>
    </row>
    <row r="175" spans="1:11" s="28" customFormat="1" ht="13.5">
      <c r="A175" s="48"/>
      <c r="B175" s="25"/>
      <c r="C175" s="16"/>
      <c r="D175" s="49"/>
      <c r="E175" s="17" t="s">
        <v>16</v>
      </c>
      <c r="F175" s="18"/>
      <c r="G175" s="18">
        <f>TRUNC(SUM(G172:G174),2)</f>
        <v>19.15</v>
      </c>
      <c r="H175" s="18"/>
      <c r="I175" s="19"/>
      <c r="K175" s="20"/>
    </row>
    <row r="176" spans="1:11" s="65" customFormat="1" ht="22.5" customHeight="1">
      <c r="A176" s="58" t="s">
        <v>276</v>
      </c>
      <c r="B176" s="59" t="s">
        <v>400</v>
      </c>
      <c r="C176" s="60" t="s">
        <v>401</v>
      </c>
      <c r="D176" s="61" t="s">
        <v>10</v>
      </c>
      <c r="E176" s="62">
        <v>31.52</v>
      </c>
      <c r="F176" s="63">
        <f>TRUNC(G179,2)</f>
        <v>10.93</v>
      </c>
      <c r="G176" s="63">
        <f>TRUNC(F176*1.2247,2)</f>
        <v>13.38</v>
      </c>
      <c r="H176" s="63">
        <f>TRUNC(F176*E176,2)</f>
        <v>344.51</v>
      </c>
      <c r="I176" s="64">
        <f>TRUNC(E176*G176,2)</f>
        <v>421.73</v>
      </c>
      <c r="K176" s="66"/>
    </row>
    <row r="177" spans="1:11" s="28" customFormat="1" ht="13.5">
      <c r="A177" s="48"/>
      <c r="B177" s="25" t="s">
        <v>402</v>
      </c>
      <c r="C177" s="16" t="s">
        <v>403</v>
      </c>
      <c r="D177" s="49" t="s">
        <v>230</v>
      </c>
      <c r="E177" s="17">
        <v>0.05808</v>
      </c>
      <c r="F177" s="18">
        <f>TRUNC(34.34,2)</f>
        <v>34.34</v>
      </c>
      <c r="G177" s="18">
        <f>TRUNC(E177*F177,2)</f>
        <v>1.99</v>
      </c>
      <c r="H177" s="18"/>
      <c r="I177" s="19"/>
      <c r="K177" s="20"/>
    </row>
    <row r="178" spans="1:11" s="28" customFormat="1" ht="13.5">
      <c r="A178" s="48"/>
      <c r="B178" s="25" t="s">
        <v>171</v>
      </c>
      <c r="C178" s="16" t="s">
        <v>172</v>
      </c>
      <c r="D178" s="49" t="s">
        <v>4</v>
      </c>
      <c r="E178" s="17">
        <v>0.5407500000000001</v>
      </c>
      <c r="F178" s="18">
        <f>TRUNC(16.55,2)</f>
        <v>16.55</v>
      </c>
      <c r="G178" s="18">
        <f>TRUNC(E178*F178,2)</f>
        <v>8.94</v>
      </c>
      <c r="H178" s="18"/>
      <c r="I178" s="19"/>
      <c r="K178" s="20"/>
    </row>
    <row r="179" spans="1:11" s="28" customFormat="1" ht="13.5">
      <c r="A179" s="48"/>
      <c r="B179" s="25"/>
      <c r="C179" s="16"/>
      <c r="D179" s="49"/>
      <c r="E179" s="17" t="s">
        <v>16</v>
      </c>
      <c r="F179" s="18"/>
      <c r="G179" s="18">
        <f>TRUNC(SUM(G177:G178),2)</f>
        <v>10.93</v>
      </c>
      <c r="H179" s="18"/>
      <c r="I179" s="19"/>
      <c r="K179" s="20"/>
    </row>
    <row r="180" spans="1:11" s="65" customFormat="1" ht="41.25">
      <c r="A180" s="58" t="s">
        <v>277</v>
      </c>
      <c r="B180" s="59" t="s">
        <v>404</v>
      </c>
      <c r="C180" s="60" t="s">
        <v>238</v>
      </c>
      <c r="D180" s="61" t="s">
        <v>10</v>
      </c>
      <c r="E180" s="62">
        <v>91.33</v>
      </c>
      <c r="F180" s="63">
        <f>TRUNC(G183,2)</f>
        <v>45.6</v>
      </c>
      <c r="G180" s="63">
        <f>TRUNC(F180*1.2247,2)</f>
        <v>55.84</v>
      </c>
      <c r="H180" s="63">
        <f>TRUNC(F180*E180,2)</f>
        <v>4164.64</v>
      </c>
      <c r="I180" s="64">
        <f>TRUNC(E180*G180,2)</f>
        <v>5099.86</v>
      </c>
      <c r="K180" s="66"/>
    </row>
    <row r="181" spans="1:11" s="28" customFormat="1" ht="27">
      <c r="A181" s="48"/>
      <c r="B181" s="25" t="s">
        <v>239</v>
      </c>
      <c r="C181" s="16" t="s">
        <v>240</v>
      </c>
      <c r="D181" s="49" t="s">
        <v>10</v>
      </c>
      <c r="E181" s="17">
        <v>1.05</v>
      </c>
      <c r="F181" s="18">
        <f>TRUNC(33.7,2)</f>
        <v>33.7</v>
      </c>
      <c r="G181" s="18">
        <f>TRUNC(E181*F181,2)</f>
        <v>35.38</v>
      </c>
      <c r="H181" s="18"/>
      <c r="I181" s="19"/>
      <c r="K181" s="20"/>
    </row>
    <row r="182" spans="1:11" s="28" customFormat="1" ht="13.5">
      <c r="A182" s="48"/>
      <c r="B182" s="25" t="s">
        <v>171</v>
      </c>
      <c r="C182" s="16" t="s">
        <v>172</v>
      </c>
      <c r="D182" s="49" t="s">
        <v>4</v>
      </c>
      <c r="E182" s="17">
        <v>0.618</v>
      </c>
      <c r="F182" s="18">
        <f>TRUNC(16.55,2)</f>
        <v>16.55</v>
      </c>
      <c r="G182" s="18">
        <f>TRUNC(E182*F182,2)</f>
        <v>10.22</v>
      </c>
      <c r="H182" s="18"/>
      <c r="I182" s="19"/>
      <c r="K182" s="20"/>
    </row>
    <row r="183" spans="1:11" s="28" customFormat="1" ht="13.5">
      <c r="A183" s="48"/>
      <c r="B183" s="25"/>
      <c r="C183" s="16"/>
      <c r="D183" s="49"/>
      <c r="E183" s="17" t="s">
        <v>16</v>
      </c>
      <c r="F183" s="18"/>
      <c r="G183" s="18">
        <f>TRUNC(SUM(G181:G182),2)</f>
        <v>45.6</v>
      </c>
      <c r="H183" s="18"/>
      <c r="I183" s="19"/>
      <c r="K183" s="20"/>
    </row>
    <row r="184" spans="1:11" s="65" customFormat="1" ht="27">
      <c r="A184" s="58" t="s">
        <v>278</v>
      </c>
      <c r="B184" s="59" t="s">
        <v>405</v>
      </c>
      <c r="C184" s="60" t="s">
        <v>242</v>
      </c>
      <c r="D184" s="61" t="s">
        <v>10</v>
      </c>
      <c r="E184" s="62">
        <v>91.33</v>
      </c>
      <c r="F184" s="63">
        <f>TRUNC(G188,2)</f>
        <v>42.63</v>
      </c>
      <c r="G184" s="63">
        <f>TRUNC(F184*1.2247,2)</f>
        <v>52.2</v>
      </c>
      <c r="H184" s="63">
        <f>TRUNC(F184*E184,2)</f>
        <v>3893.39</v>
      </c>
      <c r="I184" s="64">
        <f>TRUNC(E184*G184,2)</f>
        <v>4767.42</v>
      </c>
      <c r="K184" s="66"/>
    </row>
    <row r="185" spans="1:11" s="28" customFormat="1" ht="13.5">
      <c r="A185" s="48"/>
      <c r="B185" s="25" t="s">
        <v>406</v>
      </c>
      <c r="C185" s="16" t="s">
        <v>244</v>
      </c>
      <c r="D185" s="49" t="s">
        <v>19</v>
      </c>
      <c r="E185" s="17">
        <v>1.2</v>
      </c>
      <c r="F185" s="18">
        <f>TRUNC(18.55,2)</f>
        <v>18.55</v>
      </c>
      <c r="G185" s="18">
        <f>TRUNC(E185*F185,2)</f>
        <v>22.26</v>
      </c>
      <c r="H185" s="18"/>
      <c r="I185" s="19"/>
      <c r="K185" s="20"/>
    </row>
    <row r="186" spans="1:11" s="28" customFormat="1" ht="13.5">
      <c r="A186" s="48"/>
      <c r="B186" s="25" t="s">
        <v>407</v>
      </c>
      <c r="C186" s="16" t="s">
        <v>246</v>
      </c>
      <c r="D186" s="49" t="s">
        <v>4</v>
      </c>
      <c r="E186" s="17">
        <v>0.578</v>
      </c>
      <c r="F186" s="18">
        <f>TRUNC(30.31,2)</f>
        <v>30.31</v>
      </c>
      <c r="G186" s="18">
        <f>TRUNC(E186*F186,2)</f>
        <v>17.51</v>
      </c>
      <c r="H186" s="18"/>
      <c r="I186" s="19"/>
      <c r="K186" s="20"/>
    </row>
    <row r="187" spans="1:11" s="28" customFormat="1" ht="13.5">
      <c r="A187" s="48"/>
      <c r="B187" s="25" t="s">
        <v>408</v>
      </c>
      <c r="C187" s="16" t="s">
        <v>248</v>
      </c>
      <c r="D187" s="49" t="s">
        <v>4</v>
      </c>
      <c r="E187" s="17">
        <v>0.117</v>
      </c>
      <c r="F187" s="18">
        <f>TRUNC(24.49,2)</f>
        <v>24.49</v>
      </c>
      <c r="G187" s="18">
        <f>TRUNC(E187*F187,2)</f>
        <v>2.86</v>
      </c>
      <c r="H187" s="18"/>
      <c r="I187" s="19"/>
      <c r="K187" s="20"/>
    </row>
    <row r="188" spans="1:11" s="28" customFormat="1" ht="13.5">
      <c r="A188" s="48"/>
      <c r="B188" s="25"/>
      <c r="C188" s="16"/>
      <c r="D188" s="49"/>
      <c r="E188" s="17" t="s">
        <v>16</v>
      </c>
      <c r="F188" s="18"/>
      <c r="G188" s="18">
        <f>TRUNC(SUM(G185:G187),2)</f>
        <v>42.63</v>
      </c>
      <c r="H188" s="18"/>
      <c r="I188" s="19"/>
      <c r="K188" s="20"/>
    </row>
    <row r="189" spans="1:9" s="9" customFormat="1" ht="13.5">
      <c r="A189" s="31" t="s">
        <v>27</v>
      </c>
      <c r="B189" s="29"/>
      <c r="C189" s="21" t="s">
        <v>279</v>
      </c>
      <c r="D189" s="39"/>
      <c r="E189" s="22"/>
      <c r="F189" s="23"/>
      <c r="G189" s="23"/>
      <c r="H189" s="24">
        <f>H166+H171+H176+H180+H184</f>
        <v>8675.45</v>
      </c>
      <c r="I189" s="24">
        <f>I166+I171+I176+I180+I184</f>
        <v>10623.14</v>
      </c>
    </row>
    <row r="190" spans="1:9" s="9" customFormat="1" ht="13.5">
      <c r="A190" s="31" t="s">
        <v>281</v>
      </c>
      <c r="B190" s="21"/>
      <c r="C190" s="67" t="s">
        <v>249</v>
      </c>
      <c r="D190" s="39"/>
      <c r="E190" s="22"/>
      <c r="F190" s="23"/>
      <c r="G190" s="23"/>
      <c r="H190" s="24"/>
      <c r="I190" s="24"/>
    </row>
    <row r="191" spans="1:11" s="65" customFormat="1" ht="27">
      <c r="A191" s="58" t="s">
        <v>527</v>
      </c>
      <c r="B191" s="59" t="s">
        <v>524</v>
      </c>
      <c r="C191" s="60" t="s">
        <v>483</v>
      </c>
      <c r="D191" s="61" t="s">
        <v>10</v>
      </c>
      <c r="E191" s="62">
        <v>4.2</v>
      </c>
      <c r="F191" s="63">
        <f>TRUNC(G196,2)</f>
        <v>890.28</v>
      </c>
      <c r="G191" s="63">
        <f>TRUNC(F191*1.2247,2)</f>
        <v>1090.32</v>
      </c>
      <c r="H191" s="63">
        <f>TRUNC(F191*E191,2)</f>
        <v>3739.17</v>
      </c>
      <c r="I191" s="64">
        <f>TRUNC(E191*G191,2)</f>
        <v>4579.34</v>
      </c>
      <c r="J191" s="65">
        <v>4174.29</v>
      </c>
      <c r="K191" s="66"/>
    </row>
    <row r="192" spans="1:11" s="82" customFormat="1" ht="13.5">
      <c r="A192" s="75"/>
      <c r="B192" s="76" t="s">
        <v>440</v>
      </c>
      <c r="C192" s="77" t="s">
        <v>441</v>
      </c>
      <c r="D192" s="78" t="s">
        <v>19</v>
      </c>
      <c r="E192" s="79">
        <v>0</v>
      </c>
      <c r="F192" s="80">
        <f>TRUNC(15.0058,2)</f>
        <v>15</v>
      </c>
      <c r="G192" s="80">
        <f>TRUNC(E192*F192,2)</f>
        <v>0</v>
      </c>
      <c r="H192" s="80"/>
      <c r="I192" s="81"/>
      <c r="K192" s="72"/>
    </row>
    <row r="193" spans="1:11" s="82" customFormat="1" ht="27">
      <c r="A193" s="75"/>
      <c r="B193" s="76" t="s">
        <v>432</v>
      </c>
      <c r="C193" s="77" t="s">
        <v>433</v>
      </c>
      <c r="D193" s="78" t="s">
        <v>19</v>
      </c>
      <c r="E193" s="79">
        <v>0</v>
      </c>
      <c r="F193" s="80">
        <f>TRUNC(10.603,2)</f>
        <v>10.6</v>
      </c>
      <c r="G193" s="80">
        <f>TRUNC(E193*F193,2)</f>
        <v>0</v>
      </c>
      <c r="H193" s="80"/>
      <c r="I193" s="81"/>
      <c r="K193" s="72"/>
    </row>
    <row r="194" spans="1:11" s="28" customFormat="1" ht="13.5">
      <c r="A194" s="48"/>
      <c r="B194" s="25" t="s">
        <v>496</v>
      </c>
      <c r="C194" s="16" t="s">
        <v>497</v>
      </c>
      <c r="D194" s="49" t="s">
        <v>4</v>
      </c>
      <c r="E194" s="17">
        <v>21.63</v>
      </c>
      <c r="F194" s="18">
        <f>TRUNC(24.61,2)</f>
        <v>24.61</v>
      </c>
      <c r="G194" s="18">
        <f>TRUNC(E194*F194,2)</f>
        <v>532.31</v>
      </c>
      <c r="H194" s="18"/>
      <c r="I194" s="19"/>
      <c r="K194" s="20"/>
    </row>
    <row r="195" spans="1:11" s="28" customFormat="1" ht="13.5">
      <c r="A195" s="48"/>
      <c r="B195" s="25" t="s">
        <v>498</v>
      </c>
      <c r="C195" s="16" t="s">
        <v>499</v>
      </c>
      <c r="D195" s="49" t="s">
        <v>4</v>
      </c>
      <c r="E195" s="17">
        <v>21.63</v>
      </c>
      <c r="F195" s="18">
        <f>TRUNC(16.55,2)</f>
        <v>16.55</v>
      </c>
      <c r="G195" s="18">
        <f>TRUNC(E195*F195,2)</f>
        <v>357.97</v>
      </c>
      <c r="H195" s="18"/>
      <c r="I195" s="19"/>
      <c r="K195" s="20"/>
    </row>
    <row r="196" spans="1:11" s="28" customFormat="1" ht="13.5">
      <c r="A196" s="48"/>
      <c r="B196" s="25"/>
      <c r="C196" s="16"/>
      <c r="D196" s="49"/>
      <c r="E196" s="17" t="s">
        <v>16</v>
      </c>
      <c r="F196" s="18"/>
      <c r="G196" s="18">
        <f>TRUNC(SUM(G192:G195),2)</f>
        <v>890.28</v>
      </c>
      <c r="H196" s="18"/>
      <c r="I196" s="19"/>
      <c r="K196" s="20"/>
    </row>
    <row r="197" spans="1:11" s="65" customFormat="1" ht="54.75">
      <c r="A197" s="58" t="s">
        <v>528</v>
      </c>
      <c r="B197" s="59" t="s">
        <v>525</v>
      </c>
      <c r="C197" s="60" t="s">
        <v>500</v>
      </c>
      <c r="D197" s="61" t="s">
        <v>10</v>
      </c>
      <c r="E197" s="62">
        <v>15.56</v>
      </c>
      <c r="F197" s="63">
        <f>TRUNC(G201,2)</f>
        <v>339.15</v>
      </c>
      <c r="G197" s="63">
        <f>TRUNC(F197*1.2247,2)</f>
        <v>415.35</v>
      </c>
      <c r="H197" s="63">
        <f>TRUNC(F197*E197,2)</f>
        <v>5277.17</v>
      </c>
      <c r="I197" s="64">
        <f>TRUNC(E197*G197,2)</f>
        <v>6462.84</v>
      </c>
      <c r="J197" s="65">
        <v>5891.17</v>
      </c>
      <c r="K197" s="66"/>
    </row>
    <row r="198" spans="1:9" s="9" customFormat="1" ht="27">
      <c r="A198" s="68"/>
      <c r="B198" s="69" t="s">
        <v>432</v>
      </c>
      <c r="C198" s="70" t="s">
        <v>433</v>
      </c>
      <c r="D198" s="71" t="s">
        <v>19</v>
      </c>
      <c r="E198" s="69">
        <v>0</v>
      </c>
      <c r="F198" s="69">
        <f>TRUNC(10.603,2)</f>
        <v>10.6</v>
      </c>
      <c r="G198" s="69">
        <f>TRUNC(E198*F198,2)</f>
        <v>0</v>
      </c>
      <c r="H198" s="72"/>
      <c r="I198" s="72"/>
    </row>
    <row r="199" spans="1:11" s="28" customFormat="1" ht="13.5">
      <c r="A199" s="48"/>
      <c r="B199" s="25" t="s">
        <v>496</v>
      </c>
      <c r="C199" s="16" t="s">
        <v>497</v>
      </c>
      <c r="D199" s="49" t="s">
        <v>4</v>
      </c>
      <c r="E199" s="17">
        <v>8.24</v>
      </c>
      <c r="F199" s="18">
        <f>TRUNC(24.61,2)</f>
        <v>24.61</v>
      </c>
      <c r="G199" s="18">
        <f>TRUNC(E199*F199,2)</f>
        <v>202.78</v>
      </c>
      <c r="H199" s="18"/>
      <c r="I199" s="19"/>
      <c r="K199" s="20"/>
    </row>
    <row r="200" spans="1:11" s="28" customFormat="1" ht="13.5">
      <c r="A200" s="48"/>
      <c r="B200" s="25" t="s">
        <v>171</v>
      </c>
      <c r="C200" s="16" t="s">
        <v>172</v>
      </c>
      <c r="D200" s="49" t="s">
        <v>4</v>
      </c>
      <c r="E200" s="17">
        <v>8.24</v>
      </c>
      <c r="F200" s="18">
        <f>TRUNC(16.55,2)</f>
        <v>16.55</v>
      </c>
      <c r="G200" s="18">
        <f>TRUNC(E200*F200,2)</f>
        <v>136.37</v>
      </c>
      <c r="H200" s="18"/>
      <c r="I200" s="19"/>
      <c r="K200" s="20"/>
    </row>
    <row r="201" spans="1:11" s="28" customFormat="1" ht="13.5">
      <c r="A201" s="48"/>
      <c r="B201" s="25"/>
      <c r="C201" s="16"/>
      <c r="D201" s="49"/>
      <c r="E201" s="17" t="s">
        <v>16</v>
      </c>
      <c r="F201" s="18"/>
      <c r="G201" s="18">
        <f>TRUNC(SUM(G198:G200),2)</f>
        <v>339.15</v>
      </c>
      <c r="H201" s="18"/>
      <c r="I201" s="19"/>
      <c r="K201" s="20"/>
    </row>
    <row r="202" spans="1:11" s="65" customFormat="1" ht="13.5">
      <c r="A202" s="58" t="s">
        <v>529</v>
      </c>
      <c r="B202" s="59" t="s">
        <v>501</v>
      </c>
      <c r="C202" s="60" t="s">
        <v>435</v>
      </c>
      <c r="D202" s="61" t="s">
        <v>14</v>
      </c>
      <c r="E202" s="62">
        <v>1</v>
      </c>
      <c r="F202" s="63">
        <f>TRUNC(G205,2)</f>
        <v>17.37</v>
      </c>
      <c r="G202" s="63">
        <f>TRUNC(F202*1.2247,2)</f>
        <v>21.27</v>
      </c>
      <c r="H202" s="63">
        <f>TRUNC(F202*E202,2)</f>
        <v>17.37</v>
      </c>
      <c r="I202" s="64">
        <f>TRUNC(E202*G202,2)</f>
        <v>21.27</v>
      </c>
      <c r="K202" s="66"/>
    </row>
    <row r="203" spans="1:11" s="28" customFormat="1" ht="13.5">
      <c r="A203" s="48"/>
      <c r="B203" s="25" t="s">
        <v>171</v>
      </c>
      <c r="C203" s="16" t="s">
        <v>172</v>
      </c>
      <c r="D203" s="49" t="s">
        <v>4</v>
      </c>
      <c r="E203" s="17">
        <v>0.4223</v>
      </c>
      <c r="F203" s="18">
        <f>TRUNC(16.55,2)</f>
        <v>16.55</v>
      </c>
      <c r="G203" s="18">
        <f>TRUNC(E203*F203,2)</f>
        <v>6.98</v>
      </c>
      <c r="H203" s="18"/>
      <c r="I203" s="19"/>
      <c r="J203" s="28">
        <v>19.38</v>
      </c>
      <c r="K203" s="20"/>
    </row>
    <row r="204" spans="1:11" s="28" customFormat="1" ht="27">
      <c r="A204" s="48"/>
      <c r="B204" s="25" t="s">
        <v>502</v>
      </c>
      <c r="C204" s="16" t="s">
        <v>503</v>
      </c>
      <c r="D204" s="49" t="s">
        <v>4</v>
      </c>
      <c r="E204" s="17">
        <v>0.4223</v>
      </c>
      <c r="F204" s="18">
        <f>TRUNC(24.61,2)</f>
        <v>24.61</v>
      </c>
      <c r="G204" s="18">
        <f>TRUNC(E204*F204,2)</f>
        <v>10.39</v>
      </c>
      <c r="H204" s="18"/>
      <c r="I204" s="19"/>
      <c r="K204" s="20"/>
    </row>
    <row r="205" spans="1:11" s="28" customFormat="1" ht="13.5">
      <c r="A205" s="48"/>
      <c r="B205" s="25"/>
      <c r="C205" s="16"/>
      <c r="D205" s="49"/>
      <c r="E205" s="17" t="s">
        <v>16</v>
      </c>
      <c r="F205" s="18"/>
      <c r="G205" s="18">
        <f>TRUNC(SUM(G203:G204),2)</f>
        <v>17.37</v>
      </c>
      <c r="H205" s="18"/>
      <c r="I205" s="19"/>
      <c r="K205" s="20"/>
    </row>
    <row r="206" spans="1:11" s="65" customFormat="1" ht="27">
      <c r="A206" s="58" t="s">
        <v>530</v>
      </c>
      <c r="B206" s="59" t="s">
        <v>526</v>
      </c>
      <c r="C206" s="60" t="s">
        <v>487</v>
      </c>
      <c r="D206" s="61" t="s">
        <v>14</v>
      </c>
      <c r="E206" s="62">
        <v>2</v>
      </c>
      <c r="F206" s="63">
        <f>TRUNC(G211,2)</f>
        <v>17.51</v>
      </c>
      <c r="G206" s="63">
        <f>TRUNC(F206*1.2247,2)</f>
        <v>21.44</v>
      </c>
      <c r="H206" s="63">
        <f>TRUNC(F206*E206,2)</f>
        <v>35.02</v>
      </c>
      <c r="I206" s="64">
        <f>TRUNC(E206*G206,2)</f>
        <v>42.88</v>
      </c>
      <c r="K206" s="66"/>
    </row>
    <row r="207" spans="1:10" s="9" customFormat="1" ht="27">
      <c r="A207" s="68"/>
      <c r="B207" s="69" t="s">
        <v>504</v>
      </c>
      <c r="C207" s="70" t="s">
        <v>489</v>
      </c>
      <c r="D207" s="71" t="s">
        <v>14</v>
      </c>
      <c r="E207" s="69">
        <v>0</v>
      </c>
      <c r="F207" s="69">
        <f>TRUNC(26.91,2)</f>
        <v>26.91</v>
      </c>
      <c r="G207" s="69">
        <f>TRUNC(E207*F207,2)</f>
        <v>0</v>
      </c>
      <c r="H207" s="72"/>
      <c r="I207" s="72"/>
      <c r="J207" s="9">
        <v>40.52</v>
      </c>
    </row>
    <row r="208" spans="1:11" s="82" customFormat="1" ht="27">
      <c r="A208" s="75"/>
      <c r="B208" s="76" t="s">
        <v>505</v>
      </c>
      <c r="C208" s="77" t="s">
        <v>491</v>
      </c>
      <c r="D208" s="78" t="s">
        <v>14</v>
      </c>
      <c r="E208" s="79">
        <v>0</v>
      </c>
      <c r="F208" s="80">
        <f>TRUNC(0.61,2)</f>
        <v>0.61</v>
      </c>
      <c r="G208" s="80">
        <f>TRUNC(E208*F208,2)</f>
        <v>0</v>
      </c>
      <c r="H208" s="80"/>
      <c r="I208" s="81"/>
      <c r="K208" s="72"/>
    </row>
    <row r="209" spans="1:11" s="28" customFormat="1" ht="13.5">
      <c r="A209" s="48"/>
      <c r="B209" s="25" t="s">
        <v>313</v>
      </c>
      <c r="C209" s="16" t="s">
        <v>35</v>
      </c>
      <c r="D209" s="49" t="s">
        <v>4</v>
      </c>
      <c r="E209" s="17">
        <v>0.1494</v>
      </c>
      <c r="F209" s="18">
        <f>TRUNC(23.75,2)</f>
        <v>23.75</v>
      </c>
      <c r="G209" s="18">
        <f>TRUNC(E209*F209,2)</f>
        <v>3.54</v>
      </c>
      <c r="H209" s="18"/>
      <c r="I209" s="19"/>
      <c r="K209" s="20"/>
    </row>
    <row r="210" spans="1:11" s="28" customFormat="1" ht="13.5">
      <c r="A210" s="48"/>
      <c r="B210" s="25" t="s">
        <v>506</v>
      </c>
      <c r="C210" s="16" t="s">
        <v>477</v>
      </c>
      <c r="D210" s="49" t="s">
        <v>4</v>
      </c>
      <c r="E210" s="17">
        <v>0.4743</v>
      </c>
      <c r="F210" s="18">
        <f>TRUNC(29.46,2)</f>
        <v>29.46</v>
      </c>
      <c r="G210" s="18">
        <f>TRUNC(E210*F210,2)</f>
        <v>13.97</v>
      </c>
      <c r="H210" s="18"/>
      <c r="I210" s="19"/>
      <c r="K210" s="20"/>
    </row>
    <row r="211" spans="1:11" s="28" customFormat="1" ht="13.5">
      <c r="A211" s="48"/>
      <c r="B211" s="25"/>
      <c r="C211" s="16"/>
      <c r="D211" s="49"/>
      <c r="E211" s="17" t="s">
        <v>16</v>
      </c>
      <c r="F211" s="18"/>
      <c r="G211" s="18">
        <f>TRUNC(SUM(G207:G210),2)</f>
        <v>17.51</v>
      </c>
      <c r="H211" s="18"/>
      <c r="I211" s="19"/>
      <c r="K211" s="20"/>
    </row>
    <row r="212" spans="1:11" s="65" customFormat="1" ht="27">
      <c r="A212" s="58" t="s">
        <v>531</v>
      </c>
      <c r="B212" s="59" t="s">
        <v>507</v>
      </c>
      <c r="C212" s="60" t="s">
        <v>445</v>
      </c>
      <c r="D212" s="61" t="s">
        <v>14</v>
      </c>
      <c r="E212" s="62">
        <v>1</v>
      </c>
      <c r="F212" s="63">
        <f>TRUNC(G216,2)</f>
        <v>4785.68</v>
      </c>
      <c r="G212" s="63">
        <f>TRUNC(F212*1.2247,2)</f>
        <v>5861.02</v>
      </c>
      <c r="H212" s="63">
        <f>TRUNC(F212*E212,2)</f>
        <v>4785.68</v>
      </c>
      <c r="I212" s="64">
        <f>TRUNC(E212*G212,2)</f>
        <v>5861.02</v>
      </c>
      <c r="K212" s="66"/>
    </row>
    <row r="213" spans="1:11" s="28" customFormat="1" ht="41.25">
      <c r="A213" s="48"/>
      <c r="B213" s="25" t="s">
        <v>508</v>
      </c>
      <c r="C213" s="16" t="s">
        <v>447</v>
      </c>
      <c r="D213" s="49" t="s">
        <v>14</v>
      </c>
      <c r="E213" s="17">
        <v>1</v>
      </c>
      <c r="F213" s="18">
        <f>TRUNC(4489.04,2)</f>
        <v>4489.04</v>
      </c>
      <c r="G213" s="18">
        <f>TRUNC(E213*F213,2)</f>
        <v>4489.04</v>
      </c>
      <c r="H213" s="18"/>
      <c r="I213" s="19"/>
      <c r="J213" s="28">
        <v>6127.63</v>
      </c>
      <c r="K213" s="20"/>
    </row>
    <row r="214" spans="1:11" s="28" customFormat="1" ht="13.5">
      <c r="A214" s="48"/>
      <c r="B214" s="25" t="s">
        <v>509</v>
      </c>
      <c r="C214" s="16" t="s">
        <v>449</v>
      </c>
      <c r="D214" s="49" t="s">
        <v>4</v>
      </c>
      <c r="E214" s="17">
        <v>5.4904</v>
      </c>
      <c r="F214" s="18">
        <f>TRUNC(30.39,2)</f>
        <v>30.39</v>
      </c>
      <c r="G214" s="18">
        <f>TRUNC(E214*F214,2)</f>
        <v>166.85</v>
      </c>
      <c r="H214" s="18"/>
      <c r="I214" s="19"/>
      <c r="K214" s="20"/>
    </row>
    <row r="215" spans="1:11" s="28" customFormat="1" ht="13.5">
      <c r="A215" s="48"/>
      <c r="B215" s="25" t="s">
        <v>510</v>
      </c>
      <c r="C215" s="16" t="s">
        <v>451</v>
      </c>
      <c r="D215" s="49" t="s">
        <v>4</v>
      </c>
      <c r="E215" s="17">
        <v>5.4904</v>
      </c>
      <c r="F215" s="18">
        <f>TRUNC(23.64,2)</f>
        <v>23.64</v>
      </c>
      <c r="G215" s="18">
        <f>TRUNC(E215*F215,2)</f>
        <v>129.79</v>
      </c>
      <c r="H215" s="18"/>
      <c r="I215" s="19"/>
      <c r="K215" s="20"/>
    </row>
    <row r="216" spans="1:11" s="28" customFormat="1" ht="13.5">
      <c r="A216" s="48"/>
      <c r="B216" s="25"/>
      <c r="C216" s="16"/>
      <c r="D216" s="49"/>
      <c r="E216" s="17" t="s">
        <v>16</v>
      </c>
      <c r="F216" s="18"/>
      <c r="G216" s="18">
        <f>TRUNC(SUM(G213:G215),2)</f>
        <v>4785.68</v>
      </c>
      <c r="H216" s="18"/>
      <c r="I216" s="19"/>
      <c r="K216" s="20"/>
    </row>
    <row r="217" spans="1:11" s="65" customFormat="1" ht="27">
      <c r="A217" s="58" t="s">
        <v>532</v>
      </c>
      <c r="B217" s="59" t="s">
        <v>511</v>
      </c>
      <c r="C217" s="60" t="s">
        <v>453</v>
      </c>
      <c r="D217" s="61" t="s">
        <v>14</v>
      </c>
      <c r="E217" s="62">
        <v>1</v>
      </c>
      <c r="F217" s="63">
        <f>TRUNC(G231,2)</f>
        <v>294.07</v>
      </c>
      <c r="G217" s="63">
        <f>TRUNC(F217*1.2247,2)</f>
        <v>360.14</v>
      </c>
      <c r="H217" s="63">
        <f>TRUNC(F217*E217,2)</f>
        <v>294.07</v>
      </c>
      <c r="I217" s="64">
        <f>TRUNC(E217*G217,2)</f>
        <v>360.14</v>
      </c>
      <c r="K217" s="66"/>
    </row>
    <row r="218" spans="1:11" s="28" customFormat="1" ht="13.5">
      <c r="A218" s="48"/>
      <c r="B218" s="25" t="s">
        <v>512</v>
      </c>
      <c r="C218" s="16" t="s">
        <v>455</v>
      </c>
      <c r="D218" s="49" t="s">
        <v>14</v>
      </c>
      <c r="E218" s="17">
        <v>0.858</v>
      </c>
      <c r="F218" s="18">
        <f>TRUNC(1.79,2)</f>
        <v>1.79</v>
      </c>
      <c r="G218" s="18">
        <f aca="true" t="shared" si="6" ref="G218:G230">TRUNC(E218*F218,2)</f>
        <v>1.53</v>
      </c>
      <c r="H218" s="18"/>
      <c r="I218" s="19"/>
      <c r="J218" s="28">
        <v>361.73</v>
      </c>
      <c r="K218" s="20"/>
    </row>
    <row r="219" spans="1:11" s="28" customFormat="1" ht="13.5">
      <c r="A219" s="48"/>
      <c r="B219" s="25" t="s">
        <v>513</v>
      </c>
      <c r="C219" s="16" t="s">
        <v>457</v>
      </c>
      <c r="D219" s="49" t="s">
        <v>14</v>
      </c>
      <c r="E219" s="17">
        <v>0.209</v>
      </c>
      <c r="F219" s="18">
        <f>TRUNC(82.38,2)</f>
        <v>82.38</v>
      </c>
      <c r="G219" s="18">
        <f t="shared" si="6"/>
        <v>17.21</v>
      </c>
      <c r="H219" s="18"/>
      <c r="I219" s="19"/>
      <c r="K219" s="20"/>
    </row>
    <row r="220" spans="1:11" s="28" customFormat="1" ht="13.5">
      <c r="A220" s="48"/>
      <c r="B220" s="25" t="s">
        <v>514</v>
      </c>
      <c r="C220" s="16" t="s">
        <v>459</v>
      </c>
      <c r="D220" s="49" t="s">
        <v>14</v>
      </c>
      <c r="E220" s="17">
        <v>0.8481</v>
      </c>
      <c r="F220" s="18">
        <f>TRUNC(23.73,2)</f>
        <v>23.73</v>
      </c>
      <c r="G220" s="18">
        <f t="shared" si="6"/>
        <v>20.12</v>
      </c>
      <c r="H220" s="18"/>
      <c r="I220" s="19"/>
      <c r="K220" s="20"/>
    </row>
    <row r="221" spans="1:11" s="28" customFormat="1" ht="13.5">
      <c r="A221" s="48"/>
      <c r="B221" s="25" t="s">
        <v>515</v>
      </c>
      <c r="C221" s="16" t="s">
        <v>461</v>
      </c>
      <c r="D221" s="49" t="s">
        <v>9</v>
      </c>
      <c r="E221" s="17">
        <v>0.9553</v>
      </c>
      <c r="F221" s="18">
        <f>TRUNC(15.95,2)</f>
        <v>15.95</v>
      </c>
      <c r="G221" s="18">
        <f t="shared" si="6"/>
        <v>15.23</v>
      </c>
      <c r="H221" s="18"/>
      <c r="I221" s="19"/>
      <c r="K221" s="20"/>
    </row>
    <row r="222" spans="1:11" s="28" customFormat="1" ht="13.5">
      <c r="A222" s="48"/>
      <c r="B222" s="25" t="s">
        <v>516</v>
      </c>
      <c r="C222" s="16" t="s">
        <v>463</v>
      </c>
      <c r="D222" s="49" t="s">
        <v>9</v>
      </c>
      <c r="E222" s="17">
        <v>5.8911</v>
      </c>
      <c r="F222" s="18">
        <f>TRUNC(4.26,2)</f>
        <v>4.26</v>
      </c>
      <c r="G222" s="18">
        <f t="shared" si="6"/>
        <v>25.09</v>
      </c>
      <c r="H222" s="18"/>
      <c r="I222" s="19"/>
      <c r="K222" s="20"/>
    </row>
    <row r="223" spans="1:11" s="28" customFormat="1" ht="13.5">
      <c r="A223" s="48"/>
      <c r="B223" s="25" t="s">
        <v>517</v>
      </c>
      <c r="C223" s="16" t="s">
        <v>465</v>
      </c>
      <c r="D223" s="49" t="s">
        <v>14</v>
      </c>
      <c r="E223" s="17">
        <v>1</v>
      </c>
      <c r="F223" s="18">
        <f>TRUNC(11.59,2)</f>
        <v>11.59</v>
      </c>
      <c r="G223" s="18">
        <f t="shared" si="6"/>
        <v>11.59</v>
      </c>
      <c r="H223" s="18"/>
      <c r="I223" s="19"/>
      <c r="K223" s="20"/>
    </row>
    <row r="224" spans="1:11" s="28" customFormat="1" ht="13.5">
      <c r="A224" s="48"/>
      <c r="B224" s="25" t="s">
        <v>518</v>
      </c>
      <c r="C224" s="16" t="s">
        <v>467</v>
      </c>
      <c r="D224" s="49" t="s">
        <v>14</v>
      </c>
      <c r="E224" s="17">
        <v>2</v>
      </c>
      <c r="F224" s="18">
        <f>TRUNC(20.08,2)</f>
        <v>20.08</v>
      </c>
      <c r="G224" s="18">
        <f t="shared" si="6"/>
        <v>40.16</v>
      </c>
      <c r="H224" s="18"/>
      <c r="I224" s="19"/>
      <c r="K224" s="20"/>
    </row>
    <row r="225" spans="1:11" s="28" customFormat="1" ht="13.5">
      <c r="A225" s="48"/>
      <c r="B225" s="25" t="s">
        <v>519</v>
      </c>
      <c r="C225" s="16" t="s">
        <v>469</v>
      </c>
      <c r="D225" s="49" t="s">
        <v>14</v>
      </c>
      <c r="E225" s="17">
        <v>2</v>
      </c>
      <c r="F225" s="18">
        <f>TRUNC(6.44,2)</f>
        <v>6.44</v>
      </c>
      <c r="G225" s="18">
        <f t="shared" si="6"/>
        <v>12.88</v>
      </c>
      <c r="H225" s="18"/>
      <c r="I225" s="19"/>
      <c r="K225" s="20"/>
    </row>
    <row r="226" spans="1:11" s="28" customFormat="1" ht="13.5">
      <c r="A226" s="48"/>
      <c r="B226" s="25" t="s">
        <v>520</v>
      </c>
      <c r="C226" s="16" t="s">
        <v>471</v>
      </c>
      <c r="D226" s="49" t="s">
        <v>14</v>
      </c>
      <c r="E226" s="17">
        <v>4</v>
      </c>
      <c r="F226" s="18">
        <f>TRUNC(0.84,2)</f>
        <v>0.84</v>
      </c>
      <c r="G226" s="18">
        <f t="shared" si="6"/>
        <v>3.36</v>
      </c>
      <c r="H226" s="18"/>
      <c r="I226" s="19"/>
      <c r="K226" s="20"/>
    </row>
    <row r="227" spans="1:11" s="28" customFormat="1" ht="13.5">
      <c r="A227" s="48"/>
      <c r="B227" s="25" t="s">
        <v>521</v>
      </c>
      <c r="C227" s="16" t="s">
        <v>473</v>
      </c>
      <c r="D227" s="49" t="s">
        <v>14</v>
      </c>
      <c r="E227" s="17">
        <v>2</v>
      </c>
      <c r="F227" s="18">
        <f>TRUNC(4.78,2)</f>
        <v>4.78</v>
      </c>
      <c r="G227" s="18">
        <f t="shared" si="6"/>
        <v>9.56</v>
      </c>
      <c r="H227" s="18"/>
      <c r="I227" s="19"/>
      <c r="K227" s="20"/>
    </row>
    <row r="228" spans="1:11" s="28" customFormat="1" ht="13.5">
      <c r="A228" s="48"/>
      <c r="B228" s="25" t="s">
        <v>522</v>
      </c>
      <c r="C228" s="16" t="s">
        <v>475</v>
      </c>
      <c r="D228" s="49" t="s">
        <v>14</v>
      </c>
      <c r="E228" s="17">
        <v>4</v>
      </c>
      <c r="F228" s="18">
        <f>TRUNC(1.01,2)</f>
        <v>1.01</v>
      </c>
      <c r="G228" s="18">
        <f t="shared" si="6"/>
        <v>4.04</v>
      </c>
      <c r="H228" s="18"/>
      <c r="I228" s="19"/>
      <c r="K228" s="20"/>
    </row>
    <row r="229" spans="1:11" s="28" customFormat="1" ht="13.5">
      <c r="A229" s="48"/>
      <c r="B229" s="25" t="s">
        <v>506</v>
      </c>
      <c r="C229" s="16" t="s">
        <v>477</v>
      </c>
      <c r="D229" s="49" t="s">
        <v>4</v>
      </c>
      <c r="E229" s="17">
        <v>2.5456</v>
      </c>
      <c r="F229" s="18">
        <f>TRUNC(29.46,2)</f>
        <v>29.46</v>
      </c>
      <c r="G229" s="18">
        <f t="shared" si="6"/>
        <v>74.99</v>
      </c>
      <c r="H229" s="18"/>
      <c r="I229" s="19"/>
      <c r="K229" s="20"/>
    </row>
    <row r="230" spans="1:11" s="28" customFormat="1" ht="13.5">
      <c r="A230" s="48"/>
      <c r="B230" s="25" t="s">
        <v>523</v>
      </c>
      <c r="C230" s="16" t="s">
        <v>479</v>
      </c>
      <c r="D230" s="49" t="s">
        <v>4</v>
      </c>
      <c r="E230" s="17">
        <v>2.5456</v>
      </c>
      <c r="F230" s="18">
        <f>TRUNC(22.91,2)</f>
        <v>22.91</v>
      </c>
      <c r="G230" s="18">
        <f t="shared" si="6"/>
        <v>58.31</v>
      </c>
      <c r="H230" s="18"/>
      <c r="I230" s="19"/>
      <c r="K230" s="20"/>
    </row>
    <row r="231" spans="1:11" s="28" customFormat="1" ht="13.5">
      <c r="A231" s="48"/>
      <c r="B231" s="25"/>
      <c r="C231" s="16"/>
      <c r="D231" s="49"/>
      <c r="E231" s="17" t="s">
        <v>16</v>
      </c>
      <c r="F231" s="18"/>
      <c r="G231" s="18">
        <f>TRUNC(SUM(G218:G230),2)</f>
        <v>294.07</v>
      </c>
      <c r="H231" s="18"/>
      <c r="I231" s="19"/>
      <c r="K231" s="20"/>
    </row>
    <row r="232" spans="1:9" s="9" customFormat="1" ht="13.5">
      <c r="A232" s="31" t="s">
        <v>27</v>
      </c>
      <c r="B232" s="29"/>
      <c r="C232" s="21" t="s">
        <v>410</v>
      </c>
      <c r="D232" s="39"/>
      <c r="E232" s="22"/>
      <c r="F232" s="23"/>
      <c r="G232" s="23"/>
      <c r="H232" s="24">
        <f>H217+H212+H206+H202+H197+H191</f>
        <v>14148.480000000001</v>
      </c>
      <c r="I232" s="24">
        <f>I217+I212+I206+I202+I197+I191</f>
        <v>17327.49</v>
      </c>
    </row>
    <row r="233" spans="1:10" s="74" customFormat="1" ht="13.5">
      <c r="A233" s="73" t="s">
        <v>284</v>
      </c>
      <c r="B233" s="21"/>
      <c r="C233" s="67" t="s">
        <v>250</v>
      </c>
      <c r="D233" s="39"/>
      <c r="E233" s="22"/>
      <c r="F233" s="23"/>
      <c r="G233" s="23"/>
      <c r="H233" s="24"/>
      <c r="I233" s="24"/>
      <c r="J233" s="74">
        <v>16614.719999999998</v>
      </c>
    </row>
    <row r="234" spans="1:11" s="65" customFormat="1" ht="69">
      <c r="A234" s="58" t="s">
        <v>282</v>
      </c>
      <c r="B234" s="59" t="s">
        <v>251</v>
      </c>
      <c r="C234" s="60" t="s">
        <v>252</v>
      </c>
      <c r="D234" s="61" t="s">
        <v>253</v>
      </c>
      <c r="E234" s="62">
        <v>63.72</v>
      </c>
      <c r="F234" s="63">
        <f>TRUNC(G236,2)</f>
        <v>8</v>
      </c>
      <c r="G234" s="63">
        <f>TRUNC(F234*1.2247,2)</f>
        <v>9.79</v>
      </c>
      <c r="H234" s="63">
        <f>TRUNC(F234*E234,2)</f>
        <v>509.76</v>
      </c>
      <c r="I234" s="64">
        <f>TRUNC(E234*G234,2)</f>
        <v>623.81</v>
      </c>
      <c r="K234" s="66"/>
    </row>
    <row r="235" spans="1:11" s="28" customFormat="1" ht="27">
      <c r="A235" s="48"/>
      <c r="B235" s="25" t="s">
        <v>254</v>
      </c>
      <c r="C235" s="16" t="s">
        <v>255</v>
      </c>
      <c r="D235" s="49" t="s">
        <v>253</v>
      </c>
      <c r="E235" s="17">
        <v>1</v>
      </c>
      <c r="F235" s="18">
        <f>TRUNC(8,2)</f>
        <v>8</v>
      </c>
      <c r="G235" s="18">
        <f>TRUNC(E235*F235,2)</f>
        <v>8</v>
      </c>
      <c r="H235" s="18"/>
      <c r="I235" s="19"/>
      <c r="K235" s="20"/>
    </row>
    <row r="236" spans="1:11" s="28" customFormat="1" ht="13.5">
      <c r="A236" s="48"/>
      <c r="B236" s="25"/>
      <c r="C236" s="16"/>
      <c r="D236" s="49"/>
      <c r="E236" s="17" t="s">
        <v>16</v>
      </c>
      <c r="F236" s="18"/>
      <c r="G236" s="18">
        <f>TRUNC(SUM(G235:G235),2)</f>
        <v>8</v>
      </c>
      <c r="H236" s="18"/>
      <c r="I236" s="19"/>
      <c r="K236" s="20"/>
    </row>
    <row r="237" spans="1:11" s="65" customFormat="1" ht="41.25">
      <c r="A237" s="58" t="s">
        <v>283</v>
      </c>
      <c r="B237" s="59" t="s">
        <v>409</v>
      </c>
      <c r="C237" s="60" t="s">
        <v>257</v>
      </c>
      <c r="D237" s="61" t="s">
        <v>14</v>
      </c>
      <c r="E237" s="62">
        <v>2</v>
      </c>
      <c r="F237" s="63">
        <f>TRUNC(G240,2)</f>
        <v>260.22</v>
      </c>
      <c r="G237" s="63">
        <f>TRUNC(F237*1.2247,2)</f>
        <v>318.69</v>
      </c>
      <c r="H237" s="63">
        <f>TRUNC(F237*E237,2)</f>
        <v>520.44</v>
      </c>
      <c r="I237" s="64">
        <f>TRUNC(E237*G237,2)</f>
        <v>637.38</v>
      </c>
      <c r="K237" s="66"/>
    </row>
    <row r="238" spans="1:11" s="28" customFormat="1" ht="13.5">
      <c r="A238" s="48"/>
      <c r="B238" s="25" t="s">
        <v>171</v>
      </c>
      <c r="C238" s="16" t="s">
        <v>172</v>
      </c>
      <c r="D238" s="49" t="s">
        <v>4</v>
      </c>
      <c r="E238" s="17">
        <v>0.618</v>
      </c>
      <c r="F238" s="18">
        <f>TRUNC(16.55,2)</f>
        <v>16.55</v>
      </c>
      <c r="G238" s="18">
        <f>TRUNC(E238*F238,2)</f>
        <v>10.22</v>
      </c>
      <c r="H238" s="18"/>
      <c r="I238" s="19"/>
      <c r="K238" s="20"/>
    </row>
    <row r="239" spans="1:11" s="28" customFormat="1" ht="27">
      <c r="A239" s="48"/>
      <c r="B239" s="25" t="s">
        <v>258</v>
      </c>
      <c r="C239" s="16" t="s">
        <v>259</v>
      </c>
      <c r="D239" s="49" t="s">
        <v>14</v>
      </c>
      <c r="E239" s="17">
        <v>1</v>
      </c>
      <c r="F239" s="18">
        <f>TRUNC(250,2)</f>
        <v>250</v>
      </c>
      <c r="G239" s="18">
        <f>TRUNC(E239*F239,2)</f>
        <v>250</v>
      </c>
      <c r="H239" s="18"/>
      <c r="I239" s="19"/>
      <c r="K239" s="20"/>
    </row>
    <row r="240" spans="1:11" s="28" customFormat="1" ht="13.5">
      <c r="A240" s="48"/>
      <c r="B240" s="25"/>
      <c r="C240" s="16"/>
      <c r="D240" s="49"/>
      <c r="E240" s="17" t="s">
        <v>16</v>
      </c>
      <c r="F240" s="18"/>
      <c r="G240" s="18">
        <f>TRUNC(SUM(G238:G239),2)</f>
        <v>260.22</v>
      </c>
      <c r="H240" s="18"/>
      <c r="I240" s="19"/>
      <c r="K240" s="20"/>
    </row>
    <row r="241" spans="1:9" s="9" customFormat="1" ht="13.5">
      <c r="A241" s="31" t="s">
        <v>27</v>
      </c>
      <c r="B241" s="29"/>
      <c r="C241" s="21" t="s">
        <v>285</v>
      </c>
      <c r="D241" s="39"/>
      <c r="E241" s="22"/>
      <c r="F241" s="23"/>
      <c r="G241" s="23"/>
      <c r="H241" s="24">
        <f>H234+H237</f>
        <v>1030.2</v>
      </c>
      <c r="I241" s="24">
        <f>I234+I237</f>
        <v>1261.19</v>
      </c>
    </row>
    <row r="242" spans="1:9" s="9" customFormat="1" ht="13.5">
      <c r="A242" s="31" t="s">
        <v>27</v>
      </c>
      <c r="B242" s="29"/>
      <c r="C242" s="21" t="s">
        <v>12</v>
      </c>
      <c r="D242" s="39"/>
      <c r="E242" s="22"/>
      <c r="F242" s="23"/>
      <c r="G242" s="23"/>
      <c r="H242" s="24">
        <f>H241+H232+H189+H164+H137+H100</f>
        <v>85017.78</v>
      </c>
      <c r="I242" s="24">
        <f>I241+I232+I189+I164+I137+I100</f>
        <v>104113.87</v>
      </c>
    </row>
    <row r="243" spans="1:9" s="9" customFormat="1" ht="13.5">
      <c r="A243" s="68"/>
      <c r="B243" s="71"/>
      <c r="C243" s="69"/>
      <c r="D243" s="71"/>
      <c r="E243" s="69"/>
      <c r="F243" s="69"/>
      <c r="G243" s="69"/>
      <c r="H243" s="72"/>
      <c r="I243" s="72"/>
    </row>
    <row r="244" spans="1:9" s="9" customFormat="1" ht="13.5">
      <c r="A244" s="68"/>
      <c r="B244" s="71"/>
      <c r="C244" s="69"/>
      <c r="D244" s="71"/>
      <c r="E244" s="69"/>
      <c r="F244" s="69"/>
      <c r="G244" s="69"/>
      <c r="H244" s="72"/>
      <c r="I244" s="72"/>
    </row>
    <row r="245" spans="1:9" s="9" customFormat="1" ht="13.5">
      <c r="A245" s="68"/>
      <c r="B245" s="71"/>
      <c r="C245" s="69"/>
      <c r="D245" s="71"/>
      <c r="E245" s="69"/>
      <c r="F245" s="69"/>
      <c r="G245" s="69"/>
      <c r="H245" s="72"/>
      <c r="I245" s="72"/>
    </row>
    <row r="246" spans="1:9" s="9" customFormat="1" ht="13.5">
      <c r="A246" s="68"/>
      <c r="B246" s="71"/>
      <c r="C246" s="69"/>
      <c r="D246" s="71"/>
      <c r="E246" s="69"/>
      <c r="F246" s="69"/>
      <c r="G246" s="69"/>
      <c r="H246" s="72"/>
      <c r="I246" s="72"/>
    </row>
    <row r="247" spans="1:9" s="9" customFormat="1" ht="13.5">
      <c r="A247" s="68"/>
      <c r="B247" s="71"/>
      <c r="C247" s="69"/>
      <c r="D247" s="71"/>
      <c r="E247" s="69"/>
      <c r="F247" s="69"/>
      <c r="G247" s="69"/>
      <c r="H247" s="72"/>
      <c r="I247" s="72"/>
    </row>
    <row r="248" spans="1:9" s="9" customFormat="1" ht="13.5">
      <c r="A248" s="68"/>
      <c r="B248" s="71"/>
      <c r="C248" s="69"/>
      <c r="D248" s="71"/>
      <c r="E248" s="69"/>
      <c r="F248" s="69"/>
      <c r="G248" s="69"/>
      <c r="H248" s="72"/>
      <c r="I248" s="72"/>
    </row>
    <row r="249" spans="1:9" s="9" customFormat="1" ht="13.5">
      <c r="A249" s="68"/>
      <c r="B249" s="71"/>
      <c r="C249" s="69"/>
      <c r="D249" s="71"/>
      <c r="E249" s="69"/>
      <c r="F249" s="69"/>
      <c r="G249" s="69"/>
      <c r="H249" s="72"/>
      <c r="I249" s="72"/>
    </row>
    <row r="251" ht="13.5">
      <c r="C251" s="57"/>
    </row>
    <row r="252" spans="2:7" ht="41.25">
      <c r="B252" s="35" t="s">
        <v>286</v>
      </c>
      <c r="C252" s="57" t="s">
        <v>287</v>
      </c>
      <c r="D252" s="40" t="s">
        <v>10</v>
      </c>
      <c r="E252" s="26">
        <v>1</v>
      </c>
      <c r="F252" s="26">
        <f>TRUNC(49.1869342,2)</f>
        <v>49.18</v>
      </c>
      <c r="G252" s="26">
        <f aca="true" t="shared" si="7" ref="G252:G260">TRUNC(E252*F252,2)</f>
        <v>49.18</v>
      </c>
    </row>
    <row r="253" spans="2:7" ht="13.5">
      <c r="B253" s="35" t="s">
        <v>288</v>
      </c>
      <c r="C253" s="26" t="s">
        <v>289</v>
      </c>
      <c r="D253" s="40" t="s">
        <v>14</v>
      </c>
      <c r="E253" s="26">
        <v>0.006</v>
      </c>
      <c r="F253" s="26">
        <f>TRUNC(141.57,2)</f>
        <v>141.57</v>
      </c>
      <c r="G253" s="26">
        <f t="shared" si="7"/>
        <v>0.84</v>
      </c>
    </row>
    <row r="254" spans="2:7" ht="13.5">
      <c r="B254" s="35" t="s">
        <v>290</v>
      </c>
      <c r="C254" s="26" t="s">
        <v>291</v>
      </c>
      <c r="D254" s="40" t="s">
        <v>19</v>
      </c>
      <c r="E254" s="26">
        <v>0.165</v>
      </c>
      <c r="F254" s="26">
        <f>TRUNC(5.04,2)</f>
        <v>5.04</v>
      </c>
      <c r="G254" s="26">
        <f t="shared" si="7"/>
        <v>0.83</v>
      </c>
    </row>
    <row r="255" spans="2:7" ht="13.5">
      <c r="B255" s="35" t="s">
        <v>292</v>
      </c>
      <c r="C255" s="26" t="s">
        <v>293</v>
      </c>
      <c r="D255" s="40" t="s">
        <v>19</v>
      </c>
      <c r="E255" s="26">
        <v>0.275</v>
      </c>
      <c r="F255" s="26">
        <f>TRUNC(5.19,2)</f>
        <v>5.19</v>
      </c>
      <c r="G255" s="26">
        <f t="shared" si="7"/>
        <v>1.42</v>
      </c>
    </row>
    <row r="256" spans="2:7" ht="13.5">
      <c r="B256" s="35" t="s">
        <v>294</v>
      </c>
      <c r="C256" s="26" t="s">
        <v>295</v>
      </c>
      <c r="D256" s="40" t="s">
        <v>14</v>
      </c>
      <c r="E256" s="26">
        <v>0.037</v>
      </c>
      <c r="F256" s="26">
        <f>TRUNC(269.64,2)</f>
        <v>269.64</v>
      </c>
      <c r="G256" s="26">
        <f t="shared" si="7"/>
        <v>9.97</v>
      </c>
    </row>
    <row r="257" spans="2:7" ht="13.5">
      <c r="B257" s="35" t="s">
        <v>21</v>
      </c>
      <c r="C257" s="26" t="s">
        <v>22</v>
      </c>
      <c r="D257" s="40" t="s">
        <v>4</v>
      </c>
      <c r="E257" s="26">
        <v>0.5459</v>
      </c>
      <c r="F257" s="26">
        <f>TRUNC(14.34,2)</f>
        <v>14.34</v>
      </c>
      <c r="G257" s="26">
        <f t="shared" si="7"/>
        <v>7.82</v>
      </c>
    </row>
    <row r="258" spans="2:7" ht="13.5">
      <c r="B258" s="35" t="s">
        <v>296</v>
      </c>
      <c r="C258" s="26" t="s">
        <v>297</v>
      </c>
      <c r="D258" s="40" t="s">
        <v>4</v>
      </c>
      <c r="E258" s="26">
        <v>0.21836</v>
      </c>
      <c r="F258" s="26">
        <f>TRUNC(15.11,2)</f>
        <v>15.11</v>
      </c>
      <c r="G258" s="26">
        <f t="shared" si="7"/>
        <v>3.29</v>
      </c>
    </row>
    <row r="259" spans="2:7" ht="13.5">
      <c r="B259" s="35" t="s">
        <v>298</v>
      </c>
      <c r="C259" s="26" t="s">
        <v>299</v>
      </c>
      <c r="D259" s="40" t="s">
        <v>4</v>
      </c>
      <c r="E259" s="26">
        <v>0.066</v>
      </c>
      <c r="F259" s="26">
        <f>TRUNC(156.4108,2)</f>
        <v>156.41</v>
      </c>
      <c r="G259" s="26">
        <f t="shared" si="7"/>
        <v>10.32</v>
      </c>
    </row>
    <row r="260" spans="2:7" ht="13.5">
      <c r="B260" s="35" t="s">
        <v>59</v>
      </c>
      <c r="C260" s="26" t="s">
        <v>60</v>
      </c>
      <c r="D260" s="40" t="s">
        <v>4</v>
      </c>
      <c r="E260" s="26">
        <v>0.106</v>
      </c>
      <c r="F260" s="26">
        <f>TRUNC(138.2193,2)</f>
        <v>138.21</v>
      </c>
      <c r="G260" s="26">
        <f t="shared" si="7"/>
        <v>14.65</v>
      </c>
    </row>
    <row r="261" spans="5:7" ht="13.5">
      <c r="E261" s="26" t="s">
        <v>16</v>
      </c>
      <c r="G261" s="26">
        <f>TRUNC(SUM(G253:G260),2)</f>
        <v>49.14</v>
      </c>
    </row>
    <row r="262" spans="2:7" ht="13.5">
      <c r="B262" s="35" t="s">
        <v>300</v>
      </c>
      <c r="C262" s="26" t="s">
        <v>301</v>
      </c>
      <c r="D262" s="40" t="s">
        <v>10</v>
      </c>
      <c r="E262" s="26">
        <v>1</v>
      </c>
      <c r="F262" s="26">
        <f>TRUNC(565.093,2)</f>
        <v>565.09</v>
      </c>
      <c r="G262" s="26">
        <f aca="true" t="shared" si="8" ref="G262:G267">TRUNC(E262*F262,2)</f>
        <v>565.09</v>
      </c>
    </row>
    <row r="263" spans="2:7" ht="13.5">
      <c r="B263" s="35" t="s">
        <v>302</v>
      </c>
      <c r="C263" s="26" t="s">
        <v>303</v>
      </c>
      <c r="D263" s="40" t="s">
        <v>10</v>
      </c>
      <c r="E263" s="26">
        <v>1</v>
      </c>
      <c r="F263" s="26">
        <f>TRUNC(41.3239,2)</f>
        <v>41.32</v>
      </c>
      <c r="G263" s="26">
        <f t="shared" si="8"/>
        <v>41.32</v>
      </c>
    </row>
    <row r="264" spans="1:11" s="26" customFormat="1" ht="13.5">
      <c r="A264" s="36"/>
      <c r="B264" s="35" t="s">
        <v>304</v>
      </c>
      <c r="C264" s="26" t="s">
        <v>305</v>
      </c>
      <c r="D264" s="40" t="s">
        <v>10</v>
      </c>
      <c r="E264" s="26">
        <v>1</v>
      </c>
      <c r="F264" s="26">
        <f>TRUNC(37.9952,2)</f>
        <v>37.99</v>
      </c>
      <c r="G264" s="26">
        <f t="shared" si="8"/>
        <v>37.99</v>
      </c>
      <c r="I264" s="27"/>
      <c r="J264" s="2"/>
      <c r="K264" s="2"/>
    </row>
    <row r="265" spans="1:11" s="26" customFormat="1" ht="13.5">
      <c r="A265" s="36"/>
      <c r="B265" s="35" t="s">
        <v>306</v>
      </c>
      <c r="C265" s="26" t="s">
        <v>307</v>
      </c>
      <c r="D265" s="40" t="s">
        <v>10</v>
      </c>
      <c r="E265" s="26">
        <v>1</v>
      </c>
      <c r="F265" s="26">
        <f>TRUNC(282.6538,2)</f>
        <v>282.65</v>
      </c>
      <c r="G265" s="26">
        <f t="shared" si="8"/>
        <v>282.65</v>
      </c>
      <c r="I265" s="27"/>
      <c r="J265" s="2"/>
      <c r="K265" s="2"/>
    </row>
    <row r="266" spans="1:11" s="26" customFormat="1" ht="13.5">
      <c r="A266" s="36"/>
      <c r="B266" s="35" t="s">
        <v>308</v>
      </c>
      <c r="C266" s="26" t="s">
        <v>309</v>
      </c>
      <c r="D266" s="40" t="s">
        <v>10</v>
      </c>
      <c r="E266" s="26">
        <v>1</v>
      </c>
      <c r="F266" s="26">
        <f>TRUNC(17.2892,2)</f>
        <v>17.28</v>
      </c>
      <c r="G266" s="26">
        <f t="shared" si="8"/>
        <v>17.28</v>
      </c>
      <c r="I266" s="27"/>
      <c r="J266" s="2"/>
      <c r="K266" s="2"/>
    </row>
    <row r="267" spans="1:11" s="26" customFormat="1" ht="13.5">
      <c r="A267" s="36"/>
      <c r="B267" s="35" t="s">
        <v>310</v>
      </c>
      <c r="C267" s="26" t="s">
        <v>311</v>
      </c>
      <c r="D267" s="40" t="s">
        <v>10</v>
      </c>
      <c r="E267" s="26">
        <v>1</v>
      </c>
      <c r="F267" s="26">
        <f>TRUNC(185.8309,2)</f>
        <v>185.83</v>
      </c>
      <c r="G267" s="26">
        <f t="shared" si="8"/>
        <v>185.83</v>
      </c>
      <c r="I267" s="27"/>
      <c r="J267" s="2"/>
      <c r="K267" s="2"/>
    </row>
    <row r="268" spans="1:11" s="26" customFormat="1" ht="13.5">
      <c r="A268" s="36"/>
      <c r="B268" s="35"/>
      <c r="D268" s="40"/>
      <c r="E268" s="26" t="s">
        <v>16</v>
      </c>
      <c r="G268" s="26">
        <f>TRUNC(SUM(G263:G267),2)</f>
        <v>565.07</v>
      </c>
      <c r="I268" s="27"/>
      <c r="J268" s="2"/>
      <c r="K268" s="2"/>
    </row>
    <row r="273" spans="1:11" s="26" customFormat="1" ht="13.5">
      <c r="A273" s="36"/>
      <c r="B273" s="35"/>
      <c r="C273" s="57"/>
      <c r="D273" s="40"/>
      <c r="I273" s="27"/>
      <c r="J273" s="2"/>
      <c r="K273" s="2"/>
    </row>
    <row r="281" spans="1:11" s="40" customFormat="1" ht="13.5">
      <c r="A281" s="36"/>
      <c r="B281" s="35"/>
      <c r="C281" s="57"/>
      <c r="E281" s="26"/>
      <c r="F281" s="26"/>
      <c r="G281" s="26"/>
      <c r="H281" s="26"/>
      <c r="I281" s="27"/>
      <c r="J281" s="2"/>
      <c r="K281" s="2"/>
    </row>
    <row r="287" spans="1:11" s="40" customFormat="1" ht="13.5">
      <c r="A287" s="36"/>
      <c r="B287" s="35"/>
      <c r="C287" s="57"/>
      <c r="E287" s="26"/>
      <c r="F287" s="26"/>
      <c r="G287" s="26"/>
      <c r="H287" s="26"/>
      <c r="I287" s="27"/>
      <c r="J287" s="2"/>
      <c r="K287" s="2"/>
    </row>
    <row r="296" spans="1:11" s="26" customFormat="1" ht="13.5">
      <c r="A296" s="36"/>
      <c r="B296" s="35"/>
      <c r="C296" s="57"/>
      <c r="D296" s="40"/>
      <c r="I296" s="27"/>
      <c r="J296" s="2"/>
      <c r="K296" s="2"/>
    </row>
    <row r="300" spans="1:11" s="26" customFormat="1" ht="13.5">
      <c r="A300" s="36"/>
      <c r="B300" s="35"/>
      <c r="C300" s="57"/>
      <c r="D300" s="40"/>
      <c r="I300" s="27"/>
      <c r="J300" s="2"/>
      <c r="K300" s="2"/>
    </row>
    <row r="304" spans="1:11" s="26" customFormat="1" ht="13.5">
      <c r="A304" s="36"/>
      <c r="B304" s="35"/>
      <c r="C304" s="57"/>
      <c r="D304" s="40"/>
      <c r="I304" s="27"/>
      <c r="J304" s="2"/>
      <c r="K304" s="2"/>
    </row>
    <row r="308" spans="1:11" s="26" customFormat="1" ht="13.5">
      <c r="A308" s="36"/>
      <c r="B308" s="35" t="s">
        <v>42</v>
      </c>
      <c r="C308" s="26" t="s">
        <v>43</v>
      </c>
      <c r="D308" s="40" t="s">
        <v>10</v>
      </c>
      <c r="E308" s="26">
        <v>1</v>
      </c>
      <c r="F308" s="26">
        <f>TRUNC(36.16533,2)</f>
        <v>36.16</v>
      </c>
      <c r="G308" s="26">
        <f>TRUNC(E308*F308,2)</f>
        <v>36.16</v>
      </c>
      <c r="I308" s="27"/>
      <c r="J308" s="2"/>
      <c r="K308" s="2"/>
    </row>
    <row r="309" spans="1:11" s="26" customFormat="1" ht="13.5">
      <c r="A309" s="36"/>
      <c r="B309" s="35" t="s">
        <v>44</v>
      </c>
      <c r="C309" s="26" t="s">
        <v>45</v>
      </c>
      <c r="D309" s="40" t="s">
        <v>10</v>
      </c>
      <c r="E309" s="26">
        <v>1.02</v>
      </c>
      <c r="F309" s="26">
        <f>TRUNC(25.65,2)</f>
        <v>25.65</v>
      </c>
      <c r="G309" s="26">
        <f>TRUNC(E309*F309,2)</f>
        <v>26.16</v>
      </c>
      <c r="I309" s="27"/>
      <c r="J309" s="2"/>
      <c r="K309" s="2"/>
    </row>
    <row r="310" spans="1:11" s="26" customFormat="1" ht="13.5">
      <c r="A310" s="36"/>
      <c r="B310" s="35" t="s">
        <v>21</v>
      </c>
      <c r="C310" s="26" t="s">
        <v>22</v>
      </c>
      <c r="D310" s="40" t="s">
        <v>4</v>
      </c>
      <c r="E310" s="26">
        <v>0.309</v>
      </c>
      <c r="F310" s="26">
        <f>TRUNC(13.6,2)</f>
        <v>13.6</v>
      </c>
      <c r="G310" s="26">
        <f>TRUNC(E310*F310,2)</f>
        <v>4.2</v>
      </c>
      <c r="I310" s="27"/>
      <c r="J310" s="2"/>
      <c r="K310" s="2"/>
    </row>
    <row r="311" spans="1:11" s="26" customFormat="1" ht="13.5">
      <c r="A311" s="36"/>
      <c r="B311" s="35" t="s">
        <v>25</v>
      </c>
      <c r="C311" s="26" t="s">
        <v>26</v>
      </c>
      <c r="D311" s="40" t="s">
        <v>4</v>
      </c>
      <c r="E311" s="26">
        <v>0.309</v>
      </c>
      <c r="F311" s="26">
        <f>TRUNC(18.77,2)</f>
        <v>18.77</v>
      </c>
      <c r="G311" s="26">
        <f>TRUNC(E311*F311,2)</f>
        <v>5.79</v>
      </c>
      <c r="I311" s="27"/>
      <c r="J311" s="2"/>
      <c r="K311" s="2"/>
    </row>
    <row r="312" spans="1:11" s="26" customFormat="1" ht="13.5">
      <c r="A312" s="36"/>
      <c r="B312" s="35"/>
      <c r="D312" s="40"/>
      <c r="E312" s="26" t="s">
        <v>16</v>
      </c>
      <c r="G312" s="26">
        <f>TRUNC(SUM(G309:G311),2)</f>
        <v>36.15</v>
      </c>
      <c r="I312" s="27"/>
      <c r="J312" s="2"/>
      <c r="K312" s="2"/>
    </row>
  </sheetData>
  <sheetProtection/>
  <mergeCells count="10">
    <mergeCell ref="C14:I14"/>
    <mergeCell ref="A1:F1"/>
    <mergeCell ref="A2:F2"/>
    <mergeCell ref="A3:F3"/>
    <mergeCell ref="A12:A13"/>
    <mergeCell ref="B12:B13"/>
    <mergeCell ref="C12:C13"/>
    <mergeCell ref="D12:D13"/>
    <mergeCell ref="E12:E13"/>
    <mergeCell ref="F12:I12"/>
  </mergeCells>
  <printOptions horizontalCentered="1"/>
  <pageMargins left="0.5905511811023623" right="0.3937007874015748" top="0.3937007874015748" bottom="0.5905511811023623" header="0" footer="0"/>
  <pageSetup horizontalDpi="600" verticalDpi="600" orientation="landscape" paperSize="9" scale="45" r:id="rId2"/>
  <headerFooter alignWithMargins="0">
    <oddFooter>&amp;C&amp;A&amp;RPágina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Usuário</cp:lastModifiedBy>
  <cp:lastPrinted>2022-03-30T14:57:30Z</cp:lastPrinted>
  <dcterms:created xsi:type="dcterms:W3CDTF">1997-01-10T22:22:50Z</dcterms:created>
  <dcterms:modified xsi:type="dcterms:W3CDTF">2022-05-25T14:10:10Z</dcterms:modified>
  <cp:category/>
  <cp:version/>
  <cp:contentType/>
  <cp:contentStatus/>
</cp:coreProperties>
</file>