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355" windowHeight="4395" activeTab="0"/>
  </bookViews>
  <sheets>
    <sheet name="MEMÓRIA ONERADA" sheetId="1" r:id="rId1"/>
    <sheet name="PLANILHA RESUMIDA" sheetId="2" r:id="rId2"/>
    <sheet name="MEMÓRIA DESONERADA" sheetId="3" r:id="rId3"/>
    <sheet name="Cronograma " sheetId="4" r:id="rId4"/>
  </sheets>
  <externalReferences>
    <externalReference r:id="rId7"/>
  </externalReferences>
  <definedNames>
    <definedName name="EXTRACT" localSheetId="3">'Cronograma '!#REF!</definedName>
    <definedName name="_xlnm.Print_Area" localSheetId="3">'Cronograma '!$A$1:$G$28</definedName>
    <definedName name="_xlnm.Print_Area" localSheetId="2">'MEMÓRIA DESONERADA'!$A$1:$I$116</definedName>
    <definedName name="_xlnm.Print_Area" localSheetId="0">'MEMÓRIA ONERADA'!$A$1:$I$128</definedName>
    <definedName name="_xlnm.Print_Area" localSheetId="1">'PLANILHA RESUMIDA'!$A$1:$I$44</definedName>
    <definedName name="BDI" localSheetId="3">#REF!</definedName>
    <definedName name="BDI" localSheetId="2">#REF!</definedName>
    <definedName name="BDI" localSheetId="0">#REF!</definedName>
    <definedName name="BDI" localSheetId="1">#REF!</definedName>
    <definedName name="BDI">#REF!</definedName>
    <definedName name="CRITERIA" localSheetId="3">'Cronograma '!#REF!</definedName>
    <definedName name="_xlnm.Print_Titles" localSheetId="3">'Cronograma '!$10:$12</definedName>
  </definedNames>
  <calcPr fullCalcOnLoad="1"/>
</workbook>
</file>

<file path=xl/sharedStrings.xml><?xml version="1.0" encoding="utf-8"?>
<sst xmlns="http://schemas.openxmlformats.org/spreadsheetml/2006/main" count="778" uniqueCount="272">
  <si>
    <t>M2</t>
  </si>
  <si>
    <t>H</t>
  </si>
  <si>
    <t>TOTAL</t>
  </si>
  <si>
    <t>UN</t>
  </si>
  <si>
    <t>1.0</t>
  </si>
  <si>
    <t>ITEM</t>
  </si>
  <si>
    <t>DESCRIÇÃO</t>
  </si>
  <si>
    <t>QUANT.</t>
  </si>
  <si>
    <t xml:space="preserve">Estado do Rio de Janeiro                                                        </t>
  </si>
  <si>
    <t>Prefeitura Municipal de Barra Mansa</t>
  </si>
  <si>
    <t xml:space="preserve">Secretaria Municipal de Planejamento Urbano </t>
  </si>
  <si>
    <t>APROVAÇÃO: Eng. Eros dos Santos</t>
  </si>
  <si>
    <t>CODIGO EMOP/ SINAPI</t>
  </si>
  <si>
    <t>DISCRIMINAÇÃO</t>
  </si>
  <si>
    <t>PREÇOS (R$)</t>
  </si>
  <si>
    <t>1.1</t>
  </si>
  <si>
    <t>1.2</t>
  </si>
  <si>
    <t>1.3</t>
  </si>
  <si>
    <t>UNIT C/ BDI</t>
  </si>
  <si>
    <t>TOTAL C/ BDI</t>
  </si>
  <si>
    <r>
      <t>Secretaria Municipal de Planejamento Urbano</t>
    </r>
    <r>
      <rPr>
        <sz val="16"/>
        <color indexed="8"/>
        <rFont val="Arial"/>
        <family val="2"/>
      </rPr>
      <t xml:space="preserve"> </t>
    </r>
  </si>
  <si>
    <t>PERÍODO</t>
  </si>
  <si>
    <t>30 DIAS</t>
  </si>
  <si>
    <t>TOTAL DOS</t>
  </si>
  <si>
    <t>FÍSICO</t>
  </si>
  <si>
    <t>FINANCEIRO</t>
  </si>
  <si>
    <t>SERVIÇOS</t>
  </si>
  <si>
    <t>TOTAL DA OBRA POR MEDIÇÃO</t>
  </si>
  <si>
    <t>TOTAL ACUMULADO DA OBRA</t>
  </si>
  <si>
    <t>Desembolso parcial por medição %</t>
  </si>
  <si>
    <t>Desembolso máximo acumulado %</t>
  </si>
  <si>
    <t xml:space="preserve">CRONOGRAMA  FÍSICO-FINANCEIRO  </t>
  </si>
  <si>
    <t>UNIT S/ BDI</t>
  </si>
  <si>
    <t>TOTAL S/ BDI</t>
  </si>
  <si>
    <t>X</t>
  </si>
  <si>
    <t>ORÇAMENTO Nº 021-2021</t>
  </si>
  <si>
    <t>ORÇAMENTO: Engª Fernanda Aparecida Cunha de Souza</t>
  </si>
  <si>
    <t>Orçamentista: Engª Fernanda Aparecida Cunha de Souza</t>
  </si>
  <si>
    <t>Serviço :  Contratação de Empresa para Elaboração de Projeto de Prevenção e Combate a Incendio e Panico</t>
  </si>
  <si>
    <t>Local:  Centro Administrativo Municipal Prefeito Luiz Amaral - CAMPLA</t>
  </si>
  <si>
    <t>16.005.0070-0</t>
  </si>
  <si>
    <t>COBERTURA EM TELHA TERMICA DE GALVALUME,TRAPEZOIDAL,DUPLA COM ESPESSURA DE 30MM,INCLUSIVE TODOS OS ACESSORIOS NECESSARIO S A SUA EXECUCAO.MEDIDA PELA AREA REAL DE COBERTURA.FORNECIMENTO E COLOCACAO (OBS.:3%-DESGASTE DE FERRAMENTAS E EPI).</t>
  </si>
  <si>
    <t>11093</t>
  </si>
  <si>
    <t>TELHA TERMICA DE GALVALUME, TRAPEZOIDALDUPLA, ESPESSURA DE 30MM, LARGURA DE 1,265M</t>
  </si>
  <si>
    <t>11092</t>
  </si>
  <si>
    <t>RUFO DE GALVALUME, TRAPEZOIDAL, MEDIDASAPROXIMADAS DE (1265X2X300X0,7)MM</t>
  </si>
  <si>
    <t>11091</t>
  </si>
  <si>
    <t>PINO RETO DE FERRO GALVANIZADO, COM VEDACAO, DE 5/16"X300MM, PARA FIXACAO DE TELHA</t>
  </si>
  <si>
    <t>11090</t>
  </si>
  <si>
    <t>GOIVA TRAPEZOIDAL ZINCADA DE 5/16", PARATELHA</t>
  </si>
  <si>
    <t>11089</t>
  </si>
  <si>
    <t>CONJUNTO DE VEDACAO ELASTICA, PARA TELHATRAPEZOIDAL DE 5/16"</t>
  </si>
  <si>
    <t>11087</t>
  </si>
  <si>
    <t>CONTRA RUFO DE GALVALUME, TRAPEZOIDAL, 2ABAS DE 0,30M, COM LARGURA DE 1,00M, EMCHAPA COM ESPESSURA APROXIMADA DE 0,7MM</t>
  </si>
  <si>
    <t>M</t>
  </si>
  <si>
    <t>11069</t>
  </si>
  <si>
    <t>CUMEEIRA DE GALVALUME, TRAPEZOIDAL, ACABAMENTO EM VERNIZ EM AMBAS AS FACES, MEDIDAS APROXIMADAS DE (1265X2X300X0,5)MM</t>
  </si>
  <si>
    <t>01975</t>
  </si>
  <si>
    <t>MAO-DE-OBRA DE MONTADOR A (MONTAGEM DE ESTRUTURAS METALICAS), INCLUSIVE ENCARGOSSOCIAIS</t>
  </si>
  <si>
    <t>01921</t>
  </si>
  <si>
    <t>MAO-DE-OBRA DE AJUDANTE DE CONSTRUCAO CIVIL, INCLUSIVE ENCARGOS SOCIAIS</t>
  </si>
  <si>
    <t>07264</t>
  </si>
  <si>
    <t>HASTE DE FIXACAO PARA TELHAS METALICAS COM MEDIDAS APROXIMADAS DE 1/4" X 400MM,COM VEDACAO</t>
  </si>
  <si>
    <t>01999</t>
  </si>
  <si>
    <t>MAO-DE-OBRA DE SERVENTE DA CONSTRUCAO CIVIL, INCLUSIVE ENCARGOS SOCIAIS</t>
  </si>
  <si>
    <t>10.014.0001-0</t>
  </si>
  <si>
    <t>PERFIL SIMPLES "I" OU "H" ATE 8",INCLUSIVE PERDAS.FORNECIMENTO</t>
  </si>
  <si>
    <t>KG</t>
  </si>
  <si>
    <t>01576</t>
  </si>
  <si>
    <t>PERFIL "I" DE ACO CARBONO, PADRAO AMERICANO, PRECO DE REVENDEDOR, DE 6"X3.3/8"</t>
  </si>
  <si>
    <t>CHP</t>
  </si>
  <si>
    <t>ARAME RECOZIDO 16 BWG, D = 1,65 MM (0,016 KG/M) OU 18 BWG, D = 1,25 MM (0,01 KG/M)</t>
  </si>
  <si>
    <t>10.014.0021-0</t>
  </si>
  <si>
    <t>CHAPA DE ACO CARBONO,ESPESSURA DE 5/16",PARA USO GERAL.FORNECIMENTO</t>
  </si>
  <si>
    <t>11268</t>
  </si>
  <si>
    <t>CHAPA ACO CARBONO, COMUM, PARA USO GERAL,TAMANHO PADRAO, BORDA UNIVERSAL, ESPESSURA DE 8,00MM</t>
  </si>
  <si>
    <t>21.050.0045-0</t>
  </si>
  <si>
    <t>CHUMBADOR DE ACO INOXIDAVEL 304,TEC BOLT,TBM 12.100,COMPRIMENTO DE 96MM E DIAMETRO DE 1/2",COM ARRUELA LISA E DE PRESSAO E PORCA,TECNART OU SIMILAR.FORNECIMENTO</t>
  </si>
  <si>
    <t>11753</t>
  </si>
  <si>
    <t>CHUMBADOR DE ACO INOXIDAVEL 304, TIPO TEC BOLT-TBM 12.100, COM COMPRIMENTO DE 96MM, DIAMETRO DE 1/2"</t>
  </si>
  <si>
    <t>16.005.0008-0</t>
  </si>
  <si>
    <t>CUMEEIRA DE GALVALUME,COM ESPESSURA APROXIMADA DE 0,5MM,0,30M DE ABA PARA CADA LADO,PARA TELHAS TRAPEZOIDAIS.FORNECIMENT O E COLOCACAO (OBS.:3%-DESGASTE DE FERRAMENTAS E EPI).</t>
  </si>
  <si>
    <t>14829</t>
  </si>
  <si>
    <t>CUMEEIRA DE GALVALUME TRAPEZOIDAL, COM ABAS IGUAIS DE 30CM E ESPESSURA APROXIMADA DE 0,5MM</t>
  </si>
  <si>
    <t>01990</t>
  </si>
  <si>
    <t>MAO-DE-OBRA DE CARPINTEIRO DE FORMA DE CONCRETO, INCLUSIVE ENCARGOS SOCIAIS</t>
  </si>
  <si>
    <t>16.007.0030-0</t>
  </si>
  <si>
    <t>CALHA EM CHAPA DE ACO GALVANIZADO Nø24 COM 75CM DE DESENVOLVIMENTO.FORNECIMENTO E COLOCACAO (OBS.:3%-DESGASTE DE FERRAMENTAS E EPI).</t>
  </si>
  <si>
    <t>13603</t>
  </si>
  <si>
    <t>REBITE POP, DE (1/8"X3/8"), REF.440, REFAL OU SIMILAR</t>
  </si>
  <si>
    <t>05904</t>
  </si>
  <si>
    <t>PARAFUSO FERRO, ROSCA SOBERBA, CABECA CHATA, DE (3,2X20)MM</t>
  </si>
  <si>
    <t>05448</t>
  </si>
  <si>
    <t>SUPORTE ZINCADO DOBRADO, P/CALHA DE BEIRAL, SEMI-CIRCULAR DE PVC, DE DN=125MM</t>
  </si>
  <si>
    <t>00453</t>
  </si>
  <si>
    <t>PREGO COM OU SEM CABECA, EM CAIXAS DE 50KG, OU QUANTIDADES EQUIVALENTES, N§12X12A 18X30</t>
  </si>
  <si>
    <t>00243</t>
  </si>
  <si>
    <t>ESTANHO EM BARRA</t>
  </si>
  <si>
    <t>00160</t>
  </si>
  <si>
    <t>CHAPA DE ACO CARBONO, GALVANIZADA, PARAUSOS GERAIS, TAMANHO PADRAO, PRECO DE REVENDEDOR, COM ESPESSURA DE 0,5MM</t>
  </si>
  <si>
    <t>01993</t>
  </si>
  <si>
    <t>MAO-DE-OBRA DE BOMBEIRO HIDRAULICO DA CONSTRUCAO CIVIL, INCLUSIVE ENCARGOS SOCIAIS</t>
  </si>
  <si>
    <t>01968</t>
  </si>
  <si>
    <t>MAO-DE-OBRA DE PEDREIRO, INCLUSIVE ENCARGOS SOCIAIS</t>
  </si>
  <si>
    <t>So00000089580</t>
  </si>
  <si>
    <t>TUBO PVC, SÉRIE R, ÁGUA PLUVIAL, DN 150 MM, FORNECIDO E INSTALADO EM CONDUTORES VERTICAIS DE ÁGUAS PLUVIAIS. AF_12/2014</t>
  </si>
  <si>
    <t>So0038383</t>
  </si>
  <si>
    <t>LIXA D'AGUA EM FOLHA, GRAO 100</t>
  </si>
  <si>
    <t>So0009840</t>
  </si>
  <si>
    <t>TUBO PVC, SERIE R, DN 150 MM, PARA ESGOTO OU AGUAS PLUVIAIS PREDIAIS (NBR 5688)</t>
  </si>
  <si>
    <t>So0000122</t>
  </si>
  <si>
    <t>ADESIVO PLASTICO PARA PVC, FRASCO COM 850 GR</t>
  </si>
  <si>
    <t>So0020083</t>
  </si>
  <si>
    <t>SOLUCAO LIMPADORA PARA PVC, FRASCO COM 1000 CM3</t>
  </si>
  <si>
    <t>So00000088267</t>
  </si>
  <si>
    <t>ENCANADOR OU BOMBEIRO HIDRÁULICO COM ENCARGOS COMPLEMENTARES</t>
  </si>
  <si>
    <t>So00000088248</t>
  </si>
  <si>
    <t>AUXILIAR DE ENCANADOR OU BOMBEIRO HIDRÁULICO COM ENCARGOS COMPLEMENTARES</t>
  </si>
  <si>
    <t>INSTALAÇÕES ELÉTRICAS</t>
  </si>
  <si>
    <t>15.008.0085-0</t>
  </si>
  <si>
    <t>CABO DE COBRE FLEXIVEL COM ISOLAMENTO TERMOPLASTICO,COMPREENDENDO:PREPARO,CORTE E ENFIACAO EM ELETRODUTOS,NA BITOLA DE 2 ,5MM2, 450/750V.FORNECIMENTO E COLOCACAO (OBS.:3%-DESGASTE DE FERRAMENTAS E EPI).</t>
  </si>
  <si>
    <t>05707</t>
  </si>
  <si>
    <t>CABO DE COBRE FLEXIVEL COM ISOLAMENTO TERMOPLASTICO, DE 450/750V, DE 2,5MM2</t>
  </si>
  <si>
    <t>02317</t>
  </si>
  <si>
    <t>FITA ISOLANTE, ROLO DE 19MMX20M</t>
  </si>
  <si>
    <t>01983</t>
  </si>
  <si>
    <t>MAO-DE-OBRA DE ELETRICISTA DE CONSTRUCAOCIVIL, INCLUSIVE ENCARGOS SOCIAIS</t>
  </si>
  <si>
    <t>So00000091866</t>
  </si>
  <si>
    <t>ELETRODUTO RÍGIDO ROSCÁVEL, PVC, DN 20 MM (1/2"), PARA CIRCUITOS TERMINAIS, INSTALADO EM LAJE - FORNECIMENTO E INSTALAÇÃO. AF_12/2015</t>
  </si>
  <si>
    <t>So0043132</t>
  </si>
  <si>
    <t>So0002673</t>
  </si>
  <si>
    <t>ELETRODUTO DE PVC RIGIDO ROSCAVEL DE 1/2 ", SEM LUVA</t>
  </si>
  <si>
    <t>So00000088264</t>
  </si>
  <si>
    <t>ELETRICISTA COM ENCARGOS COMPLEMENTARES</t>
  </si>
  <si>
    <t>So00000088247</t>
  </si>
  <si>
    <t>AUXILIAR DE ELETRICISTA COM ENCARGOS COMPLEMENTARES</t>
  </si>
  <si>
    <t>ALVENARIA</t>
  </si>
  <si>
    <t>05.002.0061-0</t>
  </si>
  <si>
    <t>DEMOLICAO COM EQUIPAMENTO DE AR COMPRIMIDO DE LAJE PRE-FABRICADA COMPOSTA DE TIJOLOS CERAMICOS,VIGOTAS,ARMACAO E CAMADA DE CAPEAMENTO,INCLUSIVE EMPILHAMENTO LATERAL DENTRO DO CANTERO DE SERVICO (OBS.:3%-DESGASTE DE FERRAMENTAS E EPI).</t>
  </si>
  <si>
    <t>M3</t>
  </si>
  <si>
    <t>01989</t>
  </si>
  <si>
    <t>MAO-DE-OBRA DE CAVOUQUEIRO, INCLUSIVE ENCARGOS SOCIAIS</t>
  </si>
  <si>
    <t>01970</t>
  </si>
  <si>
    <t>MAO-DE-OBRA DE OPERADOR DE MAQUINA (TRATOR, ETC), INCLUSIVE ENCARGOS SOCIAIS</t>
  </si>
  <si>
    <t>01160</t>
  </si>
  <si>
    <t>19.005.0037-4 ROMPEDOR PNEUMATICO DE 32,6KG DE PESO,EXCLUSIVE OPERADOR,PONTEIRA E MANGUEIRA,(CI)</t>
  </si>
  <si>
    <t>01159</t>
  </si>
  <si>
    <t>19.005.0037-2 ROMPEDOR PNEUMATICO DE 32,6KG DE PESO,EXCLUSIVE OPERADOR,PONTEIRA E MANGUEIRA(CP)</t>
  </si>
  <si>
    <t>01100</t>
  </si>
  <si>
    <t>19.011.0002-3 COMPRESSOR AR 170PCM 40CV (CF)</t>
  </si>
  <si>
    <t>01099</t>
  </si>
  <si>
    <t>19.011.0002-2 COMPRESSOR AR 170PCM 40CV (CP)</t>
  </si>
  <si>
    <t>13.301.0132-0</t>
  </si>
  <si>
    <t>CONTRAPISO,BASE OU CAMADA REGULARIZADORA,EXECUTADA COM ARGAMASSA DE CIMENTO E AREIA,NO TRACO 1:4,NA ESPESSURA DE 5CM (OBS.:3%-DESGASTE DE FERRAMENTAS E EPI).</t>
  </si>
  <si>
    <t>01607</t>
  </si>
  <si>
    <t>07.002.0030-1 ARGAMASSA CIM.,AREIA TRACO 1:4,PREPAROMECANICO</t>
  </si>
  <si>
    <t>So00000097097</t>
  </si>
  <si>
    <t>ACABAMENTO POLIDO PARA PISO DE CONCRETO ARMADO DE ALTA RESISTÊNCIA. AF_09/2017</t>
  </si>
  <si>
    <t>So0043146</t>
  </si>
  <si>
    <t>ENDURECEDOR MINERAL DE BASE CIMENTICIA PARA PISO DE CONCRETO</t>
  </si>
  <si>
    <t>So00000088309</t>
  </si>
  <si>
    <t>PEDREIRO COM ENCARGOS COMPLEMENTARES</t>
  </si>
  <si>
    <t>So00000095282</t>
  </si>
  <si>
    <t>So00000095282 DESEMPENADEIRA DE CONCRETO, PESO DE 75KG, 4 PÁS, MOTOR A GASOLINA, POTÊNCIA 5,5 HP - CHP DIURNO. AF_09/2016</t>
  </si>
  <si>
    <t>So00000089539</t>
  </si>
  <si>
    <t>CURVAR 45 GRAUS, PVC, SERIE R, ÁGUA PLUVIAL, DN 100 MM, JUNTA ELÁSTICA, FORNECIDO E INSTALADO EM RAMAL DE ENCAMINHAMENTO. AF_12/2014</t>
  </si>
  <si>
    <t>So0020078</t>
  </si>
  <si>
    <t>PASTA LUBRIFICANTE PARA TUBOS E CONEXOES COM JUNTA ELASTICA (USO EM PVC, ACO, POLIETILENO E OUTROS) ( DE *400* G)</t>
  </si>
  <si>
    <t>So0000301</t>
  </si>
  <si>
    <t>ANEL BORRACHA PARA TUBO ESGOTO PREDIAL, DN 100 MM (NBR 5688)</t>
  </si>
  <si>
    <t>So0038427</t>
  </si>
  <si>
    <t>CURVA DE PVC, 45 GRAUS, SERIE R, DN 150 MM, PARA ESGOTO PREDIAL</t>
  </si>
  <si>
    <t>So00000089539 ALTERADO</t>
  </si>
  <si>
    <t>COBERTURA DO CIEP 054</t>
  </si>
  <si>
    <t>1.4</t>
  </si>
  <si>
    <t>1.5</t>
  </si>
  <si>
    <t>SUBTOTAL1.0</t>
  </si>
  <si>
    <t>1.6</t>
  </si>
  <si>
    <t>1.7</t>
  </si>
  <si>
    <t>1.8</t>
  </si>
  <si>
    <t>MEMÓRIA DE CÁLCULO  (ONERADO 22,47%)</t>
  </si>
  <si>
    <t>2.0</t>
  </si>
  <si>
    <t>2.1</t>
  </si>
  <si>
    <t>2.2</t>
  </si>
  <si>
    <t>SUBTOTAL 2.0</t>
  </si>
  <si>
    <t>3.0</t>
  </si>
  <si>
    <t>3.1</t>
  </si>
  <si>
    <t>3.2</t>
  </si>
  <si>
    <t>3.3</t>
  </si>
  <si>
    <t>SUBTOTAL: 3.0</t>
  </si>
  <si>
    <t>LEVANTAMENTO DE QUANTITATIVO: Arqª Mariana</t>
  </si>
  <si>
    <t>DATA: 15/09/2021</t>
  </si>
  <si>
    <t>Data-Base:   EMOP -  RJ / SINAPI-RJ- Onerado - Base Julho-2021</t>
  </si>
  <si>
    <t>MEMÓRIA DE CÁLCULO  (DESONERADO 28,82%)</t>
  </si>
  <si>
    <t>16.005.0070-A</t>
  </si>
  <si>
    <t>20102</t>
  </si>
  <si>
    <t>MAO-DE-OBRA DE MONTADOR A (MONTAGEM DE ESTRUTURAS METALICAS), INCLUSIVE ENCARGOSSOCIAIS DESONERADOS</t>
  </si>
  <si>
    <t>20004</t>
  </si>
  <si>
    <t>MAO-DE-OBRA DE AJUDANTE DA CONSTRUCAO CIVIL, INCLUSIVE ENCARGOS SOCIAIS DESONERADOS</t>
  </si>
  <si>
    <t>10.014.0001-A</t>
  </si>
  <si>
    <t>10.014.0021-A</t>
  </si>
  <si>
    <t>21.050.0045-A</t>
  </si>
  <si>
    <t>16.005.0008-A</t>
  </si>
  <si>
    <t>20132</t>
  </si>
  <si>
    <t>MAO-DE-OBRA DE SERVENTE DA CONSTRUCAO CIVIL, INCLUSIVE ENCARGOS SOCIAIS DESONERADOS</t>
  </si>
  <si>
    <t>20046</t>
  </si>
  <si>
    <t>MAO-DE-OBRA DE CARPINTEIRO DE FORMA DE CONCRETO, INCLUSIVE ENCARGOS SOCIAIS DESONERADOS</t>
  </si>
  <si>
    <t>16.007.0030-A</t>
  </si>
  <si>
    <t>20115</t>
  </si>
  <si>
    <t>MAO-DE-OBRA DE PEDREIRO, INCLUSIVE ENCARGOS SOCIAIS DESONERADOS</t>
  </si>
  <si>
    <t>20039</t>
  </si>
  <si>
    <t>MAO-DE-OBRA DE BOMBEIRO HIDRAULICO DA CONSTRUCAO CIVIL, INCLUSIVE ENCARGOS SOCIAIS DESONERADOS</t>
  </si>
  <si>
    <t>SI00000089580</t>
  </si>
  <si>
    <t>0038383</t>
  </si>
  <si>
    <t>0020083</t>
  </si>
  <si>
    <t>0009840</t>
  </si>
  <si>
    <t>0000122</t>
  </si>
  <si>
    <t>SI00000088267</t>
  </si>
  <si>
    <t>SI00000088248</t>
  </si>
  <si>
    <t>SI00000089539</t>
  </si>
  <si>
    <t>0038426</t>
  </si>
  <si>
    <t>CURVA DE PVC, 45 GRAUS, SERIE R, DN 100 MM, PARA ESGOTO OU AGUAS PLUVIAIS PREDIAIS</t>
  </si>
  <si>
    <t>0020078</t>
  </si>
  <si>
    <t>0000301</t>
  </si>
  <si>
    <t>SI00000091866</t>
  </si>
  <si>
    <t>0043132</t>
  </si>
  <si>
    <t>0002673</t>
  </si>
  <si>
    <t>SI00000088264</t>
  </si>
  <si>
    <t>SI00000088247</t>
  </si>
  <si>
    <t>SI00000097097</t>
  </si>
  <si>
    <t>0043146</t>
  </si>
  <si>
    <t>SI00000088309</t>
  </si>
  <si>
    <t>SI00000095282</t>
  </si>
  <si>
    <t>SI00000095282 DESEMPENADEIRA DE CONCRETO, PESO DE 75KG, 4 PÁS, MOTOR A GASOLINA, POTÊNCIA 5,5 HP - CHP DIURNO. AF_09/2016</t>
  </si>
  <si>
    <t>15.008.0085-A</t>
  </si>
  <si>
    <t>20060</t>
  </si>
  <si>
    <t>MAO-DE-OBRA DE ELETRICISTA DA CONSTRUCAOCIVIL, INCLUSIVE ENCARGOS SOCIAIS DESONERADOS</t>
  </si>
  <si>
    <t>05.002.0061-A</t>
  </si>
  <si>
    <t>20111</t>
  </si>
  <si>
    <t>MAO-DE-OBRA DE OPERADOR DE MAQUINA (TRATOR, ETC.), INCLUSIVE ENCARGOS SOCIAIS DESONERADOS</t>
  </si>
  <si>
    <t>20047</t>
  </si>
  <si>
    <t>MAO-DE-OBRA DE CAVOUQUEIRO, INCLUSIVE ENCARGOS SOCIAIS DESONERADOS</t>
  </si>
  <si>
    <t>30808</t>
  </si>
  <si>
    <t>19.011.0002-D COMPRESSOR AR 170PCM 40CV (CF)</t>
  </si>
  <si>
    <t>30807</t>
  </si>
  <si>
    <t>19.011.0002-C COMPRESSOR AR 170PCM 40CV (CP)</t>
  </si>
  <si>
    <t>30609</t>
  </si>
  <si>
    <t>19.005.0037-E ROMPEDOR PNEUMATICO DE 32,6KG DE PESO,EXCLUSIVE OPERADOR,PONTEIRA E MANGUEIRA,(CI)</t>
  </si>
  <si>
    <t>30608</t>
  </si>
  <si>
    <t>19.005.0037-C ROMPEDOR PNEUMATICO DE 32,6KG DE PESO,EXCLUSIVE OPERADOR,PONTEIRA E MANGUEIRA(CP)</t>
  </si>
  <si>
    <t>60 DIAS</t>
  </si>
  <si>
    <t>COBERTURA</t>
  </si>
  <si>
    <t>Data-Base:   EMOP/SINAPI -  RJ- Onerado - Base JUL-2021</t>
  </si>
  <si>
    <t>x</t>
  </si>
  <si>
    <r>
      <t xml:space="preserve">PERFIL SIMPLES "I" OU "H" ATE 8",INCLUSIVE PERDAS.FORNECIMENTO   </t>
    </r>
    <r>
      <rPr>
        <sz val="12"/>
        <color indexed="10"/>
        <rFont val="Arial"/>
        <family val="2"/>
      </rPr>
      <t>(Perfil UDCE 4'' 915,36m - 4.073,35KG
Perfil UDCE 3'' 531,84m - 1.817,12KG, Perfil UDCE 2'' 1.155m - 2.444,75kg)</t>
    </r>
  </si>
  <si>
    <t>Local:  R. João Batista Ataíde, 140 - Vila Maria, Barra Mansa - Ciep 054</t>
  </si>
  <si>
    <t>Serviço :  Cobertura do Ciep 054</t>
  </si>
  <si>
    <t>Serviço: Cobertura do Ciep 054</t>
  </si>
  <si>
    <t>Local: R. João Batista Ataíde, 140 - Vila Maria, Barra Mansa - Ciep 054</t>
  </si>
  <si>
    <t>ORÇAMENTO Nº 022-2021</t>
  </si>
  <si>
    <t xml:space="preserve"> Fernanda Ap. C. de Souza                                                                               Mariana Teixeira Sant'ana</t>
  </si>
  <si>
    <t xml:space="preserve">      Orçamentista                                                                                                           Arquiteta</t>
  </si>
  <si>
    <t xml:space="preserve">    CREA: 2020102605                                                                                              CAU: A134083-2</t>
  </si>
  <si>
    <r>
      <t xml:space="preserve">PERFIL SIMPLES "I" OU "H" ATE 8",INCLUSIVE PERDAS.FORNECIMENTO   </t>
    </r>
    <r>
      <rPr>
        <b/>
        <sz val="12"/>
        <color indexed="10"/>
        <rFont val="Arial"/>
        <family val="2"/>
      </rPr>
      <t>(Perfil UDCE 4'' 886,88m - 3946,62KG
Perfil UDCE 3'' 324,24m - 1.101,9KG, Perfil UDCE 2'' 1.155m - 2.444,75kg)</t>
    </r>
  </si>
  <si>
    <t>1.9</t>
  </si>
  <si>
    <t>55.100.0063-1</t>
  </si>
  <si>
    <t>TELA GALVANIZADA 7,5</t>
  </si>
  <si>
    <t>00190</t>
  </si>
  <si>
    <t>TELA DE ARAME GALVANIZADO FIO N§ 12, MALHA LOSANGO, DE (8X8)CM</t>
  </si>
  <si>
    <t>TELA GALVANIZADA 7,5 FORNECIMENTO E INSTALAÇÃO</t>
  </si>
  <si>
    <t>55.100.0063-6</t>
  </si>
  <si>
    <t>M²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</si>
</sst>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0_ ;[Red]\-#,##0.00\ "/>
    <numFmt numFmtId="171" formatCode="0.0%"/>
    <numFmt numFmtId="172" formatCode="_([$€]* #,##0.00_);_([$€]* \(#,##0.00\);_([$€]* &quot;-&quot;??_);_(@_)"/>
    <numFmt numFmtId="173" formatCode="_(* #,##0.00_);_(* \(#,##0.00\);_(* &quot;-&quot;??_);_(@_)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Switzerland"/>
      <family val="0"/>
    </font>
    <font>
      <sz val="14"/>
      <name val="Switzerland"/>
      <family val="0"/>
    </font>
    <font>
      <sz val="16"/>
      <color indexed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0"/>
      <name val="Switzerland"/>
      <family val="0"/>
    </font>
    <font>
      <sz val="11"/>
      <name val="Switzerland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name val="Calibri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172" fontId="3" fillId="0" borderId="0" applyFont="0" applyFill="0" applyBorder="0" applyAlignment="0" applyProtection="0"/>
    <xf numFmtId="0" fontId="5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21" borderId="5" applyNumberFormat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3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6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 horizontal="center"/>
    </xf>
    <xf numFmtId="49" fontId="62" fillId="33" borderId="10" xfId="56" applyNumberFormat="1" applyFont="1" applyFill="1" applyBorder="1" applyAlignment="1">
      <alignment horizontal="center"/>
      <protection/>
    </xf>
    <xf numFmtId="49" fontId="62" fillId="33" borderId="11" xfId="52" applyNumberFormat="1" applyFont="1" applyFill="1" applyBorder="1">
      <alignment/>
      <protection/>
    </xf>
    <xf numFmtId="4" fontId="63" fillId="33" borderId="11" xfId="52" applyNumberFormat="1" applyFont="1" applyFill="1" applyBorder="1" applyAlignment="1">
      <alignment horizontal="left" readingOrder="1"/>
      <protection/>
    </xf>
    <xf numFmtId="4" fontId="62" fillId="33" borderId="10" xfId="57" applyNumberFormat="1" applyFont="1" applyFill="1" applyBorder="1" applyAlignment="1">
      <alignment horizontal="left" vertical="center"/>
      <protection/>
    </xf>
    <xf numFmtId="4" fontId="62" fillId="33" borderId="11" xfId="0" applyNumberFormat="1" applyFont="1" applyFill="1" applyBorder="1" applyAlignment="1">
      <alignment horizontal="left"/>
    </xf>
    <xf numFmtId="4" fontId="62" fillId="33" borderId="11" xfId="56" applyNumberFormat="1" applyFont="1" applyFill="1" applyBorder="1" applyAlignment="1">
      <alignment horizontal="left"/>
      <protection/>
    </xf>
    <xf numFmtId="4" fontId="62" fillId="33" borderId="12" xfId="56" applyNumberFormat="1" applyFont="1" applyFill="1" applyBorder="1" applyAlignment="1">
      <alignment horizontal="left"/>
      <protection/>
    </xf>
    <xf numFmtId="0" fontId="38" fillId="0" borderId="0" xfId="0" applyFont="1" applyBorder="1" applyAlignment="1">
      <alignment/>
    </xf>
    <xf numFmtId="49" fontId="62" fillId="33" borderId="13" xfId="56" applyNumberFormat="1" applyFont="1" applyFill="1" applyBorder="1" applyAlignment="1">
      <alignment horizontal="center"/>
      <protection/>
    </xf>
    <xf numFmtId="49" fontId="62" fillId="33" borderId="0" xfId="52" applyNumberFormat="1" applyFont="1" applyFill="1" applyBorder="1">
      <alignment/>
      <protection/>
    </xf>
    <xf numFmtId="4" fontId="63" fillId="33" borderId="0" xfId="52" applyNumberFormat="1" applyFont="1" applyFill="1" applyBorder="1" applyAlignment="1">
      <alignment horizontal="left" readingOrder="1"/>
      <protection/>
    </xf>
    <xf numFmtId="4" fontId="62" fillId="33" borderId="13" xfId="57" applyNumberFormat="1" applyFont="1" applyFill="1" applyBorder="1" applyAlignment="1">
      <alignment horizontal="left" vertical="center"/>
      <protection/>
    </xf>
    <xf numFmtId="4" fontId="62" fillId="33" borderId="0" xfId="56" applyNumberFormat="1" applyFont="1" applyFill="1" applyBorder="1" applyAlignment="1">
      <alignment horizontal="left"/>
      <protection/>
    </xf>
    <xf numFmtId="4" fontId="62" fillId="33" borderId="0" xfId="52" applyNumberFormat="1" applyFont="1" applyFill="1" applyBorder="1" applyAlignment="1">
      <alignment horizontal="left"/>
      <protection/>
    </xf>
    <xf numFmtId="4" fontId="62" fillId="33" borderId="14" xfId="52" applyNumberFormat="1" applyFont="1" applyFill="1" applyBorder="1" applyAlignment="1">
      <alignment horizontal="left"/>
      <protection/>
    </xf>
    <xf numFmtId="4" fontId="64" fillId="33" borderId="0" xfId="57" applyNumberFormat="1" applyFont="1" applyFill="1" applyBorder="1" applyAlignment="1">
      <alignment horizontal="left"/>
      <protection/>
    </xf>
    <xf numFmtId="49" fontId="62" fillId="33" borderId="15" xfId="56" applyNumberFormat="1" applyFont="1" applyFill="1" applyBorder="1" applyAlignment="1">
      <alignment horizontal="center"/>
      <protection/>
    </xf>
    <xf numFmtId="49" fontId="62" fillId="33" borderId="16" xfId="57" applyNumberFormat="1" applyFont="1" applyFill="1" applyBorder="1" applyAlignment="1">
      <alignment horizontal="center"/>
      <protection/>
    </xf>
    <xf numFmtId="4" fontId="64" fillId="33" borderId="16" xfId="57" applyNumberFormat="1" applyFont="1" applyFill="1" applyBorder="1" applyAlignment="1">
      <alignment/>
      <protection/>
    </xf>
    <xf numFmtId="0" fontId="7" fillId="0" borderId="17" xfId="0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" fontId="61" fillId="33" borderId="17" xfId="0" applyNumberFormat="1" applyFont="1" applyFill="1" applyBorder="1" applyAlignment="1">
      <alignment/>
    </xf>
    <xf numFmtId="0" fontId="4" fillId="0" borderId="12" xfId="54" applyFont="1" applyBorder="1">
      <alignment/>
      <protection/>
    </xf>
    <xf numFmtId="0" fontId="4" fillId="0" borderId="0" xfId="54" applyFont="1">
      <alignment/>
      <protection/>
    </xf>
    <xf numFmtId="0" fontId="8" fillId="0" borderId="0" xfId="54">
      <alignment/>
      <protection/>
    </xf>
    <xf numFmtId="0" fontId="4" fillId="0" borderId="14" xfId="54" applyFont="1" applyBorder="1">
      <alignment/>
      <protection/>
    </xf>
    <xf numFmtId="0" fontId="4" fillId="0" borderId="19" xfId="54" applyFont="1" applyBorder="1">
      <alignment/>
      <protection/>
    </xf>
    <xf numFmtId="0" fontId="7" fillId="0" borderId="17" xfId="54" applyFont="1" applyBorder="1" applyAlignment="1">
      <alignment horizontal="center"/>
      <protection/>
    </xf>
    <xf numFmtId="0" fontId="7" fillId="0" borderId="0" xfId="54" applyFont="1">
      <alignment/>
      <protection/>
    </xf>
    <xf numFmtId="0" fontId="13" fillId="0" borderId="0" xfId="54" applyFont="1" applyBorder="1">
      <alignment/>
      <protection/>
    </xf>
    <xf numFmtId="0" fontId="13" fillId="0" borderId="0" xfId="54" applyFont="1">
      <alignment/>
      <protection/>
    </xf>
    <xf numFmtId="4" fontId="5" fillId="0" borderId="17" xfId="54" applyNumberFormat="1" applyFont="1" applyFill="1" applyBorder="1" applyAlignment="1">
      <alignment/>
      <protection/>
    </xf>
    <xf numFmtId="4" fontId="6" fillId="0" borderId="17" xfId="52" applyNumberFormat="1" applyFont="1" applyFill="1" applyBorder="1" applyAlignment="1">
      <alignment horizontal="right"/>
      <protection/>
    </xf>
    <xf numFmtId="39" fontId="4" fillId="0" borderId="0" xfId="54" applyNumberFormat="1" applyFont="1">
      <alignment/>
      <protection/>
    </xf>
    <xf numFmtId="4" fontId="9" fillId="0" borderId="0" xfId="54" applyNumberFormat="1" applyFont="1">
      <alignment/>
      <protection/>
    </xf>
    <xf numFmtId="4" fontId="6" fillId="0" borderId="17" xfId="52" applyNumberFormat="1" applyFont="1" applyBorder="1">
      <alignment/>
      <protection/>
    </xf>
    <xf numFmtId="0" fontId="14" fillId="0" borderId="0" xfId="54" applyFont="1">
      <alignment/>
      <protection/>
    </xf>
    <xf numFmtId="0" fontId="4" fillId="33" borderId="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4" fontId="64" fillId="33" borderId="0" xfId="52" applyNumberFormat="1" applyFont="1" applyFill="1" applyBorder="1" applyAlignment="1">
      <alignment horizontal="left" vertical="center"/>
      <protection/>
    </xf>
    <xf numFmtId="4" fontId="64" fillId="33" borderId="14" xfId="52" applyNumberFormat="1" applyFont="1" applyFill="1" applyBorder="1" applyAlignment="1">
      <alignment horizontal="left" vertical="center"/>
      <protection/>
    </xf>
    <xf numFmtId="0" fontId="4" fillId="33" borderId="19" xfId="57" applyFont="1" applyFill="1" applyBorder="1" applyAlignment="1">
      <alignment horizontal="left"/>
      <protection/>
    </xf>
    <xf numFmtId="4" fontId="65" fillId="33" borderId="14" xfId="57" applyNumberFormat="1" applyFont="1" applyFill="1" applyBorder="1" applyAlignment="1">
      <alignment horizontal="left" vertical="center"/>
      <protection/>
    </xf>
    <xf numFmtId="0" fontId="66" fillId="33" borderId="0" xfId="0" applyFont="1" applyFill="1" applyBorder="1" applyAlignment="1">
      <alignment horizontal="left" vertical="center" wrapText="1" readingOrder="1"/>
    </xf>
    <xf numFmtId="0" fontId="66" fillId="33" borderId="14" xfId="0" applyFont="1" applyFill="1" applyBorder="1" applyAlignment="1">
      <alignment horizontal="left" vertical="center" wrapText="1" readingOrder="1"/>
    </xf>
    <xf numFmtId="4" fontId="64" fillId="33" borderId="13" xfId="52" applyNumberFormat="1" applyFont="1" applyFill="1" applyBorder="1" applyAlignment="1">
      <alignment vertical="center"/>
      <protection/>
    </xf>
    <xf numFmtId="4" fontId="64" fillId="33" borderId="0" xfId="52" applyNumberFormat="1" applyFont="1" applyFill="1" applyBorder="1" applyAlignment="1">
      <alignment vertical="center"/>
      <protection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  <xf numFmtId="0" fontId="5" fillId="33" borderId="17" xfId="52" applyFont="1" applyFill="1" applyBorder="1">
      <alignment/>
      <protection/>
    </xf>
    <xf numFmtId="171" fontId="6" fillId="33" borderId="17" xfId="60" applyNumberFormat="1" applyFont="1" applyFill="1" applyBorder="1" applyAlignment="1">
      <alignment horizontal="center"/>
    </xf>
    <xf numFmtId="0" fontId="5" fillId="33" borderId="17" xfId="54" applyFont="1" applyFill="1" applyBorder="1">
      <alignment/>
      <protection/>
    </xf>
    <xf numFmtId="0" fontId="7" fillId="0" borderId="18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center" vertical="justify" wrapText="1"/>
    </xf>
    <xf numFmtId="0" fontId="7" fillId="0" borderId="2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justify" vertical="center" wrapText="1"/>
    </xf>
    <xf numFmtId="4" fontId="68" fillId="33" borderId="21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" fontId="61" fillId="34" borderId="17" xfId="0" applyNumberFormat="1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/>
    </xf>
    <xf numFmtId="0" fontId="61" fillId="0" borderId="22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right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4" fontId="7" fillId="34" borderId="17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0" fontId="61" fillId="34" borderId="17" xfId="0" applyFont="1" applyFill="1" applyBorder="1" applyAlignment="1">
      <alignment horizontal="justify" vertical="justify" wrapText="1"/>
    </xf>
    <xf numFmtId="4" fontId="4" fillId="33" borderId="0" xfId="52" applyNumberFormat="1" applyFont="1" applyFill="1" applyBorder="1">
      <alignment/>
      <protection/>
    </xf>
    <xf numFmtId="0" fontId="61" fillId="34" borderId="17" xfId="0" applyFont="1" applyFill="1" applyBorder="1" applyAlignment="1">
      <alignment horizontal="center"/>
    </xf>
    <xf numFmtId="0" fontId="61" fillId="34" borderId="17" xfId="0" applyFont="1" applyFill="1" applyBorder="1" applyAlignment="1">
      <alignment/>
    </xf>
    <xf numFmtId="4" fontId="61" fillId="34" borderId="17" xfId="0" applyNumberFormat="1" applyFont="1" applyFill="1" applyBorder="1" applyAlignment="1">
      <alignment/>
    </xf>
    <xf numFmtId="0" fontId="60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6" fillId="0" borderId="17" xfId="56" applyFont="1" applyFill="1" applyBorder="1" applyAlignment="1">
      <alignment horizontal="left" vertical="center" wrapText="1"/>
      <protection/>
    </xf>
    <xf numFmtId="0" fontId="6" fillId="0" borderId="17" xfId="56" applyFont="1" applyFill="1" applyBorder="1" applyAlignment="1">
      <alignment horizontal="center" vertical="center"/>
      <protection/>
    </xf>
    <xf numFmtId="4" fontId="7" fillId="34" borderId="17" xfId="0" applyNumberFormat="1" applyFont="1" applyFill="1" applyBorder="1" applyAlignment="1">
      <alignment horizontal="center" vertical="center"/>
    </xf>
    <xf numFmtId="4" fontId="65" fillId="33" borderId="0" xfId="57" applyNumberFormat="1" applyFont="1" applyFill="1" applyBorder="1" applyAlignment="1">
      <alignment horizontal="left" vertical="center"/>
      <protection/>
    </xf>
    <xf numFmtId="0" fontId="4" fillId="33" borderId="16" xfId="57" applyFont="1" applyFill="1" applyBorder="1" applyAlignment="1">
      <alignment horizontal="left"/>
      <protection/>
    </xf>
    <xf numFmtId="0" fontId="61" fillId="34" borderId="17" xfId="0" applyFont="1" applyFill="1" applyBorder="1" applyAlignment="1">
      <alignment horizontal="justify" vertical="center" wrapText="1"/>
    </xf>
    <xf numFmtId="4" fontId="15" fillId="34" borderId="17" xfId="0" applyNumberFormat="1" applyFont="1" applyFill="1" applyBorder="1" applyAlignment="1">
      <alignment horizontal="right" vertical="center"/>
    </xf>
    <xf numFmtId="4" fontId="15" fillId="34" borderId="17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" fontId="65" fillId="33" borderId="0" xfId="57" applyNumberFormat="1" applyFont="1" applyFill="1" applyBorder="1" applyAlignment="1">
      <alignment horizontal="left" vertical="center"/>
      <protection/>
    </xf>
    <xf numFmtId="0" fontId="4" fillId="33" borderId="16" xfId="57" applyFont="1" applyFill="1" applyBorder="1" applyAlignment="1">
      <alignment horizontal="left"/>
      <protection/>
    </xf>
    <xf numFmtId="0" fontId="5" fillId="0" borderId="0" xfId="57" applyFont="1" applyFill="1" applyBorder="1" applyAlignment="1">
      <alignment horizontal="center"/>
      <protection/>
    </xf>
    <xf numFmtId="4" fontId="69" fillId="0" borderId="0" xfId="52" applyNumberFormat="1" applyFont="1" applyFill="1" applyBorder="1" applyAlignment="1">
      <alignment horizontal="center" vertical="center" wrapText="1"/>
      <protection/>
    </xf>
    <xf numFmtId="44" fontId="2" fillId="0" borderId="11" xfId="52" applyNumberFormat="1" applyFont="1" applyBorder="1" applyAlignment="1">
      <alignment horizontal="center" vertical="center" wrapText="1" readingOrder="1"/>
      <protection/>
    </xf>
    <xf numFmtId="4" fontId="69" fillId="0" borderId="0" xfId="57" applyNumberFormat="1" applyFont="1" applyFill="1" applyBorder="1" applyAlignment="1">
      <alignment horizontal="center" vertical="center" wrapText="1"/>
      <protection/>
    </xf>
    <xf numFmtId="4" fontId="69" fillId="0" borderId="16" xfId="57" applyNumberFormat="1" applyFont="1" applyFill="1" applyBorder="1" applyAlignment="1">
      <alignment horizontal="center" vertical="center" wrapText="1"/>
      <protection/>
    </xf>
    <xf numFmtId="44" fontId="2" fillId="0" borderId="0" xfId="52" applyNumberFormat="1" applyFont="1" applyBorder="1" applyAlignment="1">
      <alignment horizontal="center" vertical="center" wrapText="1" readingOrder="1"/>
      <protection/>
    </xf>
    <xf numFmtId="4" fontId="5" fillId="0" borderId="0" xfId="52" applyNumberFormat="1" applyFont="1" applyFill="1" applyBorder="1" applyAlignment="1">
      <alignment horizontal="center" vertical="center" wrapText="1" readingOrder="1"/>
      <protection/>
    </xf>
    <xf numFmtId="0" fontId="61" fillId="34" borderId="17" xfId="0" applyFont="1" applyFill="1" applyBorder="1" applyAlignment="1">
      <alignment horizontal="justify" vertical="top" wrapText="1"/>
    </xf>
    <xf numFmtId="0" fontId="4" fillId="35" borderId="17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4" fontId="4" fillId="35" borderId="17" xfId="0" applyNumberFormat="1" applyFont="1" applyFill="1" applyBorder="1" applyAlignment="1">
      <alignment horizontal="right" vertical="center"/>
    </xf>
    <xf numFmtId="4" fontId="4" fillId="35" borderId="17" xfId="0" applyNumberFormat="1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16" fillId="36" borderId="17" xfId="0" applyFont="1" applyFill="1" applyBorder="1" applyAlignment="1">
      <alignment horizontal="center" vertical="center"/>
    </xf>
    <xf numFmtId="4" fontId="4" fillId="36" borderId="17" xfId="0" applyNumberFormat="1" applyFont="1" applyFill="1" applyBorder="1" applyAlignment="1">
      <alignment horizontal="right" vertical="center"/>
    </xf>
    <xf numFmtId="4" fontId="4" fillId="36" borderId="17" xfId="0" applyNumberFormat="1" applyFont="1" applyFill="1" applyBorder="1" applyAlignment="1">
      <alignment horizontal="center" vertical="center"/>
    </xf>
    <xf numFmtId="0" fontId="61" fillId="36" borderId="17" xfId="0" applyFont="1" applyFill="1" applyBorder="1" applyAlignment="1">
      <alignment horizontal="justify" vertical="center" wrapText="1"/>
    </xf>
    <xf numFmtId="0" fontId="61" fillId="35" borderId="17" xfId="0" applyFont="1" applyFill="1" applyBorder="1" applyAlignment="1">
      <alignment horizontal="justify" vertical="center" wrapText="1"/>
    </xf>
    <xf numFmtId="0" fontId="7" fillId="36" borderId="17" xfId="0" applyFont="1" applyFill="1" applyBorder="1" applyAlignment="1">
      <alignment horizontal="center" vertical="center"/>
    </xf>
    <xf numFmtId="0" fontId="15" fillId="36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4" fontId="7" fillId="35" borderId="17" xfId="0" applyNumberFormat="1" applyFont="1" applyFill="1" applyBorder="1" applyAlignment="1">
      <alignment horizontal="right" vertical="center"/>
    </xf>
    <xf numFmtId="4" fontId="7" fillId="35" borderId="17" xfId="0" applyNumberFormat="1" applyFont="1" applyFill="1" applyBorder="1" applyAlignment="1">
      <alignment horizontal="center" vertical="center"/>
    </xf>
    <xf numFmtId="0" fontId="61" fillId="35" borderId="17" xfId="0" applyFont="1" applyFill="1" applyBorder="1" applyAlignment="1">
      <alignment horizontal="right" vertical="center" wrapText="1"/>
    </xf>
    <xf numFmtId="0" fontId="7" fillId="35" borderId="17" xfId="0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 horizontal="right" vertical="center"/>
    </xf>
    <xf numFmtId="4" fontId="7" fillId="33" borderId="0" xfId="0" applyNumberFormat="1" applyFont="1" applyFill="1" applyBorder="1" applyAlignment="1">
      <alignment horizontal="center" vertical="center"/>
    </xf>
    <xf numFmtId="0" fontId="60" fillId="34" borderId="17" xfId="0" applyFont="1" applyFill="1" applyBorder="1" applyAlignment="1">
      <alignment/>
    </xf>
    <xf numFmtId="4" fontId="65" fillId="33" borderId="0" xfId="52" applyNumberFormat="1" applyFont="1" applyFill="1" applyBorder="1" applyAlignment="1">
      <alignment vertical="center" wrapText="1" readingOrder="1"/>
      <protection/>
    </xf>
    <xf numFmtId="0" fontId="15" fillId="34" borderId="23" xfId="0" applyFont="1" applyFill="1" applyBorder="1" applyAlignment="1">
      <alignment horizontal="center" vertical="center"/>
    </xf>
    <xf numFmtId="0" fontId="61" fillId="34" borderId="23" xfId="0" applyFont="1" applyFill="1" applyBorder="1" applyAlignment="1">
      <alignment horizontal="justify" vertical="justify" wrapText="1"/>
    </xf>
    <xf numFmtId="4" fontId="15" fillId="34" borderId="23" xfId="0" applyNumberFormat="1" applyFont="1" applyFill="1" applyBorder="1" applyAlignment="1">
      <alignment horizontal="right" vertical="center"/>
    </xf>
    <xf numFmtId="4" fontId="15" fillId="34" borderId="23" xfId="0" applyNumberFormat="1" applyFont="1" applyFill="1" applyBorder="1" applyAlignment="1">
      <alignment horizontal="center" vertical="center"/>
    </xf>
    <xf numFmtId="4" fontId="61" fillId="34" borderId="23" xfId="0" applyNumberFormat="1" applyFont="1" applyFill="1" applyBorder="1" applyAlignment="1">
      <alignment horizontal="center" vertical="center"/>
    </xf>
    <xf numFmtId="4" fontId="7" fillId="36" borderId="17" xfId="0" applyNumberFormat="1" applyFont="1" applyFill="1" applyBorder="1" applyAlignment="1">
      <alignment horizontal="right" vertical="center"/>
    </xf>
    <xf numFmtId="4" fontId="7" fillId="36" borderId="17" xfId="0" applyNumberFormat="1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/>
    </xf>
    <xf numFmtId="0" fontId="6" fillId="0" borderId="17" xfId="56" applyFont="1" applyBorder="1" applyAlignment="1">
      <alignment horizontal="left" vertical="top"/>
      <protection/>
    </xf>
    <xf numFmtId="0" fontId="6" fillId="0" borderId="17" xfId="56" applyFont="1" applyBorder="1" applyAlignment="1">
      <alignment horizontal="center" vertical="top"/>
      <protection/>
    </xf>
    <xf numFmtId="0" fontId="4" fillId="33" borderId="17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67" fillId="33" borderId="17" xfId="0" applyFont="1" applyFill="1" applyBorder="1" applyAlignment="1">
      <alignment horizontal="justify" vertical="center" wrapText="1"/>
    </xf>
    <xf numFmtId="4" fontId="4" fillId="33" borderId="17" xfId="0" applyNumberFormat="1" applyFont="1" applyFill="1" applyBorder="1" applyAlignment="1">
      <alignment horizontal="right" vertical="center"/>
    </xf>
    <xf numFmtId="4" fontId="4" fillId="33" borderId="17" xfId="0" applyNumberFormat="1" applyFont="1" applyFill="1" applyBorder="1" applyAlignment="1">
      <alignment horizontal="center" vertical="center"/>
    </xf>
    <xf numFmtId="4" fontId="67" fillId="33" borderId="17" xfId="0" applyNumberFormat="1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/>
    </xf>
    <xf numFmtId="0" fontId="16" fillId="33" borderId="23" xfId="0" applyFont="1" applyFill="1" applyBorder="1" applyAlignment="1">
      <alignment horizontal="center" vertical="center"/>
    </xf>
    <xf numFmtId="0" fontId="67" fillId="33" borderId="23" xfId="0" applyFont="1" applyFill="1" applyBorder="1" applyAlignment="1">
      <alignment horizontal="justify" vertical="justify" wrapText="1"/>
    </xf>
    <xf numFmtId="4" fontId="16" fillId="33" borderId="23" xfId="0" applyNumberFormat="1" applyFont="1" applyFill="1" applyBorder="1" applyAlignment="1">
      <alignment horizontal="right" vertical="center"/>
    </xf>
    <xf numFmtId="4" fontId="16" fillId="33" borderId="23" xfId="0" applyNumberFormat="1" applyFont="1" applyFill="1" applyBorder="1" applyAlignment="1">
      <alignment horizontal="center" vertical="center"/>
    </xf>
    <xf numFmtId="4" fontId="67" fillId="33" borderId="23" xfId="0" applyNumberFormat="1" applyFont="1" applyFill="1" applyBorder="1" applyAlignment="1">
      <alignment horizontal="center" vertical="center"/>
    </xf>
    <xf numFmtId="0" fontId="67" fillId="33" borderId="17" xfId="0" applyFont="1" applyFill="1" applyBorder="1" applyAlignment="1">
      <alignment horizontal="justify" vertical="top" wrapText="1"/>
    </xf>
    <xf numFmtId="0" fontId="16" fillId="33" borderId="17" xfId="0" applyFont="1" applyFill="1" applyBorder="1" applyAlignment="1">
      <alignment horizontal="center" vertical="center" wrapText="1"/>
    </xf>
    <xf numFmtId="4" fontId="4" fillId="33" borderId="0" xfId="52" applyNumberFormat="1" applyFont="1" applyFill="1" applyBorder="1" applyAlignment="1">
      <alignment vertical="center" wrapText="1" readingOrder="1"/>
      <protection/>
    </xf>
    <xf numFmtId="4" fontId="6" fillId="34" borderId="17" xfId="52" applyNumberFormat="1" applyFont="1" applyFill="1" applyBorder="1">
      <alignment/>
      <protection/>
    </xf>
    <xf numFmtId="10" fontId="6" fillId="0" borderId="17" xfId="60" applyNumberFormat="1" applyFont="1" applyFill="1" applyBorder="1" applyAlignment="1">
      <alignment/>
    </xf>
    <xf numFmtId="4" fontId="6" fillId="0" borderId="17" xfId="54" applyNumberFormat="1" applyFont="1" applyFill="1" applyBorder="1" applyAlignment="1">
      <alignment/>
      <protection/>
    </xf>
    <xf numFmtId="0" fontId="7" fillId="34" borderId="17" xfId="54" applyFont="1" applyFill="1" applyBorder="1" applyAlignment="1">
      <alignment horizontal="center"/>
      <protection/>
    </xf>
    <xf numFmtId="0" fontId="7" fillId="34" borderId="18" xfId="54" applyFont="1" applyFill="1" applyBorder="1" applyAlignment="1">
      <alignment horizontal="center" vertical="center"/>
      <protection/>
    </xf>
    <xf numFmtId="0" fontId="7" fillId="34" borderId="12" xfId="54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4" fillId="0" borderId="16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16" fillId="0" borderId="0" xfId="54" applyFont="1">
      <alignment/>
      <protection/>
    </xf>
    <xf numFmtId="0" fontId="44" fillId="0" borderId="0" xfId="0" applyFont="1" applyBorder="1" applyAlignment="1">
      <alignment/>
    </xf>
    <xf numFmtId="4" fontId="15" fillId="33" borderId="17" xfId="0" applyNumberFormat="1" applyFont="1" applyFill="1" applyBorder="1" applyAlignment="1">
      <alignment horizontal="center" vertical="center"/>
    </xf>
    <xf numFmtId="4" fontId="61" fillId="33" borderId="17" xfId="0" applyNumberFormat="1" applyFont="1" applyFill="1" applyBorder="1" applyAlignment="1">
      <alignment horizontal="center" vertical="center"/>
    </xf>
    <xf numFmtId="0" fontId="61" fillId="34" borderId="21" xfId="0" applyFont="1" applyFill="1" applyBorder="1" applyAlignment="1">
      <alignment horizontal="right"/>
    </xf>
    <xf numFmtId="0" fontId="61" fillId="34" borderId="24" xfId="0" applyFont="1" applyFill="1" applyBorder="1" applyAlignment="1">
      <alignment horizontal="right"/>
    </xf>
    <xf numFmtId="0" fontId="61" fillId="34" borderId="25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justify" wrapText="1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 vertical="center"/>
    </xf>
    <xf numFmtId="4" fontId="7" fillId="0" borderId="25" xfId="0" applyNumberFormat="1" applyFont="1" applyFill="1" applyBorder="1" applyAlignment="1">
      <alignment horizontal="center" vertical="center"/>
    </xf>
    <xf numFmtId="4" fontId="65" fillId="33" borderId="13" xfId="57" applyNumberFormat="1" applyFont="1" applyFill="1" applyBorder="1" applyAlignment="1">
      <alignment horizontal="left" vertical="center"/>
      <protection/>
    </xf>
    <xf numFmtId="4" fontId="65" fillId="33" borderId="0" xfId="57" applyNumberFormat="1" applyFont="1" applyFill="1" applyBorder="1" applyAlignment="1">
      <alignment horizontal="left" vertical="center"/>
      <protection/>
    </xf>
    <xf numFmtId="4" fontId="4" fillId="33" borderId="13" xfId="57" applyNumberFormat="1" applyFont="1" applyFill="1" applyBorder="1" applyAlignment="1">
      <alignment horizontal="left" vertical="center"/>
      <protection/>
    </xf>
    <xf numFmtId="4" fontId="4" fillId="33" borderId="0" xfId="57" applyNumberFormat="1" applyFont="1" applyFill="1" applyBorder="1" applyAlignment="1">
      <alignment horizontal="left" vertical="center"/>
      <protection/>
    </xf>
    <xf numFmtId="0" fontId="5" fillId="33" borderId="13" xfId="0" applyFont="1" applyFill="1" applyBorder="1" applyAlignment="1">
      <alignment horizontal="left" vertical="center" wrapText="1" readingOrder="1"/>
    </xf>
    <xf numFmtId="0" fontId="5" fillId="33" borderId="0" xfId="0" applyFont="1" applyFill="1" applyBorder="1" applyAlignment="1">
      <alignment horizontal="left" vertical="center" wrapText="1" readingOrder="1"/>
    </xf>
    <xf numFmtId="4" fontId="4" fillId="33" borderId="13" xfId="52" applyNumberFormat="1" applyFont="1" applyFill="1" applyBorder="1" applyAlignment="1">
      <alignment horizontal="left" vertical="center" wrapText="1"/>
      <protection/>
    </xf>
    <xf numFmtId="4" fontId="4" fillId="33" borderId="0" xfId="52" applyNumberFormat="1" applyFont="1" applyFill="1" applyBorder="1" applyAlignment="1">
      <alignment horizontal="left" vertical="center" wrapText="1"/>
      <protection/>
    </xf>
    <xf numFmtId="4" fontId="4" fillId="33" borderId="14" xfId="52" applyNumberFormat="1" applyFont="1" applyFill="1" applyBorder="1" applyAlignment="1">
      <alignment horizontal="left" vertical="center" wrapText="1"/>
      <protection/>
    </xf>
    <xf numFmtId="0" fontId="4" fillId="33" borderId="15" xfId="57" applyFont="1" applyFill="1" applyBorder="1" applyAlignment="1">
      <alignment horizontal="left"/>
      <protection/>
    </xf>
    <xf numFmtId="0" fontId="4" fillId="33" borderId="16" xfId="57" applyFont="1" applyFill="1" applyBorder="1" applyAlignment="1">
      <alignment horizontal="left"/>
      <protection/>
    </xf>
    <xf numFmtId="49" fontId="7" fillId="33" borderId="17" xfId="56" applyNumberFormat="1" applyFont="1" applyFill="1" applyBorder="1" applyAlignment="1">
      <alignment horizontal="center" vertical="center" wrapText="1"/>
      <protection/>
    </xf>
    <xf numFmtId="0" fontId="4" fillId="33" borderId="17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4" fontId="6" fillId="0" borderId="21" xfId="55" applyNumberFormat="1" applyFont="1" applyBorder="1" applyAlignment="1">
      <alignment horizontal="center"/>
      <protection/>
    </xf>
    <xf numFmtId="4" fontId="6" fillId="0" borderId="25" xfId="55" applyNumberFormat="1" applyFont="1" applyBorder="1" applyAlignment="1">
      <alignment horizontal="center"/>
      <protection/>
    </xf>
    <xf numFmtId="0" fontId="12" fillId="0" borderId="21" xfId="54" applyFont="1" applyBorder="1" applyAlignment="1">
      <alignment horizontal="center"/>
      <protection/>
    </xf>
    <xf numFmtId="0" fontId="12" fillId="0" borderId="25" xfId="54" applyFont="1" applyBorder="1" applyAlignment="1">
      <alignment horizontal="center"/>
      <protection/>
    </xf>
    <xf numFmtId="4" fontId="6" fillId="0" borderId="0" xfId="55" applyNumberFormat="1" applyFont="1" applyBorder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39" fontId="6" fillId="0" borderId="21" xfId="54" applyNumberFormat="1" applyFont="1" applyBorder="1" applyAlignment="1">
      <alignment horizontal="center"/>
      <protection/>
    </xf>
    <xf numFmtId="39" fontId="6" fillId="0" borderId="25" xfId="54" applyNumberFormat="1" applyFont="1" applyBorder="1" applyAlignment="1">
      <alignment horizontal="center"/>
      <protection/>
    </xf>
    <xf numFmtId="10" fontId="6" fillId="0" borderId="21" xfId="60" applyNumberFormat="1" applyFont="1" applyBorder="1" applyAlignment="1">
      <alignment horizontal="center"/>
    </xf>
    <xf numFmtId="10" fontId="6" fillId="0" borderId="25" xfId="60" applyNumberFormat="1" applyFont="1" applyBorder="1" applyAlignment="1">
      <alignment horizontal="center"/>
    </xf>
    <xf numFmtId="0" fontId="5" fillId="0" borderId="13" xfId="57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 horizontal="center"/>
      <protection/>
    </xf>
    <xf numFmtId="4" fontId="5" fillId="0" borderId="13" xfId="52" applyNumberFormat="1" applyFont="1" applyFill="1" applyBorder="1" applyAlignment="1">
      <alignment horizontal="center" vertical="center" wrapText="1"/>
      <protection/>
    </xf>
    <xf numFmtId="4" fontId="5" fillId="0" borderId="0" xfId="52" applyNumberFormat="1" applyFont="1" applyFill="1" applyBorder="1" applyAlignment="1">
      <alignment horizontal="center" vertical="center" wrapText="1"/>
      <protection/>
    </xf>
    <xf numFmtId="1" fontId="6" fillId="0" borderId="21" xfId="54" applyNumberFormat="1" applyFont="1" applyBorder="1" applyAlignment="1">
      <alignment horizontal="left" vertical="top"/>
      <protection/>
    </xf>
    <xf numFmtId="1" fontId="6" fillId="0" borderId="25" xfId="54" applyNumberFormat="1" applyFont="1" applyBorder="1" applyAlignment="1">
      <alignment horizontal="left" vertical="top"/>
      <protection/>
    </xf>
    <xf numFmtId="0" fontId="12" fillId="0" borderId="18" xfId="54" applyFont="1" applyBorder="1" applyAlignment="1">
      <alignment horizontal="center" wrapText="1"/>
      <protection/>
    </xf>
    <xf numFmtId="0" fontId="12" fillId="0" borderId="20" xfId="54" applyFont="1" applyBorder="1" applyAlignment="1">
      <alignment horizontal="center" wrapText="1"/>
      <protection/>
    </xf>
    <xf numFmtId="0" fontId="12" fillId="0" borderId="23" xfId="54" applyFont="1" applyBorder="1" applyAlignment="1">
      <alignment horizontal="center" wrapText="1"/>
      <protection/>
    </xf>
    <xf numFmtId="44" fontId="2" fillId="0" borderId="10" xfId="52" applyNumberFormat="1" applyFont="1" applyBorder="1" applyAlignment="1">
      <alignment horizontal="center" vertical="center" wrapText="1" readingOrder="1"/>
      <protection/>
    </xf>
    <xf numFmtId="44" fontId="2" fillId="0" borderId="11" xfId="52" applyNumberFormat="1" applyFont="1" applyBorder="1" applyAlignment="1">
      <alignment horizontal="center" vertical="center" wrapText="1" readingOrder="1"/>
      <protection/>
    </xf>
    <xf numFmtId="0" fontId="11" fillId="0" borderId="21" xfId="57" applyFont="1" applyFill="1" applyBorder="1" applyAlignment="1">
      <alignment horizontal="center" vertical="center" wrapText="1"/>
      <protection/>
    </xf>
    <xf numFmtId="0" fontId="11" fillId="0" borderId="24" xfId="57" applyFont="1" applyFill="1" applyBorder="1" applyAlignment="1">
      <alignment horizontal="center" vertical="center" wrapText="1"/>
      <protection/>
    </xf>
    <xf numFmtId="0" fontId="11" fillId="0" borderId="25" xfId="57" applyFont="1" applyFill="1" applyBorder="1" applyAlignment="1">
      <alignment horizontal="center" vertical="center" wrapText="1"/>
      <protection/>
    </xf>
    <xf numFmtId="4" fontId="69" fillId="0" borderId="13" xfId="57" applyNumberFormat="1" applyFont="1" applyFill="1" applyBorder="1" applyAlignment="1">
      <alignment horizontal="center" vertical="center" wrapText="1"/>
      <protection/>
    </xf>
    <xf numFmtId="4" fontId="69" fillId="0" borderId="0" xfId="57" applyNumberFormat="1" applyFont="1" applyFill="1" applyBorder="1" applyAlignment="1">
      <alignment horizontal="center" vertical="center" wrapText="1"/>
      <protection/>
    </xf>
    <xf numFmtId="4" fontId="69" fillId="0" borderId="15" xfId="57" applyNumberFormat="1" applyFont="1" applyFill="1" applyBorder="1" applyAlignment="1">
      <alignment horizontal="center" vertical="center" wrapText="1"/>
      <protection/>
    </xf>
    <xf numFmtId="4" fontId="69" fillId="0" borderId="16" xfId="57" applyNumberFormat="1" applyFont="1" applyFill="1" applyBorder="1" applyAlignment="1">
      <alignment horizontal="center" vertical="center" wrapText="1"/>
      <protection/>
    </xf>
    <xf numFmtId="44" fontId="2" fillId="0" borderId="13" xfId="52" applyNumberFormat="1" applyFont="1" applyBorder="1" applyAlignment="1">
      <alignment horizontal="center" vertical="center" wrapText="1" readingOrder="1"/>
      <protection/>
    </xf>
    <xf numFmtId="44" fontId="2" fillId="0" borderId="0" xfId="52" applyNumberFormat="1" applyFont="1" applyBorder="1" applyAlignment="1">
      <alignment horizontal="center" vertical="center" wrapText="1" readingOrder="1"/>
      <protection/>
    </xf>
    <xf numFmtId="4" fontId="5" fillId="0" borderId="13" xfId="52" applyNumberFormat="1" applyFont="1" applyFill="1" applyBorder="1" applyAlignment="1">
      <alignment horizontal="center" vertical="center" wrapText="1" readingOrder="1"/>
      <protection/>
    </xf>
    <xf numFmtId="4" fontId="5" fillId="0" borderId="0" xfId="52" applyNumberFormat="1" applyFont="1" applyFill="1" applyBorder="1" applyAlignment="1">
      <alignment horizontal="center" vertical="center" wrapText="1" readingOrder="1"/>
      <protection/>
    </xf>
    <xf numFmtId="0" fontId="6" fillId="0" borderId="21" xfId="54" applyFont="1" applyBorder="1" applyAlignment="1">
      <alignment horizontal="left" vertical="top"/>
      <protection/>
    </xf>
    <xf numFmtId="0" fontId="6" fillId="0" borderId="25" xfId="54" applyFont="1" applyBorder="1" applyAlignment="1">
      <alignment horizontal="left" vertical="top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Moeda 2" xfId="48"/>
    <cellStyle name="Neutra" xfId="49"/>
    <cellStyle name="Normal 2" xfId="50"/>
    <cellStyle name="Normal 2 2" xfId="51"/>
    <cellStyle name="Normal 2 3" xfId="52"/>
    <cellStyle name="Normal 3" xfId="53"/>
    <cellStyle name="Normal_CRONOGRAMA" xfId="54"/>
    <cellStyle name="Normal_Orçamento nº057-2003- Esc. Munic. AMPARO revisão" xfId="55"/>
    <cellStyle name="Normal_P_Getulio Vargas" xfId="56"/>
    <cellStyle name="Normal_P_Getulio Vargas 2" xfId="57"/>
    <cellStyle name="Nota" xfId="58"/>
    <cellStyle name="Percent" xfId="59"/>
    <cellStyle name="Porcentagem 2" xfId="60"/>
    <cellStyle name="Porcentagem 3" xfId="61"/>
    <cellStyle name="Saída" xfId="62"/>
    <cellStyle name="Comma [0]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171450</xdr:rowOff>
    </xdr:from>
    <xdr:to>
      <xdr:col>1</xdr:col>
      <xdr:colOff>1333500</xdr:colOff>
      <xdr:row>6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6573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171450</xdr:rowOff>
    </xdr:from>
    <xdr:to>
      <xdr:col>1</xdr:col>
      <xdr:colOff>1333500</xdr:colOff>
      <xdr:row>6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6573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171450</xdr:rowOff>
    </xdr:from>
    <xdr:to>
      <xdr:col>1</xdr:col>
      <xdr:colOff>1333500</xdr:colOff>
      <xdr:row>6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6573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85725</xdr:rowOff>
    </xdr:from>
    <xdr:to>
      <xdr:col>6</xdr:col>
      <xdr:colOff>2381250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85725"/>
          <a:ext cx="22574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lfredo.cunha\Documents\Meus%20Documentos\ALFREDO\QUADRA%20PARQUE%20INDEPEND&#202;NCIA\Or&#231;amento%20n&#186;0xx-2014_%20Constru&#231;&#227;o%20de%20Quadra%20Poliesportiva%20Coberta%20Parque%20Independ&#234;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EMOP"/>
      <sheetName val="SUSESP"/>
      <sheetName val="SUSESP SP"/>
      <sheetName val="Cronograma "/>
      <sheetName val="Cronograma  s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view="pageBreakPreview" zoomScale="71" zoomScaleNormal="60" zoomScaleSheetLayoutView="71" zoomScalePageLayoutView="0" workbookViewId="0" topLeftCell="A100">
      <selection activeCell="J70" sqref="J70"/>
    </sheetView>
  </sheetViews>
  <sheetFormatPr defaultColWidth="9.140625" defaultRowHeight="15"/>
  <cols>
    <col min="1" max="1" width="9.140625" style="2" customWidth="1"/>
    <col min="2" max="2" width="20.57421875" style="0" customWidth="1"/>
    <col min="3" max="3" width="129.140625" style="0" customWidth="1"/>
    <col min="5" max="5" width="12.140625" style="0" customWidth="1"/>
    <col min="6" max="6" width="16.140625" style="0" customWidth="1"/>
    <col min="7" max="7" width="16.8515625" style="0" customWidth="1"/>
    <col min="8" max="8" width="18.57421875" style="0" customWidth="1"/>
    <col min="9" max="9" width="19.00390625" style="0" customWidth="1"/>
  </cols>
  <sheetData>
    <row r="1" spans="1:9" s="10" customFormat="1" ht="23.25">
      <c r="A1" s="3"/>
      <c r="B1" s="4"/>
      <c r="C1" s="5" t="s">
        <v>8</v>
      </c>
      <c r="D1" s="6"/>
      <c r="E1" s="7"/>
      <c r="F1" s="8"/>
      <c r="G1" s="8"/>
      <c r="H1" s="8"/>
      <c r="I1" s="9"/>
    </row>
    <row r="2" spans="1:9" s="10" customFormat="1" ht="23.25">
      <c r="A2" s="11"/>
      <c r="B2" s="12"/>
      <c r="C2" s="13" t="s">
        <v>9</v>
      </c>
      <c r="D2" s="14"/>
      <c r="E2" s="15"/>
      <c r="F2" s="16"/>
      <c r="G2" s="16"/>
      <c r="H2" s="16"/>
      <c r="I2" s="17"/>
    </row>
    <row r="3" spans="1:9" s="10" customFormat="1" ht="23.25">
      <c r="A3" s="11"/>
      <c r="B3" s="12"/>
      <c r="C3" s="13" t="s">
        <v>10</v>
      </c>
      <c r="D3" s="188"/>
      <c r="E3" s="189"/>
      <c r="F3" s="189"/>
      <c r="G3" s="189"/>
      <c r="H3" s="96"/>
      <c r="I3" s="46"/>
    </row>
    <row r="4" spans="1:9" s="10" customFormat="1" ht="18.75" customHeight="1">
      <c r="A4" s="11"/>
      <c r="B4" s="12"/>
      <c r="C4" s="151" t="s">
        <v>256</v>
      </c>
      <c r="D4" s="190" t="s">
        <v>259</v>
      </c>
      <c r="E4" s="191"/>
      <c r="F4" s="191"/>
      <c r="G4" s="191"/>
      <c r="H4" s="47"/>
      <c r="I4" s="48"/>
    </row>
    <row r="5" spans="1:9" s="10" customFormat="1" ht="18.75" customHeight="1">
      <c r="A5" s="11"/>
      <c r="B5" s="12"/>
      <c r="C5" s="151" t="s">
        <v>255</v>
      </c>
      <c r="D5" s="192" t="s">
        <v>191</v>
      </c>
      <c r="E5" s="193"/>
      <c r="F5" s="193"/>
      <c r="G5" s="193"/>
      <c r="H5" s="41"/>
      <c r="I5" s="42"/>
    </row>
    <row r="6" spans="1:9" s="10" customFormat="1" ht="18.75">
      <c r="A6" s="11"/>
      <c r="B6" s="12"/>
      <c r="C6" s="81" t="s">
        <v>192</v>
      </c>
      <c r="D6" s="194" t="s">
        <v>190</v>
      </c>
      <c r="E6" s="195"/>
      <c r="F6" s="195"/>
      <c r="G6" s="195"/>
      <c r="H6" s="195"/>
      <c r="I6" s="196"/>
    </row>
    <row r="7" spans="1:9" s="10" customFormat="1" ht="18.75">
      <c r="A7" s="11"/>
      <c r="B7" s="12"/>
      <c r="C7" s="18"/>
      <c r="D7" s="49" t="s">
        <v>36</v>
      </c>
      <c r="E7" s="50"/>
      <c r="F7" s="50"/>
      <c r="G7" s="50"/>
      <c r="H7" s="43"/>
      <c r="I7" s="44"/>
    </row>
    <row r="8" spans="1:9" s="10" customFormat="1" ht="18.75">
      <c r="A8" s="19"/>
      <c r="B8" s="20"/>
      <c r="C8" s="21"/>
      <c r="D8" s="197" t="s">
        <v>11</v>
      </c>
      <c r="E8" s="198"/>
      <c r="F8" s="198"/>
      <c r="G8" s="198"/>
      <c r="H8" s="97"/>
      <c r="I8" s="45"/>
    </row>
    <row r="9" spans="1:9" s="10" customFormat="1" ht="18.75">
      <c r="A9" s="199" t="s">
        <v>180</v>
      </c>
      <c r="B9" s="200"/>
      <c r="C9" s="200"/>
      <c r="D9" s="201"/>
      <c r="E9" s="201"/>
      <c r="F9" s="201"/>
      <c r="G9" s="201"/>
      <c r="H9" s="51"/>
      <c r="I9" s="52"/>
    </row>
    <row r="10" spans="1:9" s="10" customFormat="1" ht="18.75">
      <c r="A10" s="182" t="s">
        <v>5</v>
      </c>
      <c r="B10" s="183" t="s">
        <v>12</v>
      </c>
      <c r="C10" s="183" t="s">
        <v>13</v>
      </c>
      <c r="D10" s="182" t="s">
        <v>3</v>
      </c>
      <c r="E10" s="184" t="s">
        <v>7</v>
      </c>
      <c r="F10" s="185" t="s">
        <v>14</v>
      </c>
      <c r="G10" s="186"/>
      <c r="H10" s="186"/>
      <c r="I10" s="187"/>
    </row>
    <row r="11" spans="1:9" s="10" customFormat="1" ht="18.75">
      <c r="A11" s="182"/>
      <c r="B11" s="183"/>
      <c r="C11" s="183"/>
      <c r="D11" s="182"/>
      <c r="E11" s="184"/>
      <c r="F11" s="22" t="s">
        <v>32</v>
      </c>
      <c r="G11" s="23" t="s">
        <v>18</v>
      </c>
      <c r="H11" s="23" t="s">
        <v>33</v>
      </c>
      <c r="I11" s="23" t="s">
        <v>19</v>
      </c>
    </row>
    <row r="12" spans="1:9" s="10" customFormat="1" ht="18.75" customHeight="1">
      <c r="A12" s="24" t="s">
        <v>34</v>
      </c>
      <c r="B12" s="56"/>
      <c r="C12" s="57" t="s">
        <v>173</v>
      </c>
      <c r="D12" s="22"/>
      <c r="E12" s="23"/>
      <c r="F12" s="22"/>
      <c r="G12" s="23"/>
      <c r="H12" s="23"/>
      <c r="I12" s="23"/>
    </row>
    <row r="13" spans="1:9" s="134" customFormat="1" ht="18.75">
      <c r="A13" s="116" t="s">
        <v>4</v>
      </c>
      <c r="B13" s="116"/>
      <c r="C13" s="114" t="s">
        <v>251</v>
      </c>
      <c r="D13" s="116"/>
      <c r="E13" s="132"/>
      <c r="F13" s="116"/>
      <c r="G13" s="133"/>
      <c r="H13" s="133"/>
      <c r="I13" s="133"/>
    </row>
    <row r="14" spans="1:9" s="10" customFormat="1" ht="49.5" customHeight="1">
      <c r="A14" s="127" t="s">
        <v>15</v>
      </c>
      <c r="B14" s="127" t="s">
        <v>40</v>
      </c>
      <c r="C14" s="128" t="s">
        <v>41</v>
      </c>
      <c r="D14" s="127" t="s">
        <v>0</v>
      </c>
      <c r="E14" s="129">
        <v>1409.1</v>
      </c>
      <c r="F14" s="130">
        <f>TRUNC(F15,2)</f>
        <v>128.6</v>
      </c>
      <c r="G14" s="131">
        <f>TRUNC(F14*1.2247,2)</f>
        <v>157.49</v>
      </c>
      <c r="H14" s="131">
        <f>TRUNC((E14*F14),2)</f>
        <v>181210.26</v>
      </c>
      <c r="I14" s="131">
        <f>TRUNC((E14*G14),2)</f>
        <v>221919.15</v>
      </c>
    </row>
    <row r="15" spans="1:9" s="10" customFormat="1" ht="45">
      <c r="A15" s="95"/>
      <c r="B15" s="66" t="s">
        <v>40</v>
      </c>
      <c r="C15" s="67" t="s">
        <v>41</v>
      </c>
      <c r="D15" s="63" t="s">
        <v>0</v>
      </c>
      <c r="E15" s="79">
        <v>1</v>
      </c>
      <c r="F15" s="64">
        <f>G25</f>
        <v>128.6</v>
      </c>
      <c r="G15" s="64">
        <f aca="true" t="shared" si="0" ref="G15:G24">TRUNC(E15*F15,2)</f>
        <v>128.6</v>
      </c>
      <c r="H15" s="64"/>
      <c r="I15" s="65"/>
    </row>
    <row r="16" spans="1:9" s="10" customFormat="1" ht="18.75">
      <c r="A16" s="95"/>
      <c r="B16" s="66" t="s">
        <v>42</v>
      </c>
      <c r="C16" s="67" t="s">
        <v>43</v>
      </c>
      <c r="D16" s="63" t="s">
        <v>0</v>
      </c>
      <c r="E16" s="79">
        <v>1</v>
      </c>
      <c r="F16" s="64">
        <f>TRUNC(108.35,2)</f>
        <v>108.35</v>
      </c>
      <c r="G16" s="64">
        <f t="shared" si="0"/>
        <v>108.35</v>
      </c>
      <c r="H16" s="64"/>
      <c r="I16" s="65"/>
    </row>
    <row r="17" spans="1:9" s="10" customFormat="1" ht="18.75">
      <c r="A17" s="95"/>
      <c r="B17" s="66" t="s">
        <v>44</v>
      </c>
      <c r="C17" s="67" t="s">
        <v>45</v>
      </c>
      <c r="D17" s="63" t="s">
        <v>3</v>
      </c>
      <c r="E17" s="79">
        <v>0.008</v>
      </c>
      <c r="F17" s="64">
        <f>TRUNC(30.55,2)</f>
        <v>30.55</v>
      </c>
      <c r="G17" s="64">
        <f t="shared" si="0"/>
        <v>0.24</v>
      </c>
      <c r="H17" s="64"/>
      <c r="I17" s="65"/>
    </row>
    <row r="18" spans="1:9" s="10" customFormat="1" ht="18.75">
      <c r="A18" s="95"/>
      <c r="B18" s="66" t="s">
        <v>46</v>
      </c>
      <c r="C18" s="67" t="s">
        <v>47</v>
      </c>
      <c r="D18" s="63" t="s">
        <v>3</v>
      </c>
      <c r="E18" s="79">
        <v>1.987</v>
      </c>
      <c r="F18" s="64">
        <f>TRUNC(1.55,2)</f>
        <v>1.55</v>
      </c>
      <c r="G18" s="64">
        <f t="shared" si="0"/>
        <v>3.07</v>
      </c>
      <c r="H18" s="64"/>
      <c r="I18" s="65"/>
    </row>
    <row r="19" spans="1:9" s="10" customFormat="1" ht="18.75">
      <c r="A19" s="95"/>
      <c r="B19" s="66" t="s">
        <v>48</v>
      </c>
      <c r="C19" s="67" t="s">
        <v>49</v>
      </c>
      <c r="D19" s="63" t="s">
        <v>3</v>
      </c>
      <c r="E19" s="79">
        <v>1.987</v>
      </c>
      <c r="F19" s="64">
        <f>TRUNC(0.52,2)</f>
        <v>0.52</v>
      </c>
      <c r="G19" s="64">
        <f t="shared" si="0"/>
        <v>1.03</v>
      </c>
      <c r="H19" s="64"/>
      <c r="I19" s="65"/>
    </row>
    <row r="20" spans="1:9" s="10" customFormat="1" ht="18.75">
      <c r="A20" s="95"/>
      <c r="B20" s="66" t="s">
        <v>50</v>
      </c>
      <c r="C20" s="67" t="s">
        <v>51</v>
      </c>
      <c r="D20" s="63" t="s">
        <v>3</v>
      </c>
      <c r="E20" s="79">
        <v>0.606</v>
      </c>
      <c r="F20" s="64">
        <f>TRUNC(1.03,2)</f>
        <v>1.03</v>
      </c>
      <c r="G20" s="64">
        <f t="shared" si="0"/>
        <v>0.62</v>
      </c>
      <c r="H20" s="64"/>
      <c r="I20" s="65"/>
    </row>
    <row r="21" spans="1:9" s="10" customFormat="1" ht="30">
      <c r="A21" s="95"/>
      <c r="B21" s="66" t="s">
        <v>52</v>
      </c>
      <c r="C21" s="67" t="s">
        <v>53</v>
      </c>
      <c r="D21" s="63" t="s">
        <v>54</v>
      </c>
      <c r="E21" s="79">
        <v>0.075</v>
      </c>
      <c r="F21" s="64">
        <f>TRUNC(101.82,2)</f>
        <v>101.82</v>
      </c>
      <c r="G21" s="64">
        <f t="shared" si="0"/>
        <v>7.63</v>
      </c>
      <c r="H21" s="64"/>
      <c r="I21" s="65"/>
    </row>
    <row r="22" spans="1:9" s="10" customFormat="1" ht="30">
      <c r="A22" s="95"/>
      <c r="B22" s="66" t="s">
        <v>55</v>
      </c>
      <c r="C22" s="67" t="s">
        <v>56</v>
      </c>
      <c r="D22" s="63" t="s">
        <v>54</v>
      </c>
      <c r="E22" s="79">
        <v>0.06</v>
      </c>
      <c r="F22" s="64">
        <f>TRUNC(43.97,2)</f>
        <v>43.97</v>
      </c>
      <c r="G22" s="64">
        <f t="shared" si="0"/>
        <v>2.63</v>
      </c>
      <c r="H22" s="64"/>
      <c r="I22" s="65"/>
    </row>
    <row r="23" spans="1:9" s="10" customFormat="1" ht="18.75">
      <c r="A23" s="95"/>
      <c r="B23" s="66" t="s">
        <v>57</v>
      </c>
      <c r="C23" s="67" t="s">
        <v>58</v>
      </c>
      <c r="D23" s="63" t="s">
        <v>1</v>
      </c>
      <c r="E23" s="79">
        <v>0.12875</v>
      </c>
      <c r="F23" s="64">
        <f>TRUNC(24.61,2)</f>
        <v>24.61</v>
      </c>
      <c r="G23" s="64">
        <f t="shared" si="0"/>
        <v>3.16</v>
      </c>
      <c r="H23" s="64"/>
      <c r="I23" s="65"/>
    </row>
    <row r="24" spans="1:9" s="10" customFormat="1" ht="18.75">
      <c r="A24" s="95"/>
      <c r="B24" s="66" t="s">
        <v>59</v>
      </c>
      <c r="C24" s="67" t="s">
        <v>60</v>
      </c>
      <c r="D24" s="63" t="s">
        <v>1</v>
      </c>
      <c r="E24" s="79">
        <v>0.1133</v>
      </c>
      <c r="F24" s="64">
        <f>TRUNC(16.55,2)</f>
        <v>16.55</v>
      </c>
      <c r="G24" s="64">
        <f t="shared" si="0"/>
        <v>1.87</v>
      </c>
      <c r="H24" s="64"/>
      <c r="I24" s="65"/>
    </row>
    <row r="25" spans="1:9" s="10" customFormat="1" ht="18.75">
      <c r="A25" s="95"/>
      <c r="B25" s="66"/>
      <c r="C25" s="67"/>
      <c r="D25" s="63"/>
      <c r="E25" s="59" t="s">
        <v>2</v>
      </c>
      <c r="F25" s="60"/>
      <c r="G25" s="60">
        <f>TRUNC(SUM(G16:G24),2)</f>
        <v>128.6</v>
      </c>
      <c r="H25" s="64"/>
      <c r="I25" s="65"/>
    </row>
    <row r="26" spans="1:9" s="10" customFormat="1" ht="33.75" customHeight="1">
      <c r="A26" s="77" t="s">
        <v>16</v>
      </c>
      <c r="B26" s="71" t="s">
        <v>65</v>
      </c>
      <c r="C26" s="105" t="s">
        <v>263</v>
      </c>
      <c r="D26" s="77" t="s">
        <v>67</v>
      </c>
      <c r="E26" s="78">
        <f>2444.75+1108.9+3946.62</f>
        <v>7500.27</v>
      </c>
      <c r="F26" s="89">
        <f>TRUNC(F27,2)</f>
        <v>10.9</v>
      </c>
      <c r="G26" s="70">
        <f>TRUNC(F26*1.2247,2)</f>
        <v>13.34</v>
      </c>
      <c r="H26" s="70">
        <f>TRUNC((E26*F26),2)</f>
        <v>81752.94</v>
      </c>
      <c r="I26" s="70">
        <f>TRUNC((E26*G26),2)</f>
        <v>100053.6</v>
      </c>
    </row>
    <row r="27" spans="1:9" s="10" customFormat="1" ht="18.75">
      <c r="A27" s="95"/>
      <c r="B27" s="66" t="s">
        <v>65</v>
      </c>
      <c r="C27" s="67" t="s">
        <v>66</v>
      </c>
      <c r="D27" s="63" t="s">
        <v>67</v>
      </c>
      <c r="E27" s="79">
        <v>1</v>
      </c>
      <c r="F27" s="64">
        <f>G29</f>
        <v>10.9</v>
      </c>
      <c r="G27" s="64">
        <f>TRUNC(E27*F27,2)</f>
        <v>10.9</v>
      </c>
      <c r="H27" s="64"/>
      <c r="I27" s="65"/>
    </row>
    <row r="28" spans="1:9" s="10" customFormat="1" ht="18.75">
      <c r="A28" s="95"/>
      <c r="B28" s="66" t="s">
        <v>68</v>
      </c>
      <c r="C28" s="67" t="s">
        <v>69</v>
      </c>
      <c r="D28" s="63" t="s">
        <v>67</v>
      </c>
      <c r="E28" s="79">
        <v>1.05</v>
      </c>
      <c r="F28" s="64">
        <f>TRUNC(10.39,2)</f>
        <v>10.39</v>
      </c>
      <c r="G28" s="64">
        <f>TRUNC(E28*F28,2)</f>
        <v>10.9</v>
      </c>
      <c r="H28" s="64"/>
      <c r="I28" s="65"/>
    </row>
    <row r="29" spans="1:9" s="10" customFormat="1" ht="18.75">
      <c r="A29" s="95"/>
      <c r="B29" s="66"/>
      <c r="C29" s="67"/>
      <c r="D29" s="63"/>
      <c r="E29" s="59" t="s">
        <v>2</v>
      </c>
      <c r="F29" s="60"/>
      <c r="G29" s="60">
        <f>TRUNC(SUM(G28:G28),2)</f>
        <v>10.9</v>
      </c>
      <c r="H29" s="64"/>
      <c r="I29" s="65"/>
    </row>
    <row r="30" spans="1:9" s="10" customFormat="1" ht="18.75">
      <c r="A30" s="77" t="s">
        <v>17</v>
      </c>
      <c r="B30" s="71" t="s">
        <v>72</v>
      </c>
      <c r="C30" s="92" t="s">
        <v>73</v>
      </c>
      <c r="D30" s="77" t="s">
        <v>67</v>
      </c>
      <c r="E30" s="78">
        <v>183.03</v>
      </c>
      <c r="F30" s="89">
        <f>TRUNC(F31,2)</f>
        <v>11.79</v>
      </c>
      <c r="G30" s="70">
        <f>TRUNC(F30*1.2247,2)</f>
        <v>14.43</v>
      </c>
      <c r="H30" s="70">
        <f>TRUNC((E30*F30),2)</f>
        <v>2157.92</v>
      </c>
      <c r="I30" s="70">
        <f>TRUNC((E30*G30),2)</f>
        <v>2641.12</v>
      </c>
    </row>
    <row r="31" spans="1:9" s="10" customFormat="1" ht="18.75">
      <c r="A31" s="95"/>
      <c r="B31" s="66" t="s">
        <v>72</v>
      </c>
      <c r="C31" s="67" t="s">
        <v>73</v>
      </c>
      <c r="D31" s="63" t="s">
        <v>67</v>
      </c>
      <c r="E31" s="79">
        <v>1</v>
      </c>
      <c r="F31" s="64">
        <f>G33</f>
        <v>11.79</v>
      </c>
      <c r="G31" s="64">
        <f>TRUNC(E31*F31,2)</f>
        <v>11.79</v>
      </c>
      <c r="H31" s="64"/>
      <c r="I31" s="65"/>
    </row>
    <row r="32" spans="1:9" s="10" customFormat="1" ht="22.5" customHeight="1">
      <c r="A32" s="95"/>
      <c r="B32" s="66" t="s">
        <v>74</v>
      </c>
      <c r="C32" s="67" t="s">
        <v>75</v>
      </c>
      <c r="D32" s="63" t="s">
        <v>67</v>
      </c>
      <c r="E32" s="79">
        <v>1</v>
      </c>
      <c r="F32" s="64">
        <f>TRUNC(11.7989,2)</f>
        <v>11.79</v>
      </c>
      <c r="G32" s="64">
        <f>TRUNC(E32*F32,2)</f>
        <v>11.79</v>
      </c>
      <c r="H32" s="64"/>
      <c r="I32" s="65"/>
    </row>
    <row r="33" spans="1:9" s="10" customFormat="1" ht="18.75">
      <c r="A33" s="95"/>
      <c r="B33" s="66"/>
      <c r="C33" s="67"/>
      <c r="D33" s="63"/>
      <c r="E33" s="79" t="s">
        <v>2</v>
      </c>
      <c r="F33" s="64"/>
      <c r="G33" s="64">
        <f>TRUNC(SUM(G32:G32),2)</f>
        <v>11.79</v>
      </c>
      <c r="H33" s="64"/>
      <c r="I33" s="65"/>
    </row>
    <row r="34" spans="1:9" s="10" customFormat="1" ht="31.5">
      <c r="A34" s="77" t="s">
        <v>174</v>
      </c>
      <c r="B34" s="71" t="s">
        <v>76</v>
      </c>
      <c r="C34" s="92" t="s">
        <v>77</v>
      </c>
      <c r="D34" s="77" t="s">
        <v>3</v>
      </c>
      <c r="E34" s="78">
        <v>128</v>
      </c>
      <c r="F34" s="89">
        <f>TRUNC(F35,2)</f>
        <v>9.36</v>
      </c>
      <c r="G34" s="70">
        <f>TRUNC(F34*1.2247,2)</f>
        <v>11.46</v>
      </c>
      <c r="H34" s="70">
        <f>TRUNC((E34*F34),2)</f>
        <v>1198.08</v>
      </c>
      <c r="I34" s="70">
        <f>TRUNC((E34*G34),2)</f>
        <v>1466.88</v>
      </c>
    </row>
    <row r="35" spans="1:9" s="10" customFormat="1" ht="30">
      <c r="A35" s="95"/>
      <c r="B35" s="66" t="s">
        <v>76</v>
      </c>
      <c r="C35" s="67" t="s">
        <v>77</v>
      </c>
      <c r="D35" s="63" t="s">
        <v>3</v>
      </c>
      <c r="E35" s="79">
        <v>1</v>
      </c>
      <c r="F35" s="64">
        <f>G37</f>
        <v>9.36</v>
      </c>
      <c r="G35" s="64">
        <f>TRUNC(E35*F35,2)</f>
        <v>9.36</v>
      </c>
      <c r="H35" s="64"/>
      <c r="I35" s="65"/>
    </row>
    <row r="36" spans="1:9" s="10" customFormat="1" ht="30">
      <c r="A36" s="95"/>
      <c r="B36" s="66" t="s">
        <v>78</v>
      </c>
      <c r="C36" s="67" t="s">
        <v>79</v>
      </c>
      <c r="D36" s="63" t="s">
        <v>3</v>
      </c>
      <c r="E36" s="79">
        <v>1</v>
      </c>
      <c r="F36" s="64">
        <f>TRUNC(9.36,2)</f>
        <v>9.36</v>
      </c>
      <c r="G36" s="64">
        <f>TRUNC(E36*F36,2)</f>
        <v>9.36</v>
      </c>
      <c r="H36" s="64"/>
      <c r="I36" s="65"/>
    </row>
    <row r="37" spans="1:9" s="10" customFormat="1" ht="18.75">
      <c r="A37" s="95"/>
      <c r="B37" s="66"/>
      <c r="C37" s="67"/>
      <c r="D37" s="63"/>
      <c r="E37" s="59" t="s">
        <v>2</v>
      </c>
      <c r="F37" s="60"/>
      <c r="G37" s="60">
        <f>TRUNC(SUM(G36:G36),2)</f>
        <v>9.36</v>
      </c>
      <c r="H37" s="64"/>
      <c r="I37" s="65"/>
    </row>
    <row r="38" spans="1:9" s="10" customFormat="1" ht="37.5" customHeight="1">
      <c r="A38" s="77" t="s">
        <v>175</v>
      </c>
      <c r="B38" s="92" t="s">
        <v>80</v>
      </c>
      <c r="C38" s="92" t="s">
        <v>81</v>
      </c>
      <c r="D38" s="77" t="s">
        <v>54</v>
      </c>
      <c r="E38" s="78">
        <v>61.6</v>
      </c>
      <c r="F38" s="89">
        <f>TRUNC(F39,2)</f>
        <v>66.27</v>
      </c>
      <c r="G38" s="70">
        <f>TRUNC(F38*1.2247,2)</f>
        <v>81.16</v>
      </c>
      <c r="H38" s="70">
        <f>TRUNC((E38*F38),2)</f>
        <v>4082.23</v>
      </c>
      <c r="I38" s="70">
        <f>TRUNC((E38*G38),2)</f>
        <v>4999.45</v>
      </c>
    </row>
    <row r="39" spans="1:9" s="10" customFormat="1" ht="30">
      <c r="A39" s="118"/>
      <c r="B39" s="66" t="s">
        <v>80</v>
      </c>
      <c r="C39" s="67" t="s">
        <v>81</v>
      </c>
      <c r="D39" s="63" t="s">
        <v>54</v>
      </c>
      <c r="E39" s="79">
        <v>1</v>
      </c>
      <c r="F39" s="64">
        <f>G44</f>
        <v>66.27</v>
      </c>
      <c r="G39" s="64">
        <f>TRUNC(E39*F39,2)</f>
        <v>66.27</v>
      </c>
      <c r="H39" s="64"/>
      <c r="I39" s="65"/>
    </row>
    <row r="40" spans="1:9" s="10" customFormat="1" ht="18.75">
      <c r="A40" s="118"/>
      <c r="B40" s="66" t="s">
        <v>82</v>
      </c>
      <c r="C40" s="67" t="s">
        <v>83</v>
      </c>
      <c r="D40" s="63" t="s">
        <v>54</v>
      </c>
      <c r="E40" s="79">
        <v>1.1</v>
      </c>
      <c r="F40" s="64">
        <f>TRUNC(41.47,2)</f>
        <v>41.47</v>
      </c>
      <c r="G40" s="64">
        <f>TRUNC(E40*F40,2)</f>
        <v>45.61</v>
      </c>
      <c r="H40" s="64"/>
      <c r="I40" s="65"/>
    </row>
    <row r="41" spans="1:9" s="10" customFormat="1" ht="18.75">
      <c r="A41" s="118"/>
      <c r="B41" s="66" t="s">
        <v>61</v>
      </c>
      <c r="C41" s="67" t="s">
        <v>62</v>
      </c>
      <c r="D41" s="63" t="s">
        <v>3</v>
      </c>
      <c r="E41" s="79">
        <v>3</v>
      </c>
      <c r="F41" s="64">
        <f>TRUNC(3.4,2)</f>
        <v>3.4</v>
      </c>
      <c r="G41" s="64">
        <f>TRUNC(E41*F41,2)</f>
        <v>10.2</v>
      </c>
      <c r="H41" s="64"/>
      <c r="I41" s="65"/>
    </row>
    <row r="42" spans="1:9" s="10" customFormat="1" ht="18.75">
      <c r="A42" s="118"/>
      <c r="B42" s="66" t="s">
        <v>63</v>
      </c>
      <c r="C42" s="67" t="s">
        <v>64</v>
      </c>
      <c r="D42" s="63" t="s">
        <v>1</v>
      </c>
      <c r="E42" s="79">
        <v>0.20600000000000002</v>
      </c>
      <c r="F42" s="64">
        <f>TRUNC(16.55,2)</f>
        <v>16.55</v>
      </c>
      <c r="G42" s="64">
        <f>TRUNC(E42*F42,2)</f>
        <v>3.4</v>
      </c>
      <c r="H42" s="64"/>
      <c r="I42" s="65"/>
    </row>
    <row r="43" spans="1:9" s="10" customFormat="1" ht="18.75">
      <c r="A43" s="118"/>
      <c r="B43" s="66" t="s">
        <v>84</v>
      </c>
      <c r="C43" s="67" t="s">
        <v>85</v>
      </c>
      <c r="D43" s="63" t="s">
        <v>1</v>
      </c>
      <c r="E43" s="79">
        <v>0.309</v>
      </c>
      <c r="F43" s="64">
        <f>TRUNC(22.86,2)</f>
        <v>22.86</v>
      </c>
      <c r="G43" s="64">
        <f>TRUNC(E43*F43,2)</f>
        <v>7.06</v>
      </c>
      <c r="H43" s="64"/>
      <c r="I43" s="65"/>
    </row>
    <row r="44" spans="1:9" s="10" customFormat="1" ht="18.75">
      <c r="A44" s="118"/>
      <c r="B44" s="66"/>
      <c r="C44" s="67"/>
      <c r="D44" s="63"/>
      <c r="E44" s="59" t="s">
        <v>2</v>
      </c>
      <c r="F44" s="60"/>
      <c r="G44" s="60">
        <f>TRUNC(SUM(G40:G43),2)</f>
        <v>66.27</v>
      </c>
      <c r="H44" s="64"/>
      <c r="I44" s="65"/>
    </row>
    <row r="45" spans="1:9" s="10" customFormat="1" ht="31.5">
      <c r="A45" s="77" t="s">
        <v>177</v>
      </c>
      <c r="B45" s="71" t="s">
        <v>86</v>
      </c>
      <c r="C45" s="92" t="s">
        <v>87</v>
      </c>
      <c r="D45" s="77" t="s">
        <v>54</v>
      </c>
      <c r="E45" s="78">
        <v>154</v>
      </c>
      <c r="F45" s="89">
        <f>TRUNC(F46,2)</f>
        <v>155.03</v>
      </c>
      <c r="G45" s="70">
        <f>TRUNC(F45*1.2247,2)</f>
        <v>189.86</v>
      </c>
      <c r="H45" s="70">
        <f>TRUNC((E45*F45),2)</f>
        <v>23874.62</v>
      </c>
      <c r="I45" s="70">
        <f>TRUNC((E45*G45),2)</f>
        <v>29238.44</v>
      </c>
    </row>
    <row r="46" spans="1:9" s="10" customFormat="1" ht="30">
      <c r="A46" s="118"/>
      <c r="B46" s="66" t="s">
        <v>86</v>
      </c>
      <c r="C46" s="67" t="s">
        <v>87</v>
      </c>
      <c r="D46" s="63" t="s">
        <v>54</v>
      </c>
      <c r="E46" s="79">
        <v>1</v>
      </c>
      <c r="F46" s="64">
        <f>G56</f>
        <v>155.03</v>
      </c>
      <c r="G46" s="64">
        <f aca="true" t="shared" si="1" ref="G46:G55">TRUNC(E46*F46,2)</f>
        <v>155.03</v>
      </c>
      <c r="H46" s="64"/>
      <c r="I46" s="65"/>
    </row>
    <row r="47" spans="1:9" s="10" customFormat="1" ht="18.75">
      <c r="A47" s="118"/>
      <c r="B47" s="66" t="s">
        <v>88</v>
      </c>
      <c r="C47" s="67" t="s">
        <v>89</v>
      </c>
      <c r="D47" s="63" t="s">
        <v>3</v>
      </c>
      <c r="E47" s="79">
        <v>5</v>
      </c>
      <c r="F47" s="64">
        <f>TRUNC(0.05,2)</f>
        <v>0.05</v>
      </c>
      <c r="G47" s="64">
        <f t="shared" si="1"/>
        <v>0.25</v>
      </c>
      <c r="H47" s="64"/>
      <c r="I47" s="65"/>
    </row>
    <row r="48" spans="1:9" s="10" customFormat="1" ht="18.75">
      <c r="A48" s="118"/>
      <c r="B48" s="66" t="s">
        <v>90</v>
      </c>
      <c r="C48" s="67" t="s">
        <v>91</v>
      </c>
      <c r="D48" s="63" t="s">
        <v>3</v>
      </c>
      <c r="E48" s="79">
        <v>2</v>
      </c>
      <c r="F48" s="64">
        <f>TRUNC(0.0518,2)</f>
        <v>0.05</v>
      </c>
      <c r="G48" s="64">
        <f t="shared" si="1"/>
        <v>0.1</v>
      </c>
      <c r="H48" s="64"/>
      <c r="I48" s="65"/>
    </row>
    <row r="49" spans="1:9" s="10" customFormat="1" ht="18.75">
      <c r="A49" s="118"/>
      <c r="B49" s="66" t="s">
        <v>92</v>
      </c>
      <c r="C49" s="67" t="s">
        <v>93</v>
      </c>
      <c r="D49" s="63" t="s">
        <v>3</v>
      </c>
      <c r="E49" s="79">
        <v>1</v>
      </c>
      <c r="F49" s="64">
        <f>TRUNC(9.57,2)</f>
        <v>9.57</v>
      </c>
      <c r="G49" s="64">
        <f t="shared" si="1"/>
        <v>9.57</v>
      </c>
      <c r="H49" s="64"/>
      <c r="I49" s="65"/>
    </row>
    <row r="50" spans="1:9" s="10" customFormat="1" ht="18.75">
      <c r="A50" s="118"/>
      <c r="B50" s="66" t="s">
        <v>94</v>
      </c>
      <c r="C50" s="67" t="s">
        <v>95</v>
      </c>
      <c r="D50" s="63" t="s">
        <v>67</v>
      </c>
      <c r="E50" s="79">
        <v>0.1</v>
      </c>
      <c r="F50" s="64">
        <f>TRUNC(15.94,2)</f>
        <v>15.94</v>
      </c>
      <c r="G50" s="64">
        <f t="shared" si="1"/>
        <v>1.59</v>
      </c>
      <c r="H50" s="64"/>
      <c r="I50" s="65"/>
    </row>
    <row r="51" spans="1:9" s="10" customFormat="1" ht="18.75">
      <c r="A51" s="118"/>
      <c r="B51" s="66" t="s">
        <v>96</v>
      </c>
      <c r="C51" s="67" t="s">
        <v>97</v>
      </c>
      <c r="D51" s="63" t="s">
        <v>67</v>
      </c>
      <c r="E51" s="79">
        <v>0.09</v>
      </c>
      <c r="F51" s="64">
        <f>TRUNC(58.17,2)</f>
        <v>58.17</v>
      </c>
      <c r="G51" s="64">
        <f t="shared" si="1"/>
        <v>5.23</v>
      </c>
      <c r="H51" s="64"/>
      <c r="I51" s="65"/>
    </row>
    <row r="52" spans="1:9" s="10" customFormat="1" ht="30">
      <c r="A52" s="118"/>
      <c r="B52" s="66" t="s">
        <v>98</v>
      </c>
      <c r="C52" s="67" t="s">
        <v>99</v>
      </c>
      <c r="D52" s="63" t="s">
        <v>67</v>
      </c>
      <c r="E52" s="79">
        <v>3.1</v>
      </c>
      <c r="F52" s="64">
        <f>TRUNC(20.0865,2)</f>
        <v>20.08</v>
      </c>
      <c r="G52" s="64">
        <f t="shared" si="1"/>
        <v>62.24</v>
      </c>
      <c r="H52" s="64"/>
      <c r="I52" s="65"/>
    </row>
    <row r="53" spans="1:9" s="10" customFormat="1" ht="18.75">
      <c r="A53" s="118"/>
      <c r="B53" s="66" t="s">
        <v>63</v>
      </c>
      <c r="C53" s="67" t="s">
        <v>64</v>
      </c>
      <c r="D53" s="63" t="s">
        <v>1</v>
      </c>
      <c r="E53" s="79">
        <v>1.751</v>
      </c>
      <c r="F53" s="64">
        <f>TRUNC(16.55,2)</f>
        <v>16.55</v>
      </c>
      <c r="G53" s="64">
        <f t="shared" si="1"/>
        <v>28.97</v>
      </c>
      <c r="H53" s="64"/>
      <c r="I53" s="65"/>
    </row>
    <row r="54" spans="1:9" s="10" customFormat="1" ht="18.75">
      <c r="A54" s="118"/>
      <c r="B54" s="66" t="s">
        <v>100</v>
      </c>
      <c r="C54" s="67" t="s">
        <v>101</v>
      </c>
      <c r="D54" s="63" t="s">
        <v>1</v>
      </c>
      <c r="E54" s="79">
        <v>1.03</v>
      </c>
      <c r="F54" s="64">
        <f>TRUNC(22.86,2)</f>
        <v>22.86</v>
      </c>
      <c r="G54" s="64">
        <f t="shared" si="1"/>
        <v>23.54</v>
      </c>
      <c r="H54" s="64"/>
      <c r="I54" s="65"/>
    </row>
    <row r="55" spans="1:9" s="10" customFormat="1" ht="18.75">
      <c r="A55" s="118"/>
      <c r="B55" s="66" t="s">
        <v>102</v>
      </c>
      <c r="C55" s="67" t="s">
        <v>103</v>
      </c>
      <c r="D55" s="63" t="s">
        <v>1</v>
      </c>
      <c r="E55" s="79">
        <v>1.03</v>
      </c>
      <c r="F55" s="64">
        <f>TRUNC(22.86,2)</f>
        <v>22.86</v>
      </c>
      <c r="G55" s="64">
        <f t="shared" si="1"/>
        <v>23.54</v>
      </c>
      <c r="H55" s="64"/>
      <c r="I55" s="65"/>
    </row>
    <row r="56" spans="1:9" s="10" customFormat="1" ht="18.75">
      <c r="A56" s="118"/>
      <c r="B56" s="66"/>
      <c r="C56" s="67"/>
      <c r="D56" s="63"/>
      <c r="E56" s="59" t="s">
        <v>2</v>
      </c>
      <c r="F56" s="60"/>
      <c r="G56" s="60">
        <f>TRUNC(SUM(G47:G55),2)</f>
        <v>155.03</v>
      </c>
      <c r="H56" s="64"/>
      <c r="I56" s="65"/>
    </row>
    <row r="57" spans="1:9" s="10" customFormat="1" ht="31.5">
      <c r="A57" s="77" t="s">
        <v>178</v>
      </c>
      <c r="B57" s="71" t="s">
        <v>104</v>
      </c>
      <c r="C57" s="92" t="s">
        <v>105</v>
      </c>
      <c r="D57" s="77" t="s">
        <v>54</v>
      </c>
      <c r="E57" s="78">
        <v>114</v>
      </c>
      <c r="F57" s="89">
        <f>TRUNC(F58,2)</f>
        <v>85.77</v>
      </c>
      <c r="G57" s="70">
        <f>TRUNC(F57*1.2247,2)</f>
        <v>105.04</v>
      </c>
      <c r="H57" s="70">
        <f>TRUNC((E57*F57),2)</f>
        <v>9777.78</v>
      </c>
      <c r="I57" s="70">
        <f>TRUNC((E57*G57),2)</f>
        <v>11974.56</v>
      </c>
    </row>
    <row r="58" spans="1:9" s="10" customFormat="1" ht="30">
      <c r="A58" s="118"/>
      <c r="B58" s="66" t="s">
        <v>104</v>
      </c>
      <c r="C58" s="67" t="s">
        <v>105</v>
      </c>
      <c r="D58" s="63" t="s">
        <v>54</v>
      </c>
      <c r="E58" s="79">
        <v>1</v>
      </c>
      <c r="F58" s="64">
        <f>G65</f>
        <v>85.77</v>
      </c>
      <c r="G58" s="64">
        <f aca="true" t="shared" si="2" ref="G58:G64">TRUNC(E58*F58,2)</f>
        <v>85.77</v>
      </c>
      <c r="H58" s="64"/>
      <c r="I58" s="65"/>
    </row>
    <row r="59" spans="1:9" s="10" customFormat="1" ht="18.75">
      <c r="A59" s="118"/>
      <c r="B59" s="66" t="s">
        <v>106</v>
      </c>
      <c r="C59" s="67" t="s">
        <v>107</v>
      </c>
      <c r="D59" s="63" t="s">
        <v>3</v>
      </c>
      <c r="E59" s="79">
        <v>0.037</v>
      </c>
      <c r="F59" s="64">
        <f>TRUNC(1.72,2)</f>
        <v>1.72</v>
      </c>
      <c r="G59" s="64">
        <f t="shared" si="2"/>
        <v>0.06</v>
      </c>
      <c r="H59" s="64"/>
      <c r="I59" s="65"/>
    </row>
    <row r="60" spans="1:9" s="10" customFormat="1" ht="18.75">
      <c r="A60" s="118"/>
      <c r="B60" s="66" t="s">
        <v>112</v>
      </c>
      <c r="C60" s="67" t="s">
        <v>113</v>
      </c>
      <c r="D60" s="63" t="s">
        <v>3</v>
      </c>
      <c r="E60" s="79">
        <v>0.0102</v>
      </c>
      <c r="F60" s="64">
        <f>TRUNC(60.64,2)</f>
        <v>60.64</v>
      </c>
      <c r="G60" s="64">
        <f t="shared" si="2"/>
        <v>0.61</v>
      </c>
      <c r="H60" s="64"/>
      <c r="I60" s="65"/>
    </row>
    <row r="61" spans="1:9" s="10" customFormat="1" ht="18.75">
      <c r="A61" s="118"/>
      <c r="B61" s="66" t="s">
        <v>108</v>
      </c>
      <c r="C61" s="67" t="s">
        <v>109</v>
      </c>
      <c r="D61" s="63" t="s">
        <v>54</v>
      </c>
      <c r="E61" s="79">
        <v>1.04</v>
      </c>
      <c r="F61" s="64">
        <f>TRUNC(72.43,2)</f>
        <v>72.43</v>
      </c>
      <c r="G61" s="64">
        <f t="shared" si="2"/>
        <v>75.32</v>
      </c>
      <c r="H61" s="64"/>
      <c r="I61" s="65"/>
    </row>
    <row r="62" spans="1:9" s="10" customFormat="1" ht="18.75">
      <c r="A62" s="118"/>
      <c r="B62" s="66" t="s">
        <v>110</v>
      </c>
      <c r="C62" s="67" t="s">
        <v>111</v>
      </c>
      <c r="D62" s="63" t="s">
        <v>3</v>
      </c>
      <c r="E62" s="79">
        <v>0.0062</v>
      </c>
      <c r="F62" s="64">
        <f>TRUNC(69.83,2)</f>
        <v>69.83</v>
      </c>
      <c r="G62" s="64">
        <f t="shared" si="2"/>
        <v>0.43</v>
      </c>
      <c r="H62" s="64"/>
      <c r="I62" s="65"/>
    </row>
    <row r="63" spans="1:9" s="10" customFormat="1" ht="18.75">
      <c r="A63" s="118"/>
      <c r="B63" s="66" t="s">
        <v>114</v>
      </c>
      <c r="C63" s="67" t="s">
        <v>115</v>
      </c>
      <c r="D63" s="63" t="s">
        <v>1</v>
      </c>
      <c r="E63" s="79">
        <v>0.18</v>
      </c>
      <c r="F63" s="64">
        <f>TRUNC(29.32,2)</f>
        <v>29.32</v>
      </c>
      <c r="G63" s="64">
        <f t="shared" si="2"/>
        <v>5.27</v>
      </c>
      <c r="H63" s="64"/>
      <c r="I63" s="65"/>
    </row>
    <row r="64" spans="1:9" s="10" customFormat="1" ht="18.75">
      <c r="A64" s="118"/>
      <c r="B64" s="66" t="s">
        <v>116</v>
      </c>
      <c r="C64" s="67" t="s">
        <v>117</v>
      </c>
      <c r="D64" s="63" t="s">
        <v>1</v>
      </c>
      <c r="E64" s="79">
        <v>0.18</v>
      </c>
      <c r="F64" s="64">
        <f>TRUNC(22.69,2)</f>
        <v>22.69</v>
      </c>
      <c r="G64" s="64">
        <f t="shared" si="2"/>
        <v>4.08</v>
      </c>
      <c r="H64" s="64"/>
      <c r="I64" s="65"/>
    </row>
    <row r="65" spans="1:9" s="10" customFormat="1" ht="18.75">
      <c r="A65" s="118"/>
      <c r="B65" s="66"/>
      <c r="C65" s="67"/>
      <c r="D65" s="63"/>
      <c r="E65" s="59" t="s">
        <v>2</v>
      </c>
      <c r="F65" s="60"/>
      <c r="G65" s="60">
        <f>TRUNC(SUM(G59:G64),2)</f>
        <v>85.77</v>
      </c>
      <c r="H65" s="64"/>
      <c r="I65" s="65"/>
    </row>
    <row r="66" spans="1:9" s="10" customFormat="1" ht="31.5">
      <c r="A66" s="77" t="s">
        <v>179</v>
      </c>
      <c r="B66" s="117" t="s">
        <v>172</v>
      </c>
      <c r="C66" s="92" t="s">
        <v>165</v>
      </c>
      <c r="D66" s="77" t="s">
        <v>3</v>
      </c>
      <c r="E66" s="78">
        <v>16</v>
      </c>
      <c r="F66" s="89">
        <f>TRUNC(F67,2)</f>
        <v>58.61</v>
      </c>
      <c r="G66" s="70">
        <f>TRUNC(F66*1.2247,2)</f>
        <v>71.77</v>
      </c>
      <c r="H66" s="70">
        <f>TRUNC((E66*F66),2)</f>
        <v>937.76</v>
      </c>
      <c r="I66" s="70">
        <f>TRUNC((E66*G66),2)</f>
        <v>1148.32</v>
      </c>
    </row>
    <row r="67" spans="1:9" s="10" customFormat="1" ht="30">
      <c r="A67" s="95"/>
      <c r="B67" s="66" t="s">
        <v>164</v>
      </c>
      <c r="C67" s="67" t="s">
        <v>165</v>
      </c>
      <c r="D67" s="63" t="s">
        <v>3</v>
      </c>
      <c r="E67" s="79">
        <v>1</v>
      </c>
      <c r="F67" s="64">
        <f>G73</f>
        <v>58.61</v>
      </c>
      <c r="G67" s="64">
        <f aca="true" t="shared" si="3" ref="G67:G72">TRUNC(E67*F67,2)</f>
        <v>58.61</v>
      </c>
      <c r="H67" s="64"/>
      <c r="I67" s="65"/>
    </row>
    <row r="68" spans="1:9" s="10" customFormat="1" ht="18.75">
      <c r="A68" s="95"/>
      <c r="B68" s="66" t="s">
        <v>170</v>
      </c>
      <c r="C68" s="67" t="s">
        <v>171</v>
      </c>
      <c r="D68" s="63" t="s">
        <v>3</v>
      </c>
      <c r="E68" s="79">
        <v>1</v>
      </c>
      <c r="F68" s="64">
        <v>47.19</v>
      </c>
      <c r="G68" s="64">
        <f t="shared" si="3"/>
        <v>47.19</v>
      </c>
      <c r="H68" s="64"/>
      <c r="I68" s="65"/>
    </row>
    <row r="69" spans="1:9" s="10" customFormat="1" ht="30">
      <c r="A69" s="95"/>
      <c r="B69" s="66" t="s">
        <v>166</v>
      </c>
      <c r="C69" s="67" t="s">
        <v>167</v>
      </c>
      <c r="D69" s="63" t="s">
        <v>3</v>
      </c>
      <c r="E69" s="79">
        <v>0.046</v>
      </c>
      <c r="F69" s="64">
        <f>TRUNC(25.56,2)</f>
        <v>25.56</v>
      </c>
      <c r="G69" s="64">
        <f t="shared" si="3"/>
        <v>1.17</v>
      </c>
      <c r="H69" s="64"/>
      <c r="I69" s="65"/>
    </row>
    <row r="70" spans="1:9" s="10" customFormat="1" ht="18.75">
      <c r="A70" s="95"/>
      <c r="B70" s="66" t="s">
        <v>168</v>
      </c>
      <c r="C70" s="67" t="s">
        <v>169</v>
      </c>
      <c r="D70" s="63" t="s">
        <v>3</v>
      </c>
      <c r="E70" s="79">
        <v>1</v>
      </c>
      <c r="F70" s="64">
        <f>TRUNC(2.98,2)</f>
        <v>2.98</v>
      </c>
      <c r="G70" s="64">
        <f t="shared" si="3"/>
        <v>2.98</v>
      </c>
      <c r="H70" s="64"/>
      <c r="I70" s="65"/>
    </row>
    <row r="71" spans="1:9" s="10" customFormat="1" ht="18.75">
      <c r="A71" s="95"/>
      <c r="B71" s="66" t="s">
        <v>114</v>
      </c>
      <c r="C71" s="67" t="s">
        <v>115</v>
      </c>
      <c r="D71" s="63" t="s">
        <v>1</v>
      </c>
      <c r="E71" s="79">
        <v>0.14</v>
      </c>
      <c r="F71" s="64">
        <f>TRUNC(29.32,2)</f>
        <v>29.32</v>
      </c>
      <c r="G71" s="64">
        <f t="shared" si="3"/>
        <v>4.1</v>
      </c>
      <c r="H71" s="64"/>
      <c r="I71" s="65"/>
    </row>
    <row r="72" spans="1:9" s="10" customFormat="1" ht="18.75">
      <c r="A72" s="95"/>
      <c r="B72" s="66" t="s">
        <v>116</v>
      </c>
      <c r="C72" s="67" t="s">
        <v>117</v>
      </c>
      <c r="D72" s="63" t="s">
        <v>1</v>
      </c>
      <c r="E72" s="79">
        <v>0.14</v>
      </c>
      <c r="F72" s="64">
        <f>TRUNC(22.69,2)</f>
        <v>22.69</v>
      </c>
      <c r="G72" s="64">
        <f t="shared" si="3"/>
        <v>3.17</v>
      </c>
      <c r="H72" s="64"/>
      <c r="I72" s="65"/>
    </row>
    <row r="73" spans="1:9" s="10" customFormat="1" ht="18.75">
      <c r="A73" s="95"/>
      <c r="B73" s="66"/>
      <c r="C73" s="67"/>
      <c r="D73" s="63"/>
      <c r="E73" s="59" t="s">
        <v>2</v>
      </c>
      <c r="F73" s="60"/>
      <c r="G73" s="60">
        <f>TRUNC(SUM(G68:G72),2)</f>
        <v>58.61</v>
      </c>
      <c r="H73" s="64"/>
      <c r="I73" s="65"/>
    </row>
    <row r="74" spans="1:9" s="176" customFormat="1" ht="15.75">
      <c r="A74" s="71" t="s">
        <v>264</v>
      </c>
      <c r="B74" s="71" t="s">
        <v>270</v>
      </c>
      <c r="C74" s="92" t="s">
        <v>269</v>
      </c>
      <c r="D74" s="71" t="s">
        <v>0</v>
      </c>
      <c r="E74" s="93">
        <v>167.2</v>
      </c>
      <c r="F74" s="94">
        <f>TRUNC(F75,2)</f>
        <v>70.36</v>
      </c>
      <c r="G74" s="70">
        <f>TRUNC(F74*1.2247,2)</f>
        <v>86.16</v>
      </c>
      <c r="H74" s="70">
        <f>TRUNC((E74*F74),2)</f>
        <v>11764.19</v>
      </c>
      <c r="I74" s="70">
        <f>TRUNC((E74*G74),2)</f>
        <v>14405.95</v>
      </c>
    </row>
    <row r="75" spans="1:9" s="10" customFormat="1" ht="18.75">
      <c r="A75" s="95"/>
      <c r="B75" s="66" t="s">
        <v>265</v>
      </c>
      <c r="C75" s="67" t="s">
        <v>266</v>
      </c>
      <c r="D75" s="63" t="s">
        <v>0</v>
      </c>
      <c r="E75" s="79">
        <v>1</v>
      </c>
      <c r="F75" s="64">
        <f>G78</f>
        <v>70.36</v>
      </c>
      <c r="G75" s="64">
        <f>TRUNC(E75*F75,2)</f>
        <v>70.36</v>
      </c>
      <c r="H75" s="64"/>
      <c r="I75" s="65"/>
    </row>
    <row r="76" spans="1:9" s="10" customFormat="1" ht="18.75">
      <c r="A76" s="95"/>
      <c r="B76" s="66" t="s">
        <v>267</v>
      </c>
      <c r="C76" s="67" t="s">
        <v>268</v>
      </c>
      <c r="D76" s="63" t="s">
        <v>0</v>
      </c>
      <c r="E76" s="79">
        <v>1</v>
      </c>
      <c r="F76" s="64">
        <f>TRUNC(29.7811,2)</f>
        <v>29.78</v>
      </c>
      <c r="G76" s="64">
        <f>TRUNC(E76*F76,2)</f>
        <v>29.78</v>
      </c>
      <c r="H76" s="64"/>
      <c r="I76" s="65"/>
    </row>
    <row r="77" spans="1:9" s="10" customFormat="1" ht="18.75">
      <c r="A77" s="95"/>
      <c r="B77" s="66" t="s">
        <v>203</v>
      </c>
      <c r="C77" s="67" t="s">
        <v>204</v>
      </c>
      <c r="D77" s="63" t="s">
        <v>1</v>
      </c>
      <c r="E77" s="79">
        <v>2.83</v>
      </c>
      <c r="F77" s="64">
        <v>14.34</v>
      </c>
      <c r="G77" s="64">
        <f>TRUNC(E77*F77,2)</f>
        <v>40.58</v>
      </c>
      <c r="H77" s="64"/>
      <c r="I77" s="65"/>
    </row>
    <row r="78" spans="1:9" s="10" customFormat="1" ht="18.75">
      <c r="A78" s="95"/>
      <c r="B78" s="66"/>
      <c r="C78" s="67"/>
      <c r="D78" s="63"/>
      <c r="E78" s="59" t="s">
        <v>2</v>
      </c>
      <c r="F78" s="60"/>
      <c r="G78" s="60">
        <f>TRUNC(SUM(G76:G77),2)</f>
        <v>70.36</v>
      </c>
      <c r="H78" s="64"/>
      <c r="I78" s="65"/>
    </row>
    <row r="79" spans="1:9" s="10" customFormat="1" ht="18.75">
      <c r="A79" s="106" t="s">
        <v>253</v>
      </c>
      <c r="B79" s="107"/>
      <c r="C79" s="121" t="s">
        <v>176</v>
      </c>
      <c r="D79" s="106"/>
      <c r="E79" s="119"/>
      <c r="F79" s="120"/>
      <c r="G79" s="120"/>
      <c r="H79" s="120">
        <f>H66+H57+H45+H38+H34+H30+H26+H14+H74</f>
        <v>316755.78</v>
      </c>
      <c r="I79" s="120">
        <f>I66+I57+I45+I38+I34+I30+I26+I14+I74</f>
        <v>387847.47000000003</v>
      </c>
    </row>
    <row r="80" spans="1:9" s="10" customFormat="1" ht="18.75">
      <c r="A80" s="116" t="s">
        <v>181</v>
      </c>
      <c r="B80" s="111"/>
      <c r="C80" s="114" t="s">
        <v>118</v>
      </c>
      <c r="D80" s="110"/>
      <c r="E80" s="112"/>
      <c r="F80" s="113"/>
      <c r="G80" s="113"/>
      <c r="H80" s="113"/>
      <c r="I80" s="113"/>
    </row>
    <row r="81" spans="1:9" s="10" customFormat="1" ht="31.5">
      <c r="A81" s="77" t="s">
        <v>182</v>
      </c>
      <c r="B81" s="71" t="s">
        <v>127</v>
      </c>
      <c r="C81" s="92" t="s">
        <v>128</v>
      </c>
      <c r="D81" s="77" t="s">
        <v>54</v>
      </c>
      <c r="E81" s="78">
        <v>45</v>
      </c>
      <c r="F81" s="89">
        <f>TRUNC(F82,2)</f>
        <v>7.43</v>
      </c>
      <c r="G81" s="70">
        <f>TRUNC(F81*1.2247,2)</f>
        <v>9.09</v>
      </c>
      <c r="H81" s="70">
        <f>TRUNC((E81*F81),2)</f>
        <v>334.35</v>
      </c>
      <c r="I81" s="70">
        <f>TRUNC((E81*G81),2)</f>
        <v>409.05</v>
      </c>
    </row>
    <row r="82" spans="1:9" s="10" customFormat="1" ht="30">
      <c r="A82" s="95"/>
      <c r="B82" s="66" t="s">
        <v>127</v>
      </c>
      <c r="C82" s="67" t="s">
        <v>128</v>
      </c>
      <c r="D82" s="63" t="s">
        <v>54</v>
      </c>
      <c r="E82" s="79">
        <v>1</v>
      </c>
      <c r="F82" s="64">
        <f>G87</f>
        <v>7.43</v>
      </c>
      <c r="G82" s="64">
        <f>TRUNC(E82*F82,2)</f>
        <v>7.43</v>
      </c>
      <c r="H82" s="64"/>
      <c r="I82" s="65"/>
    </row>
    <row r="83" spans="1:9" s="10" customFormat="1" ht="18.75">
      <c r="A83" s="95"/>
      <c r="B83" s="66" t="s">
        <v>129</v>
      </c>
      <c r="C83" s="67" t="s">
        <v>71</v>
      </c>
      <c r="D83" s="63" t="s">
        <v>67</v>
      </c>
      <c r="E83" s="79">
        <v>0.0016</v>
      </c>
      <c r="F83" s="64">
        <f>TRUNC(18.6,2)</f>
        <v>18.6</v>
      </c>
      <c r="G83" s="64">
        <f>TRUNC(E83*F83,2)</f>
        <v>0.02</v>
      </c>
      <c r="H83" s="64"/>
      <c r="I83" s="65"/>
    </row>
    <row r="84" spans="1:9" s="10" customFormat="1" ht="18.75">
      <c r="A84" s="95"/>
      <c r="B84" s="66" t="s">
        <v>130</v>
      </c>
      <c r="C84" s="67" t="s">
        <v>131</v>
      </c>
      <c r="D84" s="63" t="s">
        <v>54</v>
      </c>
      <c r="E84" s="79">
        <v>1.017</v>
      </c>
      <c r="F84" s="64">
        <f>TRUNC(2.85,2)</f>
        <v>2.85</v>
      </c>
      <c r="G84" s="64">
        <f>TRUNC(E84*F84,2)</f>
        <v>2.89</v>
      </c>
      <c r="H84" s="64"/>
      <c r="I84" s="65"/>
    </row>
    <row r="85" spans="1:9" s="10" customFormat="1" ht="18.75">
      <c r="A85" s="95"/>
      <c r="B85" s="66" t="s">
        <v>132</v>
      </c>
      <c r="C85" s="67" t="s">
        <v>133</v>
      </c>
      <c r="D85" s="63" t="s">
        <v>1</v>
      </c>
      <c r="E85" s="79">
        <v>0.085</v>
      </c>
      <c r="F85" s="64">
        <f>TRUNC(30.08,2)</f>
        <v>30.08</v>
      </c>
      <c r="G85" s="64">
        <f>TRUNC(E85*F85,2)</f>
        <v>2.55</v>
      </c>
      <c r="H85" s="64"/>
      <c r="I85" s="65"/>
    </row>
    <row r="86" spans="1:9" s="10" customFormat="1" ht="18.75">
      <c r="A86" s="95"/>
      <c r="B86" s="66" t="s">
        <v>134</v>
      </c>
      <c r="C86" s="67" t="s">
        <v>135</v>
      </c>
      <c r="D86" s="63" t="s">
        <v>1</v>
      </c>
      <c r="E86" s="79">
        <v>0.085</v>
      </c>
      <c r="F86" s="64">
        <f>TRUNC(23.24,2)</f>
        <v>23.24</v>
      </c>
      <c r="G86" s="64">
        <f>TRUNC(E86*F86,2)</f>
        <v>1.97</v>
      </c>
      <c r="H86" s="64"/>
      <c r="I86" s="65"/>
    </row>
    <row r="87" spans="1:9" s="10" customFormat="1" ht="18.75">
      <c r="A87" s="95"/>
      <c r="B87" s="66"/>
      <c r="C87" s="67"/>
      <c r="D87" s="63"/>
      <c r="E87" s="59" t="s">
        <v>2</v>
      </c>
      <c r="F87" s="60"/>
      <c r="G87" s="60">
        <f>TRUNC(SUM(G83:G86),2)</f>
        <v>7.43</v>
      </c>
      <c r="H87" s="64"/>
      <c r="I87" s="65"/>
    </row>
    <row r="88" spans="1:9" s="10" customFormat="1" ht="47.25">
      <c r="A88" s="77" t="s">
        <v>183</v>
      </c>
      <c r="B88" s="71" t="s">
        <v>119</v>
      </c>
      <c r="C88" s="92" t="s">
        <v>120</v>
      </c>
      <c r="D88" s="77" t="s">
        <v>54</v>
      </c>
      <c r="E88" s="78">
        <v>150</v>
      </c>
      <c r="F88" s="89">
        <f>TRUNC(F89,2)</f>
        <v>3.61</v>
      </c>
      <c r="G88" s="70">
        <f>TRUNC(F88*1.2247,2)</f>
        <v>4.42</v>
      </c>
      <c r="H88" s="70">
        <f>TRUNC((E88*F88),2)</f>
        <v>541.5</v>
      </c>
      <c r="I88" s="70">
        <f>TRUNC((E88*G88),2)</f>
        <v>663</v>
      </c>
    </row>
    <row r="89" spans="1:9" s="10" customFormat="1" ht="45">
      <c r="A89" s="95"/>
      <c r="B89" s="66" t="s">
        <v>119</v>
      </c>
      <c r="C89" s="67" t="s">
        <v>120</v>
      </c>
      <c r="D89" s="63" t="s">
        <v>54</v>
      </c>
      <c r="E89" s="79">
        <v>1</v>
      </c>
      <c r="F89" s="64">
        <f>G94</f>
        <v>3.61</v>
      </c>
      <c r="G89" s="64">
        <f>TRUNC(E89*F89,2)</f>
        <v>3.61</v>
      </c>
      <c r="H89" s="64"/>
      <c r="I89" s="65"/>
    </row>
    <row r="90" spans="1:9" s="10" customFormat="1" ht="18.75">
      <c r="A90" s="95"/>
      <c r="B90" s="66" t="s">
        <v>121</v>
      </c>
      <c r="C90" s="67" t="s">
        <v>122</v>
      </c>
      <c r="D90" s="63" t="s">
        <v>54</v>
      </c>
      <c r="E90" s="79">
        <v>1</v>
      </c>
      <c r="F90" s="64">
        <f>TRUNC(1.5962,2)</f>
        <v>1.59</v>
      </c>
      <c r="G90" s="64">
        <f>TRUNC(E90*F90,2)</f>
        <v>1.59</v>
      </c>
      <c r="H90" s="64"/>
      <c r="I90" s="65"/>
    </row>
    <row r="91" spans="1:9" s="10" customFormat="1" ht="18.75">
      <c r="A91" s="95"/>
      <c r="B91" s="66" t="s">
        <v>123</v>
      </c>
      <c r="C91" s="67" t="s">
        <v>124</v>
      </c>
      <c r="D91" s="63" t="s">
        <v>3</v>
      </c>
      <c r="E91" s="79">
        <v>0.0014</v>
      </c>
      <c r="F91" s="64">
        <f>TRUNC(4.22,2)</f>
        <v>4.22</v>
      </c>
      <c r="G91" s="64">
        <f>TRUNC(E91*F91,2)</f>
        <v>0</v>
      </c>
      <c r="H91" s="64"/>
      <c r="I91" s="65"/>
    </row>
    <row r="92" spans="1:9" s="10" customFormat="1" ht="18.75">
      <c r="A92" s="95"/>
      <c r="B92" s="66" t="s">
        <v>63</v>
      </c>
      <c r="C92" s="67" t="s">
        <v>64</v>
      </c>
      <c r="D92" s="63" t="s">
        <v>1</v>
      </c>
      <c r="E92" s="79">
        <v>0.051500000000000004</v>
      </c>
      <c r="F92" s="64">
        <f>TRUNC(16.55,2)</f>
        <v>16.55</v>
      </c>
      <c r="G92" s="64">
        <f>TRUNC(E92*F92,2)</f>
        <v>0.85</v>
      </c>
      <c r="H92" s="64"/>
      <c r="I92" s="65"/>
    </row>
    <row r="93" spans="1:9" s="10" customFormat="1" ht="18.75">
      <c r="A93" s="95"/>
      <c r="B93" s="66" t="s">
        <v>125</v>
      </c>
      <c r="C93" s="67" t="s">
        <v>126</v>
      </c>
      <c r="D93" s="63" t="s">
        <v>1</v>
      </c>
      <c r="E93" s="79">
        <v>0.051500000000000004</v>
      </c>
      <c r="F93" s="64">
        <f>TRUNC(22.86,2)</f>
        <v>22.86</v>
      </c>
      <c r="G93" s="64">
        <f>TRUNC(E93*F93,2)</f>
        <v>1.17</v>
      </c>
      <c r="H93" s="64"/>
      <c r="I93" s="65"/>
    </row>
    <row r="94" spans="1:9" s="10" customFormat="1" ht="18.75">
      <c r="A94" s="95"/>
      <c r="B94" s="66"/>
      <c r="C94" s="67"/>
      <c r="D94" s="63"/>
      <c r="E94" s="59" t="s">
        <v>2</v>
      </c>
      <c r="F94" s="60"/>
      <c r="G94" s="60">
        <f>TRUNC(SUM(G90:G93),2)</f>
        <v>3.61</v>
      </c>
      <c r="H94" s="64"/>
      <c r="I94" s="65"/>
    </row>
    <row r="95" spans="1:9" s="10" customFormat="1" ht="18.75">
      <c r="A95" s="106" t="s">
        <v>253</v>
      </c>
      <c r="B95" s="107"/>
      <c r="C95" s="121" t="s">
        <v>184</v>
      </c>
      <c r="D95" s="106"/>
      <c r="E95" s="119"/>
      <c r="F95" s="120"/>
      <c r="G95" s="120"/>
      <c r="H95" s="120">
        <f>H88+H81</f>
        <v>875.85</v>
      </c>
      <c r="I95" s="120">
        <f>I88+I81</f>
        <v>1072.05</v>
      </c>
    </row>
    <row r="96" spans="1:9" s="10" customFormat="1" ht="16.5" customHeight="1">
      <c r="A96" s="122" t="s">
        <v>185</v>
      </c>
      <c r="B96" s="107"/>
      <c r="C96" s="115" t="s">
        <v>136</v>
      </c>
      <c r="D96" s="106"/>
      <c r="E96" s="108"/>
      <c r="F96" s="109"/>
      <c r="G96" s="109"/>
      <c r="H96" s="109"/>
      <c r="I96" s="109"/>
    </row>
    <row r="97" spans="1:9" s="10" customFormat="1" ht="47.25">
      <c r="A97" s="77" t="s">
        <v>186</v>
      </c>
      <c r="B97" s="71" t="s">
        <v>137</v>
      </c>
      <c r="C97" s="92" t="s">
        <v>138</v>
      </c>
      <c r="D97" s="77" t="s">
        <v>139</v>
      </c>
      <c r="E97" s="78">
        <v>135.51</v>
      </c>
      <c r="F97" s="89">
        <f>TRUNC(F98,2)</f>
        <v>353.64</v>
      </c>
      <c r="G97" s="70">
        <f>TRUNC(F97*1.2302,2)</f>
        <v>435.04</v>
      </c>
      <c r="H97" s="70">
        <f>TRUNC((E97*F97),2)</f>
        <v>47921.75</v>
      </c>
      <c r="I97" s="70">
        <f>TRUNC((E97*G97),2)</f>
        <v>58952.27</v>
      </c>
    </row>
    <row r="98" spans="1:9" s="10" customFormat="1" ht="45">
      <c r="A98" s="95"/>
      <c r="B98" s="66" t="s">
        <v>137</v>
      </c>
      <c r="C98" s="67" t="s">
        <v>138</v>
      </c>
      <c r="D98" s="63" t="s">
        <v>139</v>
      </c>
      <c r="E98" s="79">
        <v>1</v>
      </c>
      <c r="F98" s="64">
        <f>G106</f>
        <v>353.64</v>
      </c>
      <c r="G98" s="64">
        <f aca="true" t="shared" si="4" ref="G98:G105">TRUNC(E98*F98,2)</f>
        <v>353.64</v>
      </c>
      <c r="H98" s="64"/>
      <c r="I98" s="65"/>
    </row>
    <row r="99" spans="1:9" s="10" customFormat="1" ht="18.75">
      <c r="A99" s="95"/>
      <c r="B99" s="66" t="s">
        <v>63</v>
      </c>
      <c r="C99" s="67" t="s">
        <v>64</v>
      </c>
      <c r="D99" s="63" t="s">
        <v>1</v>
      </c>
      <c r="E99" s="79">
        <v>4.12</v>
      </c>
      <c r="F99" s="64">
        <f>TRUNC(16.55,2)</f>
        <v>16.55</v>
      </c>
      <c r="G99" s="64">
        <f t="shared" si="4"/>
        <v>68.18</v>
      </c>
      <c r="H99" s="64"/>
      <c r="I99" s="65"/>
    </row>
    <row r="100" spans="1:9" s="10" customFormat="1" ht="18.75">
      <c r="A100" s="95"/>
      <c r="B100" s="66" t="s">
        <v>140</v>
      </c>
      <c r="C100" s="67" t="s">
        <v>141</v>
      </c>
      <c r="D100" s="63" t="s">
        <v>1</v>
      </c>
      <c r="E100" s="79">
        <v>4.12</v>
      </c>
      <c r="F100" s="64">
        <f>TRUNC(22.86,2)</f>
        <v>22.86</v>
      </c>
      <c r="G100" s="64">
        <f t="shared" si="4"/>
        <v>94.18</v>
      </c>
      <c r="H100" s="64"/>
      <c r="I100" s="65"/>
    </row>
    <row r="101" spans="1:9" s="10" customFormat="1" ht="18.75">
      <c r="A101" s="95"/>
      <c r="B101" s="66" t="s">
        <v>142</v>
      </c>
      <c r="C101" s="67" t="s">
        <v>143</v>
      </c>
      <c r="D101" s="63" t="s">
        <v>1</v>
      </c>
      <c r="E101" s="79">
        <v>2.1630000000000003</v>
      </c>
      <c r="F101" s="64">
        <f>TRUNC(25.68,2)</f>
        <v>25.68</v>
      </c>
      <c r="G101" s="64">
        <f t="shared" si="4"/>
        <v>55.54</v>
      </c>
      <c r="H101" s="64"/>
      <c r="I101" s="65"/>
    </row>
    <row r="102" spans="1:9" s="10" customFormat="1" ht="30">
      <c r="A102" s="95"/>
      <c r="B102" s="66" t="s">
        <v>144</v>
      </c>
      <c r="C102" s="67" t="s">
        <v>145</v>
      </c>
      <c r="D102" s="63" t="s">
        <v>1</v>
      </c>
      <c r="E102" s="79">
        <v>1</v>
      </c>
      <c r="F102" s="64">
        <f>TRUNC(0.7719,2)</f>
        <v>0.77</v>
      </c>
      <c r="G102" s="64">
        <f t="shared" si="4"/>
        <v>0.77</v>
      </c>
      <c r="H102" s="64"/>
      <c r="I102" s="65"/>
    </row>
    <row r="103" spans="1:9" s="10" customFormat="1" ht="30">
      <c r="A103" s="95"/>
      <c r="B103" s="66" t="s">
        <v>146</v>
      </c>
      <c r="C103" s="67" t="s">
        <v>147</v>
      </c>
      <c r="D103" s="63" t="s">
        <v>1</v>
      </c>
      <c r="E103" s="79">
        <v>3.2</v>
      </c>
      <c r="F103" s="64">
        <f>TRUNC(1.1578,2)</f>
        <v>1.15</v>
      </c>
      <c r="G103" s="64">
        <f t="shared" si="4"/>
        <v>3.68</v>
      </c>
      <c r="H103" s="64"/>
      <c r="I103" s="65"/>
    </row>
    <row r="104" spans="1:9" s="10" customFormat="1" ht="18.75">
      <c r="A104" s="95"/>
      <c r="B104" s="66" t="s">
        <v>148</v>
      </c>
      <c r="C104" s="67" t="s">
        <v>149</v>
      </c>
      <c r="D104" s="63" t="s">
        <v>1</v>
      </c>
      <c r="E104" s="79">
        <v>0.5</v>
      </c>
      <c r="F104" s="64">
        <f>TRUNC(13.8837,2)</f>
        <v>13.88</v>
      </c>
      <c r="G104" s="64">
        <f t="shared" si="4"/>
        <v>6.94</v>
      </c>
      <c r="H104" s="64"/>
      <c r="I104" s="65"/>
    </row>
    <row r="105" spans="1:9" s="10" customFormat="1" ht="18.75">
      <c r="A105" s="95"/>
      <c r="B105" s="66" t="s">
        <v>150</v>
      </c>
      <c r="C105" s="67" t="s">
        <v>151</v>
      </c>
      <c r="D105" s="63" t="s">
        <v>1</v>
      </c>
      <c r="E105" s="79">
        <v>1.6</v>
      </c>
      <c r="F105" s="64">
        <f>TRUNC(77.7274,2)</f>
        <v>77.72</v>
      </c>
      <c r="G105" s="64">
        <f t="shared" si="4"/>
        <v>124.35</v>
      </c>
      <c r="H105" s="64"/>
      <c r="I105" s="65"/>
    </row>
    <row r="106" spans="1:9" s="10" customFormat="1" ht="18.75">
      <c r="A106" s="95"/>
      <c r="B106" s="66"/>
      <c r="C106" s="67"/>
      <c r="D106" s="63"/>
      <c r="E106" s="59" t="s">
        <v>2</v>
      </c>
      <c r="F106" s="60"/>
      <c r="G106" s="60">
        <f>TRUNC(SUM(G99:G105),2)</f>
        <v>353.64</v>
      </c>
      <c r="H106" s="64"/>
      <c r="I106" s="65"/>
    </row>
    <row r="107" spans="1:9" s="10" customFormat="1" ht="31.5">
      <c r="A107" s="77" t="s">
        <v>187</v>
      </c>
      <c r="B107" s="71" t="s">
        <v>152</v>
      </c>
      <c r="C107" s="92" t="s">
        <v>153</v>
      </c>
      <c r="D107" s="77" t="s">
        <v>0</v>
      </c>
      <c r="E107" s="78">
        <v>1238.8</v>
      </c>
      <c r="F107" s="89">
        <f>TRUNC(F108,2)</f>
        <v>47.87</v>
      </c>
      <c r="G107" s="70">
        <f>TRUNC(F107*1.2302,2)</f>
        <v>58.88</v>
      </c>
      <c r="H107" s="70">
        <f>TRUNC((E107*F107),2)</f>
        <v>59301.35</v>
      </c>
      <c r="I107" s="70">
        <f>TRUNC((E107*G107),2)</f>
        <v>72940.54</v>
      </c>
    </row>
    <row r="108" spans="1:9" s="10" customFormat="1" ht="30">
      <c r="A108" s="95"/>
      <c r="B108" s="66" t="s">
        <v>152</v>
      </c>
      <c r="C108" s="67" t="s">
        <v>153</v>
      </c>
      <c r="D108" s="63" t="s">
        <v>0</v>
      </c>
      <c r="E108" s="79">
        <v>1</v>
      </c>
      <c r="F108" s="64">
        <f>G112</f>
        <v>47.87</v>
      </c>
      <c r="G108" s="64">
        <f>TRUNC(E108*F108,2)</f>
        <v>47.87</v>
      </c>
      <c r="H108" s="64"/>
      <c r="I108" s="65"/>
    </row>
    <row r="109" spans="1:9" s="10" customFormat="1" ht="18.75">
      <c r="A109" s="95"/>
      <c r="B109" s="66" t="s">
        <v>63</v>
      </c>
      <c r="C109" s="67" t="s">
        <v>64</v>
      </c>
      <c r="D109" s="63" t="s">
        <v>1</v>
      </c>
      <c r="E109" s="79">
        <v>0.7725</v>
      </c>
      <c r="F109" s="64">
        <f>TRUNC(16.55,2)</f>
        <v>16.55</v>
      </c>
      <c r="G109" s="64">
        <f>TRUNC(E109*F109,2)</f>
        <v>12.78</v>
      </c>
      <c r="H109" s="64"/>
      <c r="I109" s="65"/>
    </row>
    <row r="110" spans="1:9" s="10" customFormat="1" ht="18.75">
      <c r="A110" s="95"/>
      <c r="B110" s="66" t="s">
        <v>102</v>
      </c>
      <c r="C110" s="67" t="s">
        <v>103</v>
      </c>
      <c r="D110" s="63" t="s">
        <v>1</v>
      </c>
      <c r="E110" s="79">
        <v>0.7725</v>
      </c>
      <c r="F110" s="64">
        <f>TRUNC(22.86,2)</f>
        <v>22.86</v>
      </c>
      <c r="G110" s="64">
        <f>TRUNC(E110*F110,2)</f>
        <v>17.65</v>
      </c>
      <c r="H110" s="64"/>
      <c r="I110" s="65"/>
    </row>
    <row r="111" spans="1:9" s="10" customFormat="1" ht="18.75">
      <c r="A111" s="95"/>
      <c r="B111" s="66" t="s">
        <v>154</v>
      </c>
      <c r="C111" s="67" t="s">
        <v>155</v>
      </c>
      <c r="D111" s="63" t="s">
        <v>139</v>
      </c>
      <c r="E111" s="79">
        <v>0.05</v>
      </c>
      <c r="F111" s="64">
        <f>TRUNC(348.842,2)</f>
        <v>348.84</v>
      </c>
      <c r="G111" s="64">
        <f>TRUNC(E111*F111,2)</f>
        <v>17.44</v>
      </c>
      <c r="H111" s="64"/>
      <c r="I111" s="65"/>
    </row>
    <row r="112" spans="1:9" s="10" customFormat="1" ht="18.75">
      <c r="A112" s="95"/>
      <c r="B112" s="66"/>
      <c r="C112" s="67"/>
      <c r="D112" s="63"/>
      <c r="E112" s="59" t="s">
        <v>2</v>
      </c>
      <c r="F112" s="60"/>
      <c r="G112" s="60">
        <f>TRUNC(SUM(G109:G111),2)</f>
        <v>47.87</v>
      </c>
      <c r="H112" s="64"/>
      <c r="I112" s="65"/>
    </row>
    <row r="113" spans="1:9" s="10" customFormat="1" ht="18.75">
      <c r="A113" s="77" t="s">
        <v>188</v>
      </c>
      <c r="B113" s="71" t="s">
        <v>156</v>
      </c>
      <c r="C113" s="92" t="s">
        <v>157</v>
      </c>
      <c r="D113" s="77" t="s">
        <v>0</v>
      </c>
      <c r="E113" s="78">
        <v>1238.8</v>
      </c>
      <c r="F113" s="89">
        <f>TRUNC(F114,2)</f>
        <v>32.42</v>
      </c>
      <c r="G113" s="70">
        <f>TRUNC(F113*1.2302,2)</f>
        <v>39.88</v>
      </c>
      <c r="H113" s="70">
        <f>TRUNC((E113*F113),2)</f>
        <v>40161.89</v>
      </c>
      <c r="I113" s="70">
        <f>TRUNC((E113*G113),2)</f>
        <v>49403.34</v>
      </c>
    </row>
    <row r="114" spans="1:9" s="10" customFormat="1" ht="18.75">
      <c r="A114" s="95"/>
      <c r="B114" s="66" t="s">
        <v>156</v>
      </c>
      <c r="C114" s="67" t="s">
        <v>157</v>
      </c>
      <c r="D114" s="63" t="s">
        <v>0</v>
      </c>
      <c r="E114" s="79">
        <v>1</v>
      </c>
      <c r="F114" s="64">
        <f>G118</f>
        <v>32.42</v>
      </c>
      <c r="G114" s="64">
        <f>TRUNC(E114*F114,2)</f>
        <v>32.42</v>
      </c>
      <c r="H114" s="64"/>
      <c r="I114" s="65"/>
    </row>
    <row r="115" spans="1:9" s="10" customFormat="1" ht="18.75">
      <c r="A115" s="95"/>
      <c r="B115" s="66" t="s">
        <v>158</v>
      </c>
      <c r="C115" s="67" t="s">
        <v>159</v>
      </c>
      <c r="D115" s="63" t="s">
        <v>67</v>
      </c>
      <c r="E115" s="79">
        <v>4</v>
      </c>
      <c r="F115" s="64">
        <f>TRUNC(7.43,2)</f>
        <v>7.43</v>
      </c>
      <c r="G115" s="64">
        <f>TRUNC(E115*F115,2)</f>
        <v>29.72</v>
      </c>
      <c r="H115" s="64"/>
      <c r="I115" s="65"/>
    </row>
    <row r="116" spans="1:9" s="10" customFormat="1" ht="18.75">
      <c r="A116" s="95"/>
      <c r="B116" s="66" t="s">
        <v>160</v>
      </c>
      <c r="C116" s="67" t="s">
        <v>161</v>
      </c>
      <c r="D116" s="63" t="s">
        <v>1</v>
      </c>
      <c r="E116" s="79">
        <v>0.088</v>
      </c>
      <c r="F116" s="64">
        <f>TRUNC(29.96,2)</f>
        <v>29.96</v>
      </c>
      <c r="G116" s="64">
        <f>TRUNC(E116*F116,2)</f>
        <v>2.63</v>
      </c>
      <c r="H116" s="64"/>
      <c r="I116" s="65"/>
    </row>
    <row r="117" spans="1:9" s="10" customFormat="1" ht="30">
      <c r="A117" s="95"/>
      <c r="B117" s="66" t="s">
        <v>162</v>
      </c>
      <c r="C117" s="67" t="s">
        <v>163</v>
      </c>
      <c r="D117" s="63" t="s">
        <v>70</v>
      </c>
      <c r="E117" s="79">
        <v>0.007</v>
      </c>
      <c r="F117" s="64">
        <f>TRUNC(10.04,2)</f>
        <v>10.04</v>
      </c>
      <c r="G117" s="64">
        <f>TRUNC(E117*F117,2)</f>
        <v>0.07</v>
      </c>
      <c r="H117" s="64"/>
      <c r="I117" s="65"/>
    </row>
    <row r="118" spans="1:9" s="10" customFormat="1" ht="18.75">
      <c r="A118" s="95"/>
      <c r="B118" s="66"/>
      <c r="C118" s="67"/>
      <c r="D118" s="63"/>
      <c r="E118" s="123" t="s">
        <v>2</v>
      </c>
      <c r="F118" s="124"/>
      <c r="G118" s="124">
        <f>TRUNC(SUM(G115:G117),2)</f>
        <v>32.42</v>
      </c>
      <c r="H118" s="64"/>
      <c r="I118" s="65"/>
    </row>
    <row r="119" spans="1:9" s="10" customFormat="1" ht="18.75">
      <c r="A119" s="106" t="s">
        <v>253</v>
      </c>
      <c r="B119" s="107"/>
      <c r="C119" s="121" t="s">
        <v>189</v>
      </c>
      <c r="D119" s="106"/>
      <c r="E119" s="119"/>
      <c r="F119" s="120"/>
      <c r="G119" s="120"/>
      <c r="H119" s="120">
        <f>H113+H107+H97</f>
        <v>147384.99</v>
      </c>
      <c r="I119" s="120">
        <f>I113+I107+I97</f>
        <v>181296.15</v>
      </c>
    </row>
    <row r="120" spans="1:9" s="1" customFormat="1" ht="15.75">
      <c r="A120" s="82" t="s">
        <v>34</v>
      </c>
      <c r="B120" s="83"/>
      <c r="C120" s="179"/>
      <c r="D120" s="180"/>
      <c r="E120" s="181"/>
      <c r="F120" s="83"/>
      <c r="G120" s="68" t="s">
        <v>19</v>
      </c>
      <c r="H120" s="84"/>
      <c r="I120" s="25">
        <f>I119+I95+I79</f>
        <v>570215.67</v>
      </c>
    </row>
    <row r="121" spans="1:9" ht="15.75">
      <c r="A121" s="85" t="s">
        <v>34</v>
      </c>
      <c r="B121" s="86"/>
      <c r="C121" s="86"/>
      <c r="D121" s="86"/>
      <c r="E121" s="86"/>
      <c r="F121" s="86"/>
      <c r="G121" s="72" t="s">
        <v>33</v>
      </c>
      <c r="H121" s="25">
        <f>H119+H95+H79</f>
        <v>465016.62</v>
      </c>
      <c r="I121" s="125"/>
    </row>
    <row r="122" spans="1:9" s="10" customFormat="1" ht="18.75">
      <c r="A122" s="24"/>
      <c r="B122" s="158"/>
      <c r="C122" s="159"/>
      <c r="D122" s="160"/>
      <c r="E122" s="161"/>
      <c r="F122" s="162"/>
      <c r="G122" s="163"/>
      <c r="H122" s="164"/>
      <c r="I122" s="165"/>
    </row>
    <row r="123" spans="1:9" s="10" customFormat="1" ht="18.75">
      <c r="A123" s="58"/>
      <c r="B123" s="61"/>
      <c r="C123" s="62"/>
      <c r="D123" s="63"/>
      <c r="E123" s="59"/>
      <c r="F123" s="69"/>
      <c r="G123" s="60"/>
      <c r="H123" s="64"/>
      <c r="I123" s="65"/>
    </row>
    <row r="124" spans="1:9" s="10" customFormat="1" ht="18.75">
      <c r="A124" s="58"/>
      <c r="B124" s="61"/>
      <c r="C124" s="62"/>
      <c r="D124" s="63"/>
      <c r="E124" s="59"/>
      <c r="F124" s="69"/>
      <c r="G124" s="60"/>
      <c r="H124" s="64"/>
      <c r="I124" s="65"/>
    </row>
    <row r="125" spans="1:9" s="10" customFormat="1" ht="18.75">
      <c r="A125" s="58"/>
      <c r="B125" s="61"/>
      <c r="C125" s="62" t="s">
        <v>260</v>
      </c>
      <c r="D125" s="63"/>
      <c r="E125" s="59"/>
      <c r="F125" s="69"/>
      <c r="G125" s="60"/>
      <c r="H125" s="64"/>
      <c r="I125" s="65"/>
    </row>
    <row r="126" spans="1:9" s="10" customFormat="1" ht="18.75">
      <c r="A126" s="58"/>
      <c r="B126" s="61"/>
      <c r="C126" s="62" t="s">
        <v>261</v>
      </c>
      <c r="D126" s="63"/>
      <c r="E126" s="59"/>
      <c r="F126" s="69"/>
      <c r="G126" s="60"/>
      <c r="H126" s="64"/>
      <c r="I126" s="65"/>
    </row>
    <row r="127" spans="1:9" s="10" customFormat="1" ht="18.75">
      <c r="A127" s="58"/>
      <c r="B127" s="61"/>
      <c r="C127" s="62" t="s">
        <v>262</v>
      </c>
      <c r="D127" s="63"/>
      <c r="E127" s="59"/>
      <c r="F127" s="69"/>
      <c r="G127" s="60"/>
      <c r="H127" s="64"/>
      <c r="I127" s="65"/>
    </row>
    <row r="128" spans="1:9" s="10" customFormat="1" ht="18.75">
      <c r="A128" s="166"/>
      <c r="B128" s="167"/>
      <c r="C128" s="168"/>
      <c r="D128" s="169"/>
      <c r="E128" s="170"/>
      <c r="F128" s="171"/>
      <c r="G128" s="172"/>
      <c r="H128" s="173"/>
      <c r="I128" s="174"/>
    </row>
    <row r="129" spans="1:9" s="10" customFormat="1" ht="18.75">
      <c r="A129" s="58"/>
      <c r="B129" s="61"/>
      <c r="C129" s="62"/>
      <c r="D129" s="63"/>
      <c r="E129" s="59"/>
      <c r="F129" s="69"/>
      <c r="G129" s="60"/>
      <c r="H129" s="64"/>
      <c r="I129" s="65"/>
    </row>
    <row r="130" spans="1:9" s="10" customFormat="1" ht="18.75">
      <c r="A130" s="58"/>
      <c r="B130" s="61"/>
      <c r="C130" s="62"/>
      <c r="D130" s="63"/>
      <c r="E130" s="59"/>
      <c r="F130" s="69"/>
      <c r="G130" s="60"/>
      <c r="H130" s="64"/>
      <c r="I130" s="65"/>
    </row>
    <row r="131" spans="1:9" s="10" customFormat="1" ht="18.75">
      <c r="A131" s="58"/>
      <c r="B131" s="61"/>
      <c r="C131" s="62"/>
      <c r="D131" s="63"/>
      <c r="E131" s="59"/>
      <c r="F131" s="69"/>
      <c r="G131" s="60"/>
      <c r="H131" s="64"/>
      <c r="I131" s="65"/>
    </row>
    <row r="132" spans="1:9" s="10" customFormat="1" ht="18.75">
      <c r="A132" s="58"/>
      <c r="B132" s="61"/>
      <c r="C132" s="62"/>
      <c r="D132" s="63"/>
      <c r="E132" s="59"/>
      <c r="F132" s="69"/>
      <c r="G132" s="60"/>
      <c r="H132" s="64"/>
      <c r="I132" s="65"/>
    </row>
    <row r="133" spans="1:9" s="10" customFormat="1" ht="18.75">
      <c r="A133" s="58"/>
      <c r="B133" s="61"/>
      <c r="C133" s="62"/>
      <c r="D133" s="63"/>
      <c r="E133" s="59"/>
      <c r="F133" s="69"/>
      <c r="G133" s="60"/>
      <c r="H133" s="64"/>
      <c r="I133" s="65"/>
    </row>
    <row r="134" spans="1:9" s="10" customFormat="1" ht="18.75">
      <c r="A134" s="58"/>
      <c r="B134" s="61"/>
      <c r="C134" s="62"/>
      <c r="D134" s="63"/>
      <c r="E134" s="59"/>
      <c r="F134" s="69"/>
      <c r="G134" s="60"/>
      <c r="H134" s="64"/>
      <c r="I134" s="65"/>
    </row>
    <row r="135" spans="1:9" s="10" customFormat="1" ht="18.75">
      <c r="A135" s="58"/>
      <c r="B135" s="61"/>
      <c r="C135" s="62"/>
      <c r="D135" s="63"/>
      <c r="E135" s="59"/>
      <c r="F135" s="69"/>
      <c r="G135" s="60"/>
      <c r="H135" s="64"/>
      <c r="I135" s="65"/>
    </row>
    <row r="136" spans="1:9" s="10" customFormat="1" ht="18.75">
      <c r="A136" s="58"/>
      <c r="B136" s="61"/>
      <c r="C136" s="62"/>
      <c r="D136" s="63"/>
      <c r="E136" s="59"/>
      <c r="F136" s="69"/>
      <c r="G136" s="60"/>
      <c r="H136" s="64"/>
      <c r="I136" s="65"/>
    </row>
    <row r="137" spans="1:9" s="10" customFormat="1" ht="18.75">
      <c r="A137" s="58"/>
      <c r="B137" s="61"/>
      <c r="C137" s="62"/>
      <c r="D137" s="63"/>
      <c r="E137" s="59"/>
      <c r="F137" s="69"/>
      <c r="G137" s="60"/>
      <c r="H137" s="64"/>
      <c r="I137" s="65"/>
    </row>
    <row r="138" spans="1:9" s="10" customFormat="1" ht="18.75">
      <c r="A138" s="58"/>
      <c r="B138" s="61"/>
      <c r="C138" s="62"/>
      <c r="D138" s="63"/>
      <c r="E138" s="59"/>
      <c r="F138" s="69"/>
      <c r="G138" s="60"/>
      <c r="H138" s="64"/>
      <c r="I138" s="65"/>
    </row>
    <row r="139" spans="1:9" s="10" customFormat="1" ht="18.75">
      <c r="A139" s="58"/>
      <c r="B139" s="61"/>
      <c r="C139" s="62"/>
      <c r="D139" s="63"/>
      <c r="E139" s="59"/>
      <c r="F139" s="69"/>
      <c r="G139" s="60"/>
      <c r="H139" s="64"/>
      <c r="I139" s="65"/>
    </row>
    <row r="140" spans="1:9" s="10" customFormat="1" ht="18.75">
      <c r="A140" s="58"/>
      <c r="B140" s="61"/>
      <c r="C140" s="62"/>
      <c r="D140" s="63"/>
      <c r="E140" s="59"/>
      <c r="F140" s="69"/>
      <c r="G140" s="60"/>
      <c r="H140" s="64"/>
      <c r="I140" s="65"/>
    </row>
    <row r="141" spans="1:9" s="10" customFormat="1" ht="18.75">
      <c r="A141" s="58"/>
      <c r="B141" s="61"/>
      <c r="C141" s="62"/>
      <c r="D141" s="63"/>
      <c r="E141" s="59"/>
      <c r="F141" s="69"/>
      <c r="G141" s="60"/>
      <c r="H141" s="64"/>
      <c r="I141" s="65"/>
    </row>
    <row r="142" spans="1:9" s="10" customFormat="1" ht="18.75">
      <c r="A142" s="58"/>
      <c r="B142" s="61"/>
      <c r="C142" s="62"/>
      <c r="D142" s="63"/>
      <c r="E142" s="59"/>
      <c r="F142" s="69"/>
      <c r="G142" s="60"/>
      <c r="H142" s="64"/>
      <c r="I142" s="65"/>
    </row>
    <row r="143" spans="1:9" s="10" customFormat="1" ht="18.75">
      <c r="A143" s="58"/>
      <c r="B143" s="61"/>
      <c r="C143" s="62"/>
      <c r="D143" s="63"/>
      <c r="E143" s="59"/>
      <c r="F143" s="69"/>
      <c r="G143" s="60"/>
      <c r="H143" s="64"/>
      <c r="I143" s="65"/>
    </row>
    <row r="144" spans="1:9" s="10" customFormat="1" ht="18.75">
      <c r="A144" s="58"/>
      <c r="B144" s="61"/>
      <c r="C144" s="62"/>
      <c r="D144" s="63"/>
      <c r="E144" s="59"/>
      <c r="F144" s="69"/>
      <c r="G144" s="60"/>
      <c r="H144" s="64"/>
      <c r="I144" s="65"/>
    </row>
  </sheetData>
  <sheetProtection/>
  <mergeCells count="13">
    <mergeCell ref="F10:I10"/>
    <mergeCell ref="D3:G3"/>
    <mergeCell ref="D4:G4"/>
    <mergeCell ref="D5:G5"/>
    <mergeCell ref="D6:I6"/>
    <mergeCell ref="D8:G8"/>
    <mergeCell ref="A9:G9"/>
    <mergeCell ref="C120:E120"/>
    <mergeCell ref="A10:A11"/>
    <mergeCell ref="B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="71" zoomScaleNormal="60" zoomScaleSheetLayoutView="71" zoomScalePageLayoutView="0" workbookViewId="0" topLeftCell="A28">
      <selection activeCell="D6" sqref="D6:I6"/>
    </sheetView>
  </sheetViews>
  <sheetFormatPr defaultColWidth="9.140625" defaultRowHeight="15"/>
  <cols>
    <col min="1" max="1" width="9.140625" style="2" customWidth="1"/>
    <col min="2" max="2" width="20.57421875" style="0" customWidth="1"/>
    <col min="3" max="3" width="129.140625" style="0" customWidth="1"/>
    <col min="5" max="5" width="12.140625" style="0" customWidth="1"/>
    <col min="6" max="6" width="16.140625" style="0" customWidth="1"/>
    <col min="7" max="7" width="16.8515625" style="0" customWidth="1"/>
    <col min="8" max="8" width="18.57421875" style="0" customWidth="1"/>
    <col min="9" max="9" width="19.00390625" style="0" customWidth="1"/>
  </cols>
  <sheetData>
    <row r="1" spans="1:9" s="10" customFormat="1" ht="23.25">
      <c r="A1" s="3"/>
      <c r="B1" s="4"/>
      <c r="C1" s="5" t="s">
        <v>8</v>
      </c>
      <c r="D1" s="6"/>
      <c r="E1" s="7"/>
      <c r="F1" s="8"/>
      <c r="G1" s="8"/>
      <c r="H1" s="8"/>
      <c r="I1" s="9"/>
    </row>
    <row r="2" spans="1:9" s="10" customFormat="1" ht="23.25">
      <c r="A2" s="11"/>
      <c r="B2" s="12"/>
      <c r="C2" s="13" t="s">
        <v>9</v>
      </c>
      <c r="D2" s="14"/>
      <c r="E2" s="15"/>
      <c r="F2" s="16"/>
      <c r="G2" s="16"/>
      <c r="H2" s="16"/>
      <c r="I2" s="17"/>
    </row>
    <row r="3" spans="1:9" s="10" customFormat="1" ht="23.25">
      <c r="A3" s="11"/>
      <c r="B3" s="12"/>
      <c r="C3" s="13" t="s">
        <v>10</v>
      </c>
      <c r="D3" s="188"/>
      <c r="E3" s="189"/>
      <c r="F3" s="189"/>
      <c r="G3" s="189"/>
      <c r="H3" s="96"/>
      <c r="I3" s="46"/>
    </row>
    <row r="4" spans="1:9" s="10" customFormat="1" ht="18.75" customHeight="1">
      <c r="A4" s="11"/>
      <c r="B4" s="12"/>
      <c r="C4" s="151" t="s">
        <v>256</v>
      </c>
      <c r="D4" s="190" t="s">
        <v>35</v>
      </c>
      <c r="E4" s="191"/>
      <c r="F4" s="191"/>
      <c r="G4" s="191"/>
      <c r="H4" s="47"/>
      <c r="I4" s="48"/>
    </row>
    <row r="5" spans="1:9" s="10" customFormat="1" ht="18.75" customHeight="1">
      <c r="A5" s="11"/>
      <c r="B5" s="12"/>
      <c r="C5" s="151" t="s">
        <v>255</v>
      </c>
      <c r="D5" s="192" t="s">
        <v>191</v>
      </c>
      <c r="E5" s="193"/>
      <c r="F5" s="193"/>
      <c r="G5" s="193"/>
      <c r="H5" s="41"/>
      <c r="I5" s="42"/>
    </row>
    <row r="6" spans="1:9" s="10" customFormat="1" ht="18.75">
      <c r="A6" s="11"/>
      <c r="B6" s="12"/>
      <c r="C6" s="81" t="s">
        <v>192</v>
      </c>
      <c r="D6" s="194" t="s">
        <v>190</v>
      </c>
      <c r="E6" s="195"/>
      <c r="F6" s="195"/>
      <c r="G6" s="195"/>
      <c r="H6" s="195"/>
      <c r="I6" s="196"/>
    </row>
    <row r="7" spans="1:9" s="10" customFormat="1" ht="18.75">
      <c r="A7" s="11"/>
      <c r="B7" s="12"/>
      <c r="C7" s="18"/>
      <c r="D7" s="49" t="s">
        <v>36</v>
      </c>
      <c r="E7" s="50"/>
      <c r="F7" s="50"/>
      <c r="G7" s="50"/>
      <c r="H7" s="43"/>
      <c r="I7" s="44"/>
    </row>
    <row r="8" spans="1:9" s="10" customFormat="1" ht="18.75">
      <c r="A8" s="19"/>
      <c r="B8" s="20"/>
      <c r="C8" s="21"/>
      <c r="D8" s="197" t="s">
        <v>11</v>
      </c>
      <c r="E8" s="198"/>
      <c r="F8" s="198"/>
      <c r="G8" s="198"/>
      <c r="H8" s="97"/>
      <c r="I8" s="45"/>
    </row>
    <row r="9" spans="1:9" s="10" customFormat="1" ht="18.75">
      <c r="A9" s="199" t="s">
        <v>180</v>
      </c>
      <c r="B9" s="200"/>
      <c r="C9" s="200"/>
      <c r="D9" s="201"/>
      <c r="E9" s="201"/>
      <c r="F9" s="201"/>
      <c r="G9" s="201"/>
      <c r="H9" s="51"/>
      <c r="I9" s="52"/>
    </row>
    <row r="10" spans="1:9" s="10" customFormat="1" ht="18.75">
      <c r="A10" s="182" t="s">
        <v>5</v>
      </c>
      <c r="B10" s="183" t="s">
        <v>12</v>
      </c>
      <c r="C10" s="183" t="s">
        <v>13</v>
      </c>
      <c r="D10" s="182" t="s">
        <v>3</v>
      </c>
      <c r="E10" s="184" t="s">
        <v>7</v>
      </c>
      <c r="F10" s="185" t="s">
        <v>14</v>
      </c>
      <c r="G10" s="186"/>
      <c r="H10" s="186"/>
      <c r="I10" s="187"/>
    </row>
    <row r="11" spans="1:9" s="10" customFormat="1" ht="18.75">
      <c r="A11" s="182"/>
      <c r="B11" s="183"/>
      <c r="C11" s="183"/>
      <c r="D11" s="182"/>
      <c r="E11" s="184"/>
      <c r="F11" s="22" t="s">
        <v>32</v>
      </c>
      <c r="G11" s="23" t="s">
        <v>18</v>
      </c>
      <c r="H11" s="23" t="s">
        <v>33</v>
      </c>
      <c r="I11" s="23" t="s">
        <v>19</v>
      </c>
    </row>
    <row r="12" spans="1:9" s="10" customFormat="1" ht="18.75" customHeight="1">
      <c r="A12" s="24" t="s">
        <v>34</v>
      </c>
      <c r="B12" s="56"/>
      <c r="C12" s="57" t="s">
        <v>173</v>
      </c>
      <c r="D12" s="22"/>
      <c r="E12" s="23"/>
      <c r="F12" s="22"/>
      <c r="G12" s="23"/>
      <c r="H12" s="23"/>
      <c r="I12" s="23"/>
    </row>
    <row r="13" spans="1:9" s="134" customFormat="1" ht="18.75">
      <c r="A13" s="116" t="s">
        <v>4</v>
      </c>
      <c r="B13" s="116"/>
      <c r="C13" s="114" t="s">
        <v>251</v>
      </c>
      <c r="D13" s="116"/>
      <c r="E13" s="132"/>
      <c r="F13" s="116"/>
      <c r="G13" s="133"/>
      <c r="H13" s="133"/>
      <c r="I13" s="133"/>
    </row>
    <row r="14" spans="1:9" s="143" customFormat="1" ht="49.5" customHeight="1">
      <c r="A14" s="144" t="s">
        <v>15</v>
      </c>
      <c r="B14" s="144" t="s">
        <v>40</v>
      </c>
      <c r="C14" s="145" t="s">
        <v>41</v>
      </c>
      <c r="D14" s="144" t="s">
        <v>0</v>
      </c>
      <c r="E14" s="146">
        <f>'MEMÓRIA ONERADA'!E14</f>
        <v>1409.1</v>
      </c>
      <c r="F14" s="147">
        <f>TRUNC('MEMÓRIA ONERADA'!F14,2)</f>
        <v>128.6</v>
      </c>
      <c r="G14" s="148">
        <f aca="true" t="shared" si="0" ref="G14:G21">TRUNC(F14*1.2247,2)</f>
        <v>157.49</v>
      </c>
      <c r="H14" s="148">
        <f aca="true" t="shared" si="1" ref="H14:H21">TRUNC((E14*F14),2)</f>
        <v>181210.26</v>
      </c>
      <c r="I14" s="148">
        <f aca="true" t="shared" si="2" ref="I14:I21">TRUNC((E14*G14),2)</f>
        <v>221919.15</v>
      </c>
    </row>
    <row r="15" spans="1:9" s="143" customFormat="1" ht="33.75" customHeight="1">
      <c r="A15" s="137" t="s">
        <v>16</v>
      </c>
      <c r="B15" s="138" t="s">
        <v>65</v>
      </c>
      <c r="C15" s="149" t="s">
        <v>254</v>
      </c>
      <c r="D15" s="137" t="s">
        <v>67</v>
      </c>
      <c r="E15" s="140">
        <f>'MEMÓRIA ONERADA'!E26</f>
        <v>7500.27</v>
      </c>
      <c r="F15" s="141">
        <f>TRUNC('MEMÓRIA ONERADA'!F26,2)</f>
        <v>10.9</v>
      </c>
      <c r="G15" s="142">
        <f t="shared" si="0"/>
        <v>13.34</v>
      </c>
      <c r="H15" s="142">
        <f t="shared" si="1"/>
        <v>81752.94</v>
      </c>
      <c r="I15" s="142">
        <f t="shared" si="2"/>
        <v>100053.6</v>
      </c>
    </row>
    <row r="16" spans="1:9" s="143" customFormat="1" ht="18.75">
      <c r="A16" s="137" t="s">
        <v>17</v>
      </c>
      <c r="B16" s="138" t="s">
        <v>72</v>
      </c>
      <c r="C16" s="139" t="s">
        <v>73</v>
      </c>
      <c r="D16" s="137" t="s">
        <v>67</v>
      </c>
      <c r="E16" s="140">
        <f>'MEMÓRIA ONERADA'!E30</f>
        <v>183.03</v>
      </c>
      <c r="F16" s="141">
        <f>TRUNC('MEMÓRIA ONERADA'!F30,2)</f>
        <v>11.79</v>
      </c>
      <c r="G16" s="142">
        <f t="shared" si="0"/>
        <v>14.43</v>
      </c>
      <c r="H16" s="142">
        <f t="shared" si="1"/>
        <v>2157.92</v>
      </c>
      <c r="I16" s="142">
        <f t="shared" si="2"/>
        <v>2641.12</v>
      </c>
    </row>
    <row r="17" spans="1:9" s="143" customFormat="1" ht="30">
      <c r="A17" s="137" t="s">
        <v>174</v>
      </c>
      <c r="B17" s="138" t="s">
        <v>76</v>
      </c>
      <c r="C17" s="139" t="s">
        <v>77</v>
      </c>
      <c r="D17" s="137" t="s">
        <v>3</v>
      </c>
      <c r="E17" s="140">
        <f>'MEMÓRIA ONERADA'!E34</f>
        <v>128</v>
      </c>
      <c r="F17" s="141">
        <f>TRUNC('MEMÓRIA ONERADA'!F34,2)</f>
        <v>9.36</v>
      </c>
      <c r="G17" s="142">
        <f t="shared" si="0"/>
        <v>11.46</v>
      </c>
      <c r="H17" s="142">
        <f t="shared" si="1"/>
        <v>1198.08</v>
      </c>
      <c r="I17" s="142">
        <f t="shared" si="2"/>
        <v>1466.88</v>
      </c>
    </row>
    <row r="18" spans="1:9" s="143" customFormat="1" ht="37.5" customHeight="1">
      <c r="A18" s="137" t="s">
        <v>175</v>
      </c>
      <c r="B18" s="139" t="s">
        <v>80</v>
      </c>
      <c r="C18" s="139" t="s">
        <v>81</v>
      </c>
      <c r="D18" s="137" t="s">
        <v>54</v>
      </c>
      <c r="E18" s="140">
        <f>'MEMÓRIA ONERADA'!E38</f>
        <v>61.6</v>
      </c>
      <c r="F18" s="141">
        <f>TRUNC('MEMÓRIA ONERADA'!F38,2)</f>
        <v>66.27</v>
      </c>
      <c r="G18" s="142">
        <f t="shared" si="0"/>
        <v>81.16</v>
      </c>
      <c r="H18" s="142">
        <f t="shared" si="1"/>
        <v>4082.23</v>
      </c>
      <c r="I18" s="142">
        <f t="shared" si="2"/>
        <v>4999.45</v>
      </c>
    </row>
    <row r="19" spans="1:9" s="143" customFormat="1" ht="30">
      <c r="A19" s="137" t="s">
        <v>177</v>
      </c>
      <c r="B19" s="138" t="s">
        <v>86</v>
      </c>
      <c r="C19" s="139" t="s">
        <v>87</v>
      </c>
      <c r="D19" s="137" t="s">
        <v>54</v>
      </c>
      <c r="E19" s="140">
        <f>'MEMÓRIA ONERADA'!E45</f>
        <v>154</v>
      </c>
      <c r="F19" s="141">
        <f>TRUNC('MEMÓRIA ONERADA'!F45,2)</f>
        <v>155.03</v>
      </c>
      <c r="G19" s="142">
        <f t="shared" si="0"/>
        <v>189.86</v>
      </c>
      <c r="H19" s="142">
        <f t="shared" si="1"/>
        <v>23874.62</v>
      </c>
      <c r="I19" s="142">
        <f t="shared" si="2"/>
        <v>29238.44</v>
      </c>
    </row>
    <row r="20" spans="1:9" s="143" customFormat="1" ht="30">
      <c r="A20" s="137" t="s">
        <v>178</v>
      </c>
      <c r="B20" s="138" t="s">
        <v>104</v>
      </c>
      <c r="C20" s="139" t="s">
        <v>105</v>
      </c>
      <c r="D20" s="137" t="s">
        <v>54</v>
      </c>
      <c r="E20" s="140">
        <f>'MEMÓRIA ONERADA'!E57</f>
        <v>114</v>
      </c>
      <c r="F20" s="141">
        <f>TRUNC('MEMÓRIA ONERADA'!F57,2)</f>
        <v>85.77</v>
      </c>
      <c r="G20" s="142">
        <f t="shared" si="0"/>
        <v>105.04</v>
      </c>
      <c r="H20" s="142">
        <f t="shared" si="1"/>
        <v>9777.78</v>
      </c>
      <c r="I20" s="142">
        <f t="shared" si="2"/>
        <v>11974.56</v>
      </c>
    </row>
    <row r="21" spans="1:9" s="143" customFormat="1" ht="30">
      <c r="A21" s="137" t="s">
        <v>179</v>
      </c>
      <c r="B21" s="150" t="s">
        <v>172</v>
      </c>
      <c r="C21" s="139" t="s">
        <v>165</v>
      </c>
      <c r="D21" s="137" t="s">
        <v>3</v>
      </c>
      <c r="E21" s="140">
        <f>'MEMÓRIA ONERADA'!E66</f>
        <v>16</v>
      </c>
      <c r="F21" s="141">
        <f>TRUNC('MEMÓRIA ONERADA'!F66,2)</f>
        <v>58.61</v>
      </c>
      <c r="G21" s="142">
        <f t="shared" si="0"/>
        <v>71.77</v>
      </c>
      <c r="H21" s="142">
        <f t="shared" si="1"/>
        <v>937.76</v>
      </c>
      <c r="I21" s="142">
        <f t="shared" si="2"/>
        <v>1148.32</v>
      </c>
    </row>
    <row r="22" spans="1:9" s="143" customFormat="1" ht="18.75">
      <c r="A22" s="137" t="s">
        <v>264</v>
      </c>
      <c r="B22" s="138" t="s">
        <v>270</v>
      </c>
      <c r="C22" s="139" t="s">
        <v>269</v>
      </c>
      <c r="D22" s="137" t="s">
        <v>271</v>
      </c>
      <c r="E22" s="140">
        <v>167.2</v>
      </c>
      <c r="F22" s="177">
        <f>'MEMÓRIA ONERADA'!F74</f>
        <v>70.36</v>
      </c>
      <c r="G22" s="178">
        <f>TRUNC(F22*1.2247,2)</f>
        <v>86.16</v>
      </c>
      <c r="H22" s="178">
        <f>TRUNC((E22*F22),2)</f>
        <v>11764.19</v>
      </c>
      <c r="I22" s="178">
        <f>TRUNC((E22*G22),2)</f>
        <v>14405.95</v>
      </c>
    </row>
    <row r="23" spans="1:9" s="10" customFormat="1" ht="18.75">
      <c r="A23" s="106" t="s">
        <v>253</v>
      </c>
      <c r="B23" s="107"/>
      <c r="C23" s="121" t="s">
        <v>176</v>
      </c>
      <c r="D23" s="106"/>
      <c r="E23" s="119"/>
      <c r="F23" s="120"/>
      <c r="G23" s="120"/>
      <c r="H23" s="120">
        <f>H21+H20+H19+H18+H17+H16+H15+H14+H22</f>
        <v>316755.78</v>
      </c>
      <c r="I23" s="120">
        <f>I21+I20+I19+I18+I17+I16+I15+I14+I22</f>
        <v>387847.47000000003</v>
      </c>
    </row>
    <row r="24" spans="1:9" s="10" customFormat="1" ht="18.75">
      <c r="A24" s="116" t="s">
        <v>181</v>
      </c>
      <c r="B24" s="111"/>
      <c r="C24" s="114" t="s">
        <v>118</v>
      </c>
      <c r="D24" s="110"/>
      <c r="E24" s="112"/>
      <c r="F24" s="113"/>
      <c r="G24" s="113"/>
      <c r="H24" s="113"/>
      <c r="I24" s="113"/>
    </row>
    <row r="25" spans="1:9" s="143" customFormat="1" ht="30">
      <c r="A25" s="137" t="s">
        <v>182</v>
      </c>
      <c r="B25" s="138" t="s">
        <v>127</v>
      </c>
      <c r="C25" s="139" t="s">
        <v>128</v>
      </c>
      <c r="D25" s="137" t="s">
        <v>54</v>
      </c>
      <c r="E25" s="140">
        <f>'MEMÓRIA ONERADA'!E81</f>
        <v>45</v>
      </c>
      <c r="F25" s="141">
        <f>TRUNC('MEMÓRIA ONERADA'!F81,2)</f>
        <v>7.43</v>
      </c>
      <c r="G25" s="142">
        <f>TRUNC(F25*1.2247,2)</f>
        <v>9.09</v>
      </c>
      <c r="H25" s="142">
        <f>TRUNC((E25*F25),2)</f>
        <v>334.35</v>
      </c>
      <c r="I25" s="142">
        <f>TRUNC((E25*G25),2)</f>
        <v>409.05</v>
      </c>
    </row>
    <row r="26" spans="1:9" s="143" customFormat="1" ht="45">
      <c r="A26" s="137" t="s">
        <v>183</v>
      </c>
      <c r="B26" s="138" t="s">
        <v>119</v>
      </c>
      <c r="C26" s="139" t="s">
        <v>120</v>
      </c>
      <c r="D26" s="137" t="s">
        <v>54</v>
      </c>
      <c r="E26" s="140">
        <f>'MEMÓRIA ONERADA'!E88</f>
        <v>150</v>
      </c>
      <c r="F26" s="141">
        <f>TRUNC('MEMÓRIA ONERADA'!F88,2)</f>
        <v>3.61</v>
      </c>
      <c r="G26" s="142">
        <f>TRUNC(F26*1.2247,2)</f>
        <v>4.42</v>
      </c>
      <c r="H26" s="142">
        <f>TRUNC((E26*F26),2)</f>
        <v>541.5</v>
      </c>
      <c r="I26" s="142">
        <f>TRUNC((E26*G26),2)</f>
        <v>663</v>
      </c>
    </row>
    <row r="27" spans="1:9" s="10" customFormat="1" ht="18.75">
      <c r="A27" s="106" t="s">
        <v>253</v>
      </c>
      <c r="B27" s="107"/>
      <c r="C27" s="121" t="s">
        <v>184</v>
      </c>
      <c r="D27" s="106"/>
      <c r="E27" s="119"/>
      <c r="F27" s="120"/>
      <c r="G27" s="120"/>
      <c r="H27" s="120">
        <f>H26+H25</f>
        <v>875.85</v>
      </c>
      <c r="I27" s="120">
        <f>I26+I25</f>
        <v>1072.05</v>
      </c>
    </row>
    <row r="28" spans="1:9" s="10" customFormat="1" ht="16.5" customHeight="1">
      <c r="A28" s="122" t="s">
        <v>185</v>
      </c>
      <c r="B28" s="107"/>
      <c r="C28" s="115" t="s">
        <v>136</v>
      </c>
      <c r="D28" s="106"/>
      <c r="E28" s="108"/>
      <c r="F28" s="109"/>
      <c r="G28" s="109"/>
      <c r="H28" s="109"/>
      <c r="I28" s="109"/>
    </row>
    <row r="29" spans="1:9" s="143" customFormat="1" ht="45">
      <c r="A29" s="137" t="s">
        <v>186</v>
      </c>
      <c r="B29" s="138" t="s">
        <v>137</v>
      </c>
      <c r="C29" s="139" t="s">
        <v>138</v>
      </c>
      <c r="D29" s="137" t="s">
        <v>139</v>
      </c>
      <c r="E29" s="140">
        <f>'MEMÓRIA ONERADA'!E97</f>
        <v>135.51</v>
      </c>
      <c r="F29" s="141">
        <f>TRUNC('MEMÓRIA ONERADA'!F97,2)</f>
        <v>353.64</v>
      </c>
      <c r="G29" s="142">
        <f>TRUNC(F29*1.2302,2)</f>
        <v>435.04</v>
      </c>
      <c r="H29" s="142">
        <f>TRUNC((E29*F29),2)</f>
        <v>47921.75</v>
      </c>
      <c r="I29" s="142">
        <f>TRUNC((E29*G29),2)</f>
        <v>58952.27</v>
      </c>
    </row>
    <row r="30" spans="1:9" s="143" customFormat="1" ht="30">
      <c r="A30" s="137" t="s">
        <v>187</v>
      </c>
      <c r="B30" s="138" t="s">
        <v>152</v>
      </c>
      <c r="C30" s="139" t="s">
        <v>153</v>
      </c>
      <c r="D30" s="137" t="s">
        <v>0</v>
      </c>
      <c r="E30" s="140">
        <f>'MEMÓRIA ONERADA'!E107</f>
        <v>1238.8</v>
      </c>
      <c r="F30" s="141">
        <f>TRUNC('MEMÓRIA ONERADA'!F107,2)</f>
        <v>47.87</v>
      </c>
      <c r="G30" s="142">
        <f>TRUNC(F30*1.2302,2)</f>
        <v>58.88</v>
      </c>
      <c r="H30" s="142">
        <f>TRUNC((E30*F30),2)</f>
        <v>59301.35</v>
      </c>
      <c r="I30" s="142">
        <f>TRUNC((E30*G30),2)</f>
        <v>72940.54</v>
      </c>
    </row>
    <row r="31" spans="1:9" s="143" customFormat="1" ht="18.75">
      <c r="A31" s="137" t="s">
        <v>188</v>
      </c>
      <c r="B31" s="138" t="s">
        <v>156</v>
      </c>
      <c r="C31" s="139" t="s">
        <v>157</v>
      </c>
      <c r="D31" s="137" t="s">
        <v>0</v>
      </c>
      <c r="E31" s="140">
        <f>'MEMÓRIA ONERADA'!E113</f>
        <v>1238.8</v>
      </c>
      <c r="F31" s="141">
        <f>TRUNC('MEMÓRIA ONERADA'!F113,2)</f>
        <v>32.42</v>
      </c>
      <c r="G31" s="142">
        <f>TRUNC(F31*1.2302,2)</f>
        <v>39.88</v>
      </c>
      <c r="H31" s="142">
        <f>TRUNC((E31*F31),2)</f>
        <v>40161.89</v>
      </c>
      <c r="I31" s="142">
        <f>TRUNC((E31*G31),2)</f>
        <v>49403.34</v>
      </c>
    </row>
    <row r="32" spans="1:9" s="10" customFormat="1" ht="18.75">
      <c r="A32" s="106" t="s">
        <v>253</v>
      </c>
      <c r="B32" s="107"/>
      <c r="C32" s="121" t="s">
        <v>189</v>
      </c>
      <c r="D32" s="106"/>
      <c r="E32" s="119"/>
      <c r="F32" s="120"/>
      <c r="G32" s="120"/>
      <c r="H32" s="120">
        <f>H31+H30+H29</f>
        <v>147384.99</v>
      </c>
      <c r="I32" s="120">
        <f>I31+I30+I29</f>
        <v>181296.15</v>
      </c>
    </row>
    <row r="33" spans="1:9" s="1" customFormat="1" ht="15.75">
      <c r="A33" s="82" t="s">
        <v>34</v>
      </c>
      <c r="B33" s="83"/>
      <c r="C33" s="179"/>
      <c r="D33" s="180"/>
      <c r="E33" s="181"/>
      <c r="F33" s="83"/>
      <c r="G33" s="68" t="s">
        <v>19</v>
      </c>
      <c r="H33" s="84"/>
      <c r="I33" s="25">
        <f>I32+I27+I23</f>
        <v>570215.67</v>
      </c>
    </row>
    <row r="34" spans="1:9" ht="15.75">
      <c r="A34" s="85" t="s">
        <v>34</v>
      </c>
      <c r="B34" s="86"/>
      <c r="C34" s="86"/>
      <c r="D34" s="86"/>
      <c r="E34" s="86"/>
      <c r="F34" s="86"/>
      <c r="G34" s="72" t="s">
        <v>33</v>
      </c>
      <c r="H34" s="25">
        <f>H32+H27+H23</f>
        <v>465016.62</v>
      </c>
      <c r="I34" s="125"/>
    </row>
    <row r="38" ht="18">
      <c r="C38" s="62" t="s">
        <v>260</v>
      </c>
    </row>
    <row r="39" ht="18">
      <c r="C39" s="62" t="s">
        <v>261</v>
      </c>
    </row>
    <row r="40" ht="18">
      <c r="C40" s="62" t="s">
        <v>262</v>
      </c>
    </row>
  </sheetData>
  <sheetProtection/>
  <mergeCells count="13">
    <mergeCell ref="F10:I10"/>
    <mergeCell ref="D3:G3"/>
    <mergeCell ref="D4:G4"/>
    <mergeCell ref="D5:G5"/>
    <mergeCell ref="D6:I6"/>
    <mergeCell ref="D8:G8"/>
    <mergeCell ref="A9:G9"/>
    <mergeCell ref="C33:E33"/>
    <mergeCell ref="A10:A11"/>
    <mergeCell ref="B10:B11"/>
    <mergeCell ref="C10:C11"/>
    <mergeCell ref="D10:D11"/>
    <mergeCell ref="E10:E11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3"/>
  <sheetViews>
    <sheetView view="pageBreakPreview" zoomScale="71" zoomScaleNormal="60" zoomScaleSheetLayoutView="71" zoomScalePageLayoutView="0" workbookViewId="0" topLeftCell="A94">
      <selection activeCell="A12" sqref="A12:A116"/>
    </sheetView>
  </sheetViews>
  <sheetFormatPr defaultColWidth="9.140625" defaultRowHeight="15"/>
  <cols>
    <col min="1" max="1" width="9.140625" style="2" customWidth="1"/>
    <col min="2" max="2" width="20.57421875" style="0" customWidth="1"/>
    <col min="3" max="3" width="129.140625" style="0" customWidth="1"/>
    <col min="5" max="5" width="12.140625" style="0" customWidth="1"/>
    <col min="6" max="6" width="16.140625" style="0" customWidth="1"/>
    <col min="7" max="7" width="16.8515625" style="0" customWidth="1"/>
    <col min="8" max="8" width="18.57421875" style="0" customWidth="1"/>
    <col min="9" max="9" width="19.00390625" style="0" customWidth="1"/>
  </cols>
  <sheetData>
    <row r="1" spans="1:9" s="10" customFormat="1" ht="23.25">
      <c r="A1" s="3"/>
      <c r="B1" s="4"/>
      <c r="C1" s="5" t="s">
        <v>8</v>
      </c>
      <c r="D1" s="6"/>
      <c r="E1" s="7"/>
      <c r="F1" s="8"/>
      <c r="G1" s="8"/>
      <c r="H1" s="8"/>
      <c r="I1" s="9"/>
    </row>
    <row r="2" spans="1:9" s="10" customFormat="1" ht="23.25">
      <c r="A2" s="11"/>
      <c r="B2" s="12"/>
      <c r="C2" s="13" t="s">
        <v>9</v>
      </c>
      <c r="D2" s="14"/>
      <c r="E2" s="15"/>
      <c r="F2" s="16"/>
      <c r="G2" s="16"/>
      <c r="H2" s="16"/>
      <c r="I2" s="17"/>
    </row>
    <row r="3" spans="1:9" s="10" customFormat="1" ht="23.25">
      <c r="A3" s="11"/>
      <c r="B3" s="12"/>
      <c r="C3" s="13" t="s">
        <v>10</v>
      </c>
      <c r="D3" s="188"/>
      <c r="E3" s="189"/>
      <c r="F3" s="189"/>
      <c r="G3" s="189"/>
      <c r="H3" s="90"/>
      <c r="I3" s="46"/>
    </row>
    <row r="4" spans="1:9" s="10" customFormat="1" ht="18.75" customHeight="1">
      <c r="A4" s="11"/>
      <c r="B4" s="12"/>
      <c r="C4" s="126" t="s">
        <v>38</v>
      </c>
      <c r="D4" s="188" t="s">
        <v>35</v>
      </c>
      <c r="E4" s="189"/>
      <c r="F4" s="189"/>
      <c r="G4" s="189"/>
      <c r="H4" s="47"/>
      <c r="I4" s="48"/>
    </row>
    <row r="5" spans="1:9" s="10" customFormat="1" ht="18.75" customHeight="1">
      <c r="A5" s="11"/>
      <c r="B5" s="12"/>
      <c r="C5" s="126" t="s">
        <v>39</v>
      </c>
      <c r="D5" s="192" t="s">
        <v>191</v>
      </c>
      <c r="E5" s="193"/>
      <c r="F5" s="193"/>
      <c r="G5" s="193"/>
      <c r="H5" s="41"/>
      <c r="I5" s="42"/>
    </row>
    <row r="6" spans="1:9" s="10" customFormat="1" ht="18.75">
      <c r="A6" s="11"/>
      <c r="B6" s="12"/>
      <c r="C6" s="81" t="s">
        <v>192</v>
      </c>
      <c r="D6" s="194" t="s">
        <v>190</v>
      </c>
      <c r="E6" s="195"/>
      <c r="F6" s="195"/>
      <c r="G6" s="195"/>
      <c r="H6" s="195"/>
      <c r="I6" s="196"/>
    </row>
    <row r="7" spans="1:9" s="10" customFormat="1" ht="18.75">
      <c r="A7" s="11"/>
      <c r="B7" s="12"/>
      <c r="C7" s="18"/>
      <c r="D7" s="49" t="s">
        <v>36</v>
      </c>
      <c r="E7" s="50"/>
      <c r="F7" s="50"/>
      <c r="G7" s="50"/>
      <c r="H7" s="43"/>
      <c r="I7" s="44"/>
    </row>
    <row r="8" spans="1:9" s="10" customFormat="1" ht="18.75">
      <c r="A8" s="19"/>
      <c r="B8" s="20"/>
      <c r="C8" s="21"/>
      <c r="D8" s="197" t="s">
        <v>11</v>
      </c>
      <c r="E8" s="198"/>
      <c r="F8" s="198"/>
      <c r="G8" s="198"/>
      <c r="H8" s="91"/>
      <c r="I8" s="45"/>
    </row>
    <row r="9" spans="1:9" s="10" customFormat="1" ht="18.75">
      <c r="A9" s="199" t="s">
        <v>193</v>
      </c>
      <c r="B9" s="200"/>
      <c r="C9" s="200"/>
      <c r="D9" s="201"/>
      <c r="E9" s="201"/>
      <c r="F9" s="201"/>
      <c r="G9" s="201"/>
      <c r="H9" s="51"/>
      <c r="I9" s="52"/>
    </row>
    <row r="10" spans="1:9" s="10" customFormat="1" ht="18.75">
      <c r="A10" s="182" t="s">
        <v>5</v>
      </c>
      <c r="B10" s="183" t="s">
        <v>12</v>
      </c>
      <c r="C10" s="183" t="s">
        <v>13</v>
      </c>
      <c r="D10" s="182" t="s">
        <v>3</v>
      </c>
      <c r="E10" s="184" t="s">
        <v>7</v>
      </c>
      <c r="F10" s="185" t="s">
        <v>14</v>
      </c>
      <c r="G10" s="186"/>
      <c r="H10" s="186"/>
      <c r="I10" s="187"/>
    </row>
    <row r="11" spans="1:9" s="10" customFormat="1" ht="18.75">
      <c r="A11" s="182"/>
      <c r="B11" s="183"/>
      <c r="C11" s="183"/>
      <c r="D11" s="182"/>
      <c r="E11" s="184"/>
      <c r="F11" s="22" t="s">
        <v>32</v>
      </c>
      <c r="G11" s="23" t="s">
        <v>18</v>
      </c>
      <c r="H11" s="23" t="s">
        <v>33</v>
      </c>
      <c r="I11" s="23" t="s">
        <v>19</v>
      </c>
    </row>
    <row r="12" spans="1:9" s="10" customFormat="1" ht="18.75" customHeight="1" thickBot="1">
      <c r="A12" s="24" t="s">
        <v>34</v>
      </c>
      <c r="B12" s="56"/>
      <c r="C12" s="57" t="s">
        <v>173</v>
      </c>
      <c r="D12" s="22"/>
      <c r="E12" s="23"/>
      <c r="F12" s="22"/>
      <c r="G12" s="23"/>
      <c r="H12" s="23"/>
      <c r="I12" s="23"/>
    </row>
    <row r="13" spans="1:9" s="10" customFormat="1" ht="18.75">
      <c r="A13" s="24" t="s">
        <v>4</v>
      </c>
      <c r="B13" s="24"/>
      <c r="C13" s="73"/>
      <c r="D13" s="74"/>
      <c r="E13" s="75"/>
      <c r="F13" s="24"/>
      <c r="G13" s="76"/>
      <c r="H13" s="76"/>
      <c r="I13" s="76"/>
    </row>
    <row r="14" spans="1:9" s="10" customFormat="1" ht="49.5" customHeight="1">
      <c r="A14" s="71" t="s">
        <v>15</v>
      </c>
      <c r="B14" s="71" t="s">
        <v>194</v>
      </c>
      <c r="C14" s="80" t="s">
        <v>41</v>
      </c>
      <c r="D14" s="71" t="s">
        <v>0</v>
      </c>
      <c r="E14" s="93">
        <v>1409.1</v>
      </c>
      <c r="F14" s="94">
        <f>TRUNC(127.9773295,2)</f>
        <v>127.97</v>
      </c>
      <c r="G14" s="70">
        <f>TRUNC(F14*1.2882,2)</f>
        <v>164.85</v>
      </c>
      <c r="H14" s="70">
        <f>TRUNC((E14*F14),2)</f>
        <v>180322.52</v>
      </c>
      <c r="I14" s="70">
        <f>TRUNC((E14*G14),2)</f>
        <v>232290.13</v>
      </c>
    </row>
    <row r="15" spans="1:9" s="10" customFormat="1" ht="45">
      <c r="A15" s="95"/>
      <c r="B15" s="66" t="s">
        <v>194</v>
      </c>
      <c r="C15" s="67" t="s">
        <v>41</v>
      </c>
      <c r="D15" s="63" t="s">
        <v>0</v>
      </c>
      <c r="E15" s="79">
        <v>1</v>
      </c>
      <c r="F15" s="64">
        <f>TRUNC(127.9773295,2)</f>
        <v>127.97</v>
      </c>
      <c r="G15" s="64">
        <f aca="true" t="shared" si="0" ref="G15:G24">TRUNC(E15*F15,2)</f>
        <v>127.97</v>
      </c>
      <c r="H15" s="64"/>
      <c r="I15" s="65"/>
    </row>
    <row r="16" spans="1:9" s="10" customFormat="1" ht="18.75">
      <c r="A16" s="95"/>
      <c r="B16" s="66" t="s">
        <v>42</v>
      </c>
      <c r="C16" s="67" t="s">
        <v>43</v>
      </c>
      <c r="D16" s="63" t="s">
        <v>0</v>
      </c>
      <c r="E16" s="79">
        <v>1</v>
      </c>
      <c r="F16" s="64">
        <f>TRUNC(108.35,2)</f>
        <v>108.35</v>
      </c>
      <c r="G16" s="64">
        <f t="shared" si="0"/>
        <v>108.35</v>
      </c>
      <c r="H16" s="64"/>
      <c r="I16" s="65"/>
    </row>
    <row r="17" spans="1:9" s="10" customFormat="1" ht="18.75">
      <c r="A17" s="95"/>
      <c r="B17" s="66" t="s">
        <v>44</v>
      </c>
      <c r="C17" s="67" t="s">
        <v>45</v>
      </c>
      <c r="D17" s="63" t="s">
        <v>3</v>
      </c>
      <c r="E17" s="79">
        <v>0.008</v>
      </c>
      <c r="F17" s="64">
        <f>TRUNC(30.55,2)</f>
        <v>30.55</v>
      </c>
      <c r="G17" s="64">
        <f t="shared" si="0"/>
        <v>0.24</v>
      </c>
      <c r="H17" s="64"/>
      <c r="I17" s="65"/>
    </row>
    <row r="18" spans="1:9" s="10" customFormat="1" ht="18.75">
      <c r="A18" s="95"/>
      <c r="B18" s="66" t="s">
        <v>46</v>
      </c>
      <c r="C18" s="67" t="s">
        <v>47</v>
      </c>
      <c r="D18" s="63" t="s">
        <v>3</v>
      </c>
      <c r="E18" s="79">
        <v>1.987</v>
      </c>
      <c r="F18" s="64">
        <f>TRUNC(1.55,2)</f>
        <v>1.55</v>
      </c>
      <c r="G18" s="64">
        <f t="shared" si="0"/>
        <v>3.07</v>
      </c>
      <c r="H18" s="64"/>
      <c r="I18" s="65"/>
    </row>
    <row r="19" spans="1:9" s="10" customFormat="1" ht="18.75">
      <c r="A19" s="95"/>
      <c r="B19" s="66" t="s">
        <v>48</v>
      </c>
      <c r="C19" s="67" t="s">
        <v>49</v>
      </c>
      <c r="D19" s="63" t="s">
        <v>3</v>
      </c>
      <c r="E19" s="79">
        <v>1.987</v>
      </c>
      <c r="F19" s="64">
        <f>TRUNC(0.52,2)</f>
        <v>0.52</v>
      </c>
      <c r="G19" s="64">
        <f t="shared" si="0"/>
        <v>1.03</v>
      </c>
      <c r="H19" s="64"/>
      <c r="I19" s="65"/>
    </row>
    <row r="20" spans="1:9" s="10" customFormat="1" ht="18.75">
      <c r="A20" s="95"/>
      <c r="B20" s="66" t="s">
        <v>50</v>
      </c>
      <c r="C20" s="67" t="s">
        <v>51</v>
      </c>
      <c r="D20" s="63" t="s">
        <v>3</v>
      </c>
      <c r="E20" s="79">
        <v>0.606</v>
      </c>
      <c r="F20" s="64">
        <f>TRUNC(1.03,2)</f>
        <v>1.03</v>
      </c>
      <c r="G20" s="64">
        <f t="shared" si="0"/>
        <v>0.62</v>
      </c>
      <c r="H20" s="64"/>
      <c r="I20" s="65"/>
    </row>
    <row r="21" spans="1:9" s="10" customFormat="1" ht="30">
      <c r="A21" s="95"/>
      <c r="B21" s="66" t="s">
        <v>52</v>
      </c>
      <c r="C21" s="67" t="s">
        <v>53</v>
      </c>
      <c r="D21" s="63" t="s">
        <v>54</v>
      </c>
      <c r="E21" s="79">
        <v>0.075</v>
      </c>
      <c r="F21" s="64">
        <f>TRUNC(101.82,2)</f>
        <v>101.82</v>
      </c>
      <c r="G21" s="64">
        <f t="shared" si="0"/>
        <v>7.63</v>
      </c>
      <c r="H21" s="64"/>
      <c r="I21" s="65"/>
    </row>
    <row r="22" spans="1:9" s="10" customFormat="1" ht="30">
      <c r="A22" s="95"/>
      <c r="B22" s="66" t="s">
        <v>55</v>
      </c>
      <c r="C22" s="67" t="s">
        <v>56</v>
      </c>
      <c r="D22" s="63" t="s">
        <v>54</v>
      </c>
      <c r="E22" s="79">
        <v>0.06</v>
      </c>
      <c r="F22" s="64">
        <f>TRUNC(43.97,2)</f>
        <v>43.97</v>
      </c>
      <c r="G22" s="64">
        <f t="shared" si="0"/>
        <v>2.63</v>
      </c>
      <c r="H22" s="64"/>
      <c r="I22" s="65"/>
    </row>
    <row r="23" spans="1:9" s="10" customFormat="1" ht="30">
      <c r="A23" s="95"/>
      <c r="B23" s="66" t="s">
        <v>195</v>
      </c>
      <c r="C23" s="67" t="s">
        <v>196</v>
      </c>
      <c r="D23" s="63" t="s">
        <v>1</v>
      </c>
      <c r="E23" s="79">
        <v>0.12875</v>
      </c>
      <c r="F23" s="64">
        <f>TRUNC(21.33,2)</f>
        <v>21.33</v>
      </c>
      <c r="G23" s="64">
        <f t="shared" si="0"/>
        <v>2.74</v>
      </c>
      <c r="H23" s="64"/>
      <c r="I23" s="65"/>
    </row>
    <row r="24" spans="1:9" s="10" customFormat="1" ht="18.75">
      <c r="A24" s="95"/>
      <c r="B24" s="66" t="s">
        <v>197</v>
      </c>
      <c r="C24" s="67" t="s">
        <v>198</v>
      </c>
      <c r="D24" s="63" t="s">
        <v>1</v>
      </c>
      <c r="E24" s="79">
        <v>0.1133</v>
      </c>
      <c r="F24" s="64">
        <f>TRUNC(14.34,2)</f>
        <v>14.34</v>
      </c>
      <c r="G24" s="64">
        <f t="shared" si="0"/>
        <v>1.62</v>
      </c>
      <c r="H24" s="64"/>
      <c r="I24" s="65"/>
    </row>
    <row r="25" spans="1:9" s="10" customFormat="1" ht="18.75">
      <c r="A25" s="95"/>
      <c r="B25" s="66"/>
      <c r="C25" s="67"/>
      <c r="D25" s="63"/>
      <c r="E25" s="79" t="s">
        <v>2</v>
      </c>
      <c r="F25" s="64"/>
      <c r="G25" s="64">
        <f>TRUNC(SUM(G16:G24),2)</f>
        <v>127.93</v>
      </c>
      <c r="H25" s="64"/>
      <c r="I25" s="65"/>
    </row>
    <row r="26" spans="1:9" s="10" customFormat="1" ht="33.75" customHeight="1">
      <c r="A26" s="77" t="s">
        <v>16</v>
      </c>
      <c r="B26" s="71" t="s">
        <v>199</v>
      </c>
      <c r="C26" s="105" t="s">
        <v>66</v>
      </c>
      <c r="D26" s="77" t="s">
        <v>67</v>
      </c>
      <c r="E26" s="78">
        <f>2444.75+4073.35+1817.12</f>
        <v>8335.220000000001</v>
      </c>
      <c r="F26" s="89">
        <f>TRUNC(10.9095,2)</f>
        <v>10.9</v>
      </c>
      <c r="G26" s="70">
        <f>TRUNC(F26*1.2882,2)</f>
        <v>14.04</v>
      </c>
      <c r="H26" s="70">
        <f>TRUNC((E26*F26),2)</f>
        <v>90853.89</v>
      </c>
      <c r="I26" s="70">
        <f>TRUNC((E26*G26),2)</f>
        <v>117026.48</v>
      </c>
    </row>
    <row r="27" spans="1:9" s="10" customFormat="1" ht="18.75">
      <c r="A27" s="95"/>
      <c r="B27" s="66" t="s">
        <v>199</v>
      </c>
      <c r="C27" s="67" t="s">
        <v>66</v>
      </c>
      <c r="D27" s="63" t="s">
        <v>67</v>
      </c>
      <c r="E27" s="79">
        <v>1</v>
      </c>
      <c r="F27" s="64">
        <f>TRUNC(10.9095,2)</f>
        <v>10.9</v>
      </c>
      <c r="G27" s="64">
        <f>TRUNC(E27*F27,2)</f>
        <v>10.9</v>
      </c>
      <c r="H27" s="64"/>
      <c r="I27" s="65"/>
    </row>
    <row r="28" spans="1:9" s="10" customFormat="1" ht="18.75">
      <c r="A28" s="95"/>
      <c r="B28" s="66" t="s">
        <v>68</v>
      </c>
      <c r="C28" s="67" t="s">
        <v>69</v>
      </c>
      <c r="D28" s="63" t="s">
        <v>67</v>
      </c>
      <c r="E28" s="79">
        <v>1.05</v>
      </c>
      <c r="F28" s="64">
        <f>TRUNC(10.39,2)</f>
        <v>10.39</v>
      </c>
      <c r="G28" s="64">
        <f>TRUNC(E28*F28,2)</f>
        <v>10.9</v>
      </c>
      <c r="H28" s="64"/>
      <c r="I28" s="65"/>
    </row>
    <row r="29" spans="1:9" s="10" customFormat="1" ht="18.75">
      <c r="A29" s="95"/>
      <c r="B29" s="66"/>
      <c r="C29" s="67"/>
      <c r="D29" s="63"/>
      <c r="E29" s="79" t="s">
        <v>2</v>
      </c>
      <c r="F29" s="64"/>
      <c r="G29" s="64">
        <f>TRUNC(SUM(G28:G28),2)</f>
        <v>10.9</v>
      </c>
      <c r="H29" s="64"/>
      <c r="I29" s="65"/>
    </row>
    <row r="30" spans="1:9" s="10" customFormat="1" ht="18.75">
      <c r="A30" s="77" t="s">
        <v>17</v>
      </c>
      <c r="B30" s="71" t="s">
        <v>200</v>
      </c>
      <c r="C30" s="92" t="s">
        <v>73</v>
      </c>
      <c r="D30" s="77" t="s">
        <v>67</v>
      </c>
      <c r="E30" s="78">
        <v>183.03</v>
      </c>
      <c r="F30" s="89">
        <f>TRUNC(11.7989,2)</f>
        <v>11.79</v>
      </c>
      <c r="G30" s="70">
        <f>TRUNC(F30*1.2882,2)</f>
        <v>15.18</v>
      </c>
      <c r="H30" s="70">
        <f>TRUNC((E30*F30),2)</f>
        <v>2157.92</v>
      </c>
      <c r="I30" s="70">
        <f>TRUNC((E30*G30),2)</f>
        <v>2778.39</v>
      </c>
    </row>
    <row r="31" spans="1:9" s="10" customFormat="1" ht="18.75">
      <c r="A31" s="95"/>
      <c r="B31" s="66" t="s">
        <v>200</v>
      </c>
      <c r="C31" s="67" t="s">
        <v>73</v>
      </c>
      <c r="D31" s="63" t="s">
        <v>67</v>
      </c>
      <c r="E31" s="79">
        <v>1</v>
      </c>
      <c r="F31" s="64">
        <f>TRUNC(11.7989,2)</f>
        <v>11.79</v>
      </c>
      <c r="G31" s="64">
        <f>TRUNC(E31*F31,2)</f>
        <v>11.79</v>
      </c>
      <c r="H31" s="64"/>
      <c r="I31" s="65"/>
    </row>
    <row r="32" spans="1:9" s="10" customFormat="1" ht="30">
      <c r="A32" s="95"/>
      <c r="B32" s="66" t="s">
        <v>74</v>
      </c>
      <c r="C32" s="67" t="s">
        <v>75</v>
      </c>
      <c r="D32" s="63" t="s">
        <v>67</v>
      </c>
      <c r="E32" s="79">
        <v>1</v>
      </c>
      <c r="F32" s="64">
        <f>TRUNC(11.7989,2)</f>
        <v>11.79</v>
      </c>
      <c r="G32" s="64">
        <f>TRUNC(E32*F32,2)</f>
        <v>11.79</v>
      </c>
      <c r="H32" s="64"/>
      <c r="I32" s="65"/>
    </row>
    <row r="33" spans="1:9" s="10" customFormat="1" ht="18.75">
      <c r="A33" s="95"/>
      <c r="B33" s="66"/>
      <c r="C33" s="67"/>
      <c r="D33" s="63"/>
      <c r="E33" s="79" t="s">
        <v>2</v>
      </c>
      <c r="F33" s="64"/>
      <c r="G33" s="64">
        <f>TRUNC(SUM(G32:G32),2)</f>
        <v>11.79</v>
      </c>
      <c r="H33" s="64"/>
      <c r="I33" s="65"/>
    </row>
    <row r="34" spans="1:9" s="10" customFormat="1" ht="31.5">
      <c r="A34" s="77" t="s">
        <v>174</v>
      </c>
      <c r="B34" s="71" t="s">
        <v>201</v>
      </c>
      <c r="C34" s="92" t="s">
        <v>77</v>
      </c>
      <c r="D34" s="77" t="s">
        <v>3</v>
      </c>
      <c r="E34" s="78">
        <v>188</v>
      </c>
      <c r="F34" s="89">
        <f>TRUNC(9.36,2)</f>
        <v>9.36</v>
      </c>
      <c r="G34" s="70">
        <f>TRUNC(F34*1.2882,2)</f>
        <v>12.05</v>
      </c>
      <c r="H34" s="70">
        <f>TRUNC((E34*F34),2)</f>
        <v>1759.68</v>
      </c>
      <c r="I34" s="70">
        <f>TRUNC((E34*G34),2)</f>
        <v>2265.4</v>
      </c>
    </row>
    <row r="35" spans="1:9" s="10" customFormat="1" ht="30">
      <c r="A35" s="95"/>
      <c r="B35" s="66" t="s">
        <v>201</v>
      </c>
      <c r="C35" s="67" t="s">
        <v>77</v>
      </c>
      <c r="D35" s="63" t="s">
        <v>3</v>
      </c>
      <c r="E35" s="79">
        <v>1</v>
      </c>
      <c r="F35" s="64">
        <f>TRUNC(9.36,2)</f>
        <v>9.36</v>
      </c>
      <c r="G35" s="64">
        <f>TRUNC(E35*F35,2)</f>
        <v>9.36</v>
      </c>
      <c r="H35" s="64"/>
      <c r="I35" s="65"/>
    </row>
    <row r="36" spans="1:9" s="10" customFormat="1" ht="30">
      <c r="A36" s="95"/>
      <c r="B36" s="66" t="s">
        <v>78</v>
      </c>
      <c r="C36" s="67" t="s">
        <v>79</v>
      </c>
      <c r="D36" s="63" t="s">
        <v>3</v>
      </c>
      <c r="E36" s="79">
        <v>1</v>
      </c>
      <c r="F36" s="64">
        <f>TRUNC(9.36,2)</f>
        <v>9.36</v>
      </c>
      <c r="G36" s="64">
        <f>TRUNC(E36*F36,2)</f>
        <v>9.36</v>
      </c>
      <c r="H36" s="64"/>
      <c r="I36" s="65"/>
    </row>
    <row r="37" spans="1:9" s="10" customFormat="1" ht="18.75">
      <c r="A37" s="95"/>
      <c r="B37" s="66"/>
      <c r="C37" s="67"/>
      <c r="D37" s="63"/>
      <c r="E37" s="79" t="s">
        <v>2</v>
      </c>
      <c r="F37" s="64"/>
      <c r="G37" s="64">
        <f>TRUNC(SUM(G36:G36),2)</f>
        <v>9.36</v>
      </c>
      <c r="H37" s="64"/>
      <c r="I37" s="65"/>
    </row>
    <row r="38" spans="1:9" s="10" customFormat="1" ht="37.5" customHeight="1">
      <c r="A38" s="77" t="s">
        <v>175</v>
      </c>
      <c r="B38" s="92" t="s">
        <v>202</v>
      </c>
      <c r="C38" s="92" t="s">
        <v>81</v>
      </c>
      <c r="D38" s="77" t="s">
        <v>54</v>
      </c>
      <c r="E38" s="78">
        <v>61.6</v>
      </c>
      <c r="F38" s="89">
        <f>TRUNC(64.89233,2)</f>
        <v>64.89</v>
      </c>
      <c r="G38" s="70">
        <f>TRUNC(F38*1.2882,2)</f>
        <v>83.59</v>
      </c>
      <c r="H38" s="70">
        <f>TRUNC((E38*F38),2)</f>
        <v>3997.22</v>
      </c>
      <c r="I38" s="70">
        <f>TRUNC((E38*G38),2)</f>
        <v>5149.14</v>
      </c>
    </row>
    <row r="39" spans="1:9" s="10" customFormat="1" ht="30">
      <c r="A39" s="118"/>
      <c r="B39" s="66" t="s">
        <v>202</v>
      </c>
      <c r="C39" s="67" t="s">
        <v>81</v>
      </c>
      <c r="D39" s="63" t="s">
        <v>54</v>
      </c>
      <c r="E39" s="79">
        <v>1</v>
      </c>
      <c r="F39" s="64">
        <f>TRUNC(64.89233,2)</f>
        <v>64.89</v>
      </c>
      <c r="G39" s="64">
        <f>TRUNC(E39*F39,2)</f>
        <v>64.89</v>
      </c>
      <c r="H39" s="64"/>
      <c r="I39" s="65"/>
    </row>
    <row r="40" spans="1:9" s="10" customFormat="1" ht="18.75">
      <c r="A40" s="118"/>
      <c r="B40" s="66" t="s">
        <v>82</v>
      </c>
      <c r="C40" s="67" t="s">
        <v>83</v>
      </c>
      <c r="D40" s="63" t="s">
        <v>54</v>
      </c>
      <c r="E40" s="79">
        <v>1.1</v>
      </c>
      <c r="F40" s="64">
        <f>TRUNC(41.47,2)</f>
        <v>41.47</v>
      </c>
      <c r="G40" s="64">
        <f>TRUNC(E40*F40,2)</f>
        <v>45.61</v>
      </c>
      <c r="H40" s="64"/>
      <c r="I40" s="65"/>
    </row>
    <row r="41" spans="1:9" s="10" customFormat="1" ht="18.75">
      <c r="A41" s="118"/>
      <c r="B41" s="66" t="s">
        <v>61</v>
      </c>
      <c r="C41" s="67" t="s">
        <v>62</v>
      </c>
      <c r="D41" s="63" t="s">
        <v>3</v>
      </c>
      <c r="E41" s="79">
        <v>3</v>
      </c>
      <c r="F41" s="64">
        <f>TRUNC(3.4,2)</f>
        <v>3.4</v>
      </c>
      <c r="G41" s="64">
        <f>TRUNC(E41*F41,2)</f>
        <v>10.2</v>
      </c>
      <c r="H41" s="64"/>
      <c r="I41" s="65"/>
    </row>
    <row r="42" spans="1:9" s="10" customFormat="1" ht="18.75">
      <c r="A42" s="118"/>
      <c r="B42" s="66" t="s">
        <v>203</v>
      </c>
      <c r="C42" s="67" t="s">
        <v>204</v>
      </c>
      <c r="D42" s="63" t="s">
        <v>1</v>
      </c>
      <c r="E42" s="79">
        <v>0.20600000000000002</v>
      </c>
      <c r="F42" s="64">
        <f>TRUNC(14.34,2)</f>
        <v>14.34</v>
      </c>
      <c r="G42" s="64">
        <f>TRUNC(E42*F42,2)</f>
        <v>2.95</v>
      </c>
      <c r="H42" s="64"/>
      <c r="I42" s="65"/>
    </row>
    <row r="43" spans="1:9" s="10" customFormat="1" ht="18.75">
      <c r="A43" s="118"/>
      <c r="B43" s="66" t="s">
        <v>205</v>
      </c>
      <c r="C43" s="67" t="s">
        <v>206</v>
      </c>
      <c r="D43" s="63" t="s">
        <v>1</v>
      </c>
      <c r="E43" s="79">
        <v>0.309</v>
      </c>
      <c r="F43" s="64">
        <f>TRUNC(19.81,2)</f>
        <v>19.81</v>
      </c>
      <c r="G43" s="64">
        <f>TRUNC(E43*F43,2)</f>
        <v>6.12</v>
      </c>
      <c r="H43" s="64"/>
      <c r="I43" s="65"/>
    </row>
    <row r="44" spans="1:9" s="10" customFormat="1" ht="18.75">
      <c r="A44" s="118"/>
      <c r="B44" s="66"/>
      <c r="C44" s="67"/>
      <c r="D44" s="63"/>
      <c r="E44" s="79" t="s">
        <v>2</v>
      </c>
      <c r="F44" s="64"/>
      <c r="G44" s="64">
        <f>TRUNC(SUM(G40:G43),2)</f>
        <v>64.88</v>
      </c>
      <c r="H44" s="64"/>
      <c r="I44" s="65"/>
    </row>
    <row r="45" spans="1:9" s="10" customFormat="1" ht="31.5">
      <c r="A45" s="77" t="s">
        <v>177</v>
      </c>
      <c r="B45" s="71" t="s">
        <v>207</v>
      </c>
      <c r="C45" s="92" t="s">
        <v>87</v>
      </c>
      <c r="D45" s="77" t="s">
        <v>54</v>
      </c>
      <c r="E45" s="78">
        <v>154</v>
      </c>
      <c r="F45" s="89">
        <f>TRUNC(144.93899,2)</f>
        <v>144.93</v>
      </c>
      <c r="G45" s="70">
        <f>TRUNC(F45*1.2882,2)</f>
        <v>186.69</v>
      </c>
      <c r="H45" s="70">
        <f>TRUNC((E45*F45),2)</f>
        <v>22319.22</v>
      </c>
      <c r="I45" s="70">
        <f>TRUNC((E45*G45),2)</f>
        <v>28750.26</v>
      </c>
    </row>
    <row r="46" spans="1:9" s="10" customFormat="1" ht="30">
      <c r="A46" s="118"/>
      <c r="B46" s="66" t="s">
        <v>207</v>
      </c>
      <c r="C46" s="67" t="s">
        <v>87</v>
      </c>
      <c r="D46" s="63" t="s">
        <v>54</v>
      </c>
      <c r="E46" s="79">
        <v>1</v>
      </c>
      <c r="F46" s="64">
        <f>TRUNC(144.93899,2)</f>
        <v>144.93</v>
      </c>
      <c r="G46" s="64">
        <f aca="true" t="shared" si="1" ref="G46:G55">TRUNC(E46*F46,2)</f>
        <v>144.93</v>
      </c>
      <c r="H46" s="64"/>
      <c r="I46" s="65"/>
    </row>
    <row r="47" spans="1:9" s="10" customFormat="1" ht="18.75">
      <c r="A47" s="118"/>
      <c r="B47" s="66" t="s">
        <v>88</v>
      </c>
      <c r="C47" s="67" t="s">
        <v>89</v>
      </c>
      <c r="D47" s="63" t="s">
        <v>3</v>
      </c>
      <c r="E47" s="79">
        <v>5</v>
      </c>
      <c r="F47" s="64">
        <f>TRUNC(0.05,2)</f>
        <v>0.05</v>
      </c>
      <c r="G47" s="64">
        <f t="shared" si="1"/>
        <v>0.25</v>
      </c>
      <c r="H47" s="64"/>
      <c r="I47" s="65"/>
    </row>
    <row r="48" spans="1:9" s="10" customFormat="1" ht="18.75">
      <c r="A48" s="118"/>
      <c r="B48" s="66" t="s">
        <v>90</v>
      </c>
      <c r="C48" s="67" t="s">
        <v>91</v>
      </c>
      <c r="D48" s="63" t="s">
        <v>3</v>
      </c>
      <c r="E48" s="79">
        <v>2</v>
      </c>
      <c r="F48" s="64">
        <f>TRUNC(0.0518,2)</f>
        <v>0.05</v>
      </c>
      <c r="G48" s="64">
        <f t="shared" si="1"/>
        <v>0.1</v>
      </c>
      <c r="H48" s="64"/>
      <c r="I48" s="65"/>
    </row>
    <row r="49" spans="1:9" s="10" customFormat="1" ht="18.75">
      <c r="A49" s="118"/>
      <c r="B49" s="66" t="s">
        <v>92</v>
      </c>
      <c r="C49" s="67" t="s">
        <v>93</v>
      </c>
      <c r="D49" s="63" t="s">
        <v>3</v>
      </c>
      <c r="E49" s="79">
        <v>1</v>
      </c>
      <c r="F49" s="64">
        <f>TRUNC(9.57,2)</f>
        <v>9.57</v>
      </c>
      <c r="G49" s="64">
        <f t="shared" si="1"/>
        <v>9.57</v>
      </c>
      <c r="H49" s="64"/>
      <c r="I49" s="65"/>
    </row>
    <row r="50" spans="1:9" s="10" customFormat="1" ht="18.75">
      <c r="A50" s="118"/>
      <c r="B50" s="66" t="s">
        <v>94</v>
      </c>
      <c r="C50" s="67" t="s">
        <v>95</v>
      </c>
      <c r="D50" s="63" t="s">
        <v>67</v>
      </c>
      <c r="E50" s="79">
        <v>0.1</v>
      </c>
      <c r="F50" s="64">
        <f>TRUNC(15.94,2)</f>
        <v>15.94</v>
      </c>
      <c r="G50" s="64">
        <f t="shared" si="1"/>
        <v>1.59</v>
      </c>
      <c r="H50" s="64"/>
      <c r="I50" s="65"/>
    </row>
    <row r="51" spans="1:9" s="10" customFormat="1" ht="18.75">
      <c r="A51" s="118"/>
      <c r="B51" s="66" t="s">
        <v>96</v>
      </c>
      <c r="C51" s="67" t="s">
        <v>97</v>
      </c>
      <c r="D51" s="63" t="s">
        <v>67</v>
      </c>
      <c r="E51" s="79">
        <v>0.09</v>
      </c>
      <c r="F51" s="64">
        <f>TRUNC(58.17,2)</f>
        <v>58.17</v>
      </c>
      <c r="G51" s="64">
        <f t="shared" si="1"/>
        <v>5.23</v>
      </c>
      <c r="H51" s="64"/>
      <c r="I51" s="65"/>
    </row>
    <row r="52" spans="1:9" s="10" customFormat="1" ht="30">
      <c r="A52" s="118"/>
      <c r="B52" s="66" t="s">
        <v>98</v>
      </c>
      <c r="C52" s="67" t="s">
        <v>99</v>
      </c>
      <c r="D52" s="63" t="s">
        <v>67</v>
      </c>
      <c r="E52" s="79">
        <v>3.1</v>
      </c>
      <c r="F52" s="64">
        <f>TRUNC(20.0865,2)</f>
        <v>20.08</v>
      </c>
      <c r="G52" s="64">
        <f t="shared" si="1"/>
        <v>62.24</v>
      </c>
      <c r="H52" s="64"/>
      <c r="I52" s="65"/>
    </row>
    <row r="53" spans="1:9" s="10" customFormat="1" ht="18.75">
      <c r="A53" s="118"/>
      <c r="B53" s="66" t="s">
        <v>203</v>
      </c>
      <c r="C53" s="67" t="s">
        <v>204</v>
      </c>
      <c r="D53" s="63" t="s">
        <v>1</v>
      </c>
      <c r="E53" s="79">
        <v>1.751</v>
      </c>
      <c r="F53" s="64">
        <f>TRUNC(14.34,2)</f>
        <v>14.34</v>
      </c>
      <c r="G53" s="64">
        <f t="shared" si="1"/>
        <v>25.1</v>
      </c>
      <c r="H53" s="64"/>
      <c r="I53" s="65"/>
    </row>
    <row r="54" spans="1:9" s="10" customFormat="1" ht="18.75">
      <c r="A54" s="118"/>
      <c r="B54" s="66" t="s">
        <v>208</v>
      </c>
      <c r="C54" s="67" t="s">
        <v>209</v>
      </c>
      <c r="D54" s="63" t="s">
        <v>1</v>
      </c>
      <c r="E54" s="79">
        <v>1.03</v>
      </c>
      <c r="F54" s="64">
        <f>TRUNC(19.81,2)</f>
        <v>19.81</v>
      </c>
      <c r="G54" s="64">
        <f t="shared" si="1"/>
        <v>20.4</v>
      </c>
      <c r="H54" s="64"/>
      <c r="I54" s="65"/>
    </row>
    <row r="55" spans="1:9" s="10" customFormat="1" ht="30">
      <c r="A55" s="118"/>
      <c r="B55" s="66" t="s">
        <v>210</v>
      </c>
      <c r="C55" s="67" t="s">
        <v>211</v>
      </c>
      <c r="D55" s="63" t="s">
        <v>1</v>
      </c>
      <c r="E55" s="79">
        <v>1.03</v>
      </c>
      <c r="F55" s="64">
        <f>TRUNC(19.81,2)</f>
        <v>19.81</v>
      </c>
      <c r="G55" s="64">
        <f t="shared" si="1"/>
        <v>20.4</v>
      </c>
      <c r="H55" s="64"/>
      <c r="I55" s="65"/>
    </row>
    <row r="56" spans="1:9" s="10" customFormat="1" ht="18.75">
      <c r="A56" s="118"/>
      <c r="B56" s="66"/>
      <c r="C56" s="67"/>
      <c r="D56" s="63"/>
      <c r="E56" s="79" t="s">
        <v>2</v>
      </c>
      <c r="F56" s="64"/>
      <c r="G56" s="64">
        <f>TRUNC(SUM(G47:G55),2)</f>
        <v>144.88</v>
      </c>
      <c r="H56" s="64"/>
      <c r="I56" s="65"/>
    </row>
    <row r="57" spans="1:9" s="10" customFormat="1" ht="31.5">
      <c r="A57" s="77" t="s">
        <v>178</v>
      </c>
      <c r="B57" s="71" t="s">
        <v>212</v>
      </c>
      <c r="C57" s="92" t="s">
        <v>105</v>
      </c>
      <c r="D57" s="77" t="s">
        <v>54</v>
      </c>
      <c r="E57" s="78">
        <v>114</v>
      </c>
      <c r="F57" s="89">
        <f>TRUNC(84.830314,2)</f>
        <v>84.83</v>
      </c>
      <c r="G57" s="70">
        <f>TRUNC(F57*1.2882,2)</f>
        <v>109.27</v>
      </c>
      <c r="H57" s="70">
        <f>TRUNC((E57*F57),2)</f>
        <v>9670.62</v>
      </c>
      <c r="I57" s="70">
        <f>TRUNC((E57*G57),2)</f>
        <v>12456.78</v>
      </c>
    </row>
    <row r="58" spans="1:9" s="10" customFormat="1" ht="30">
      <c r="A58" s="118"/>
      <c r="B58" s="66" t="s">
        <v>212</v>
      </c>
      <c r="C58" s="67" t="s">
        <v>105</v>
      </c>
      <c r="D58" s="63" t="s">
        <v>54</v>
      </c>
      <c r="E58" s="79">
        <v>1</v>
      </c>
      <c r="F58" s="64">
        <f>TRUNC(84.830314,2)</f>
        <v>84.83</v>
      </c>
      <c r="G58" s="64">
        <f aca="true" t="shared" si="2" ref="G58:G64">TRUNC(E58*F58,2)</f>
        <v>84.83</v>
      </c>
      <c r="H58" s="64"/>
      <c r="I58" s="65"/>
    </row>
    <row r="59" spans="1:9" s="10" customFormat="1" ht="18.75">
      <c r="A59" s="118"/>
      <c r="B59" s="66" t="s">
        <v>213</v>
      </c>
      <c r="C59" s="67" t="s">
        <v>107</v>
      </c>
      <c r="D59" s="63" t="s">
        <v>3</v>
      </c>
      <c r="E59" s="79">
        <v>0.037</v>
      </c>
      <c r="F59" s="64">
        <f>TRUNC(1.72,2)</f>
        <v>1.72</v>
      </c>
      <c r="G59" s="64">
        <f t="shared" si="2"/>
        <v>0.06</v>
      </c>
      <c r="H59" s="64"/>
      <c r="I59" s="65"/>
    </row>
    <row r="60" spans="1:9" s="10" customFormat="1" ht="18.75">
      <c r="A60" s="118"/>
      <c r="B60" s="66" t="s">
        <v>214</v>
      </c>
      <c r="C60" s="67" t="s">
        <v>113</v>
      </c>
      <c r="D60" s="63" t="s">
        <v>3</v>
      </c>
      <c r="E60" s="79">
        <v>0.0102</v>
      </c>
      <c r="F60" s="64">
        <f>TRUNC(60.64,2)</f>
        <v>60.64</v>
      </c>
      <c r="G60" s="64">
        <f t="shared" si="2"/>
        <v>0.61</v>
      </c>
      <c r="H60" s="64"/>
      <c r="I60" s="65"/>
    </row>
    <row r="61" spans="1:9" s="10" customFormat="1" ht="18.75">
      <c r="A61" s="118"/>
      <c r="B61" s="66" t="s">
        <v>215</v>
      </c>
      <c r="C61" s="67" t="s">
        <v>109</v>
      </c>
      <c r="D61" s="63" t="s">
        <v>54</v>
      </c>
      <c r="E61" s="79">
        <v>1.04</v>
      </c>
      <c r="F61" s="64">
        <f>TRUNC(72.43,2)</f>
        <v>72.43</v>
      </c>
      <c r="G61" s="64">
        <f t="shared" si="2"/>
        <v>75.32</v>
      </c>
      <c r="H61" s="64"/>
      <c r="I61" s="65"/>
    </row>
    <row r="62" spans="1:9" s="10" customFormat="1" ht="18.75">
      <c r="A62" s="118"/>
      <c r="B62" s="66" t="s">
        <v>216</v>
      </c>
      <c r="C62" s="67" t="s">
        <v>111</v>
      </c>
      <c r="D62" s="63" t="s">
        <v>3</v>
      </c>
      <c r="E62" s="79">
        <v>0.0062</v>
      </c>
      <c r="F62" s="64">
        <f>TRUNC(69.83,2)</f>
        <v>69.83</v>
      </c>
      <c r="G62" s="64">
        <f t="shared" si="2"/>
        <v>0.43</v>
      </c>
      <c r="H62" s="64"/>
      <c r="I62" s="65"/>
    </row>
    <row r="63" spans="1:9" s="10" customFormat="1" ht="18.75">
      <c r="A63" s="118"/>
      <c r="B63" s="66" t="s">
        <v>217</v>
      </c>
      <c r="C63" s="67" t="s">
        <v>115</v>
      </c>
      <c r="D63" s="63" t="s">
        <v>1</v>
      </c>
      <c r="E63" s="79">
        <v>0.18</v>
      </c>
      <c r="F63" s="64">
        <f>TRUNC(26.15,2)</f>
        <v>26.15</v>
      </c>
      <c r="G63" s="64">
        <f t="shared" si="2"/>
        <v>4.7</v>
      </c>
      <c r="H63" s="64"/>
      <c r="I63" s="65"/>
    </row>
    <row r="64" spans="1:9" s="10" customFormat="1" ht="18.75">
      <c r="A64" s="118"/>
      <c r="B64" s="66" t="s">
        <v>218</v>
      </c>
      <c r="C64" s="67" t="s">
        <v>117</v>
      </c>
      <c r="D64" s="63" t="s">
        <v>1</v>
      </c>
      <c r="E64" s="79">
        <v>0.18</v>
      </c>
      <c r="F64" s="64">
        <f>TRUNC(20.45,2)</f>
        <v>20.45</v>
      </c>
      <c r="G64" s="64">
        <f t="shared" si="2"/>
        <v>3.68</v>
      </c>
      <c r="H64" s="64"/>
      <c r="I64" s="65"/>
    </row>
    <row r="65" spans="1:9" s="10" customFormat="1" ht="18.75">
      <c r="A65" s="118"/>
      <c r="B65" s="66"/>
      <c r="C65" s="67"/>
      <c r="D65" s="63"/>
      <c r="E65" s="79" t="s">
        <v>2</v>
      </c>
      <c r="F65" s="64"/>
      <c r="G65" s="64">
        <f>TRUNC(SUM(G59:G64),2)</f>
        <v>84.8</v>
      </c>
      <c r="H65" s="64"/>
      <c r="I65" s="65"/>
    </row>
    <row r="66" spans="1:9" s="10" customFormat="1" ht="31.5">
      <c r="A66" s="77" t="s">
        <v>179</v>
      </c>
      <c r="B66" s="117" t="s">
        <v>219</v>
      </c>
      <c r="C66" s="92" t="s">
        <v>165</v>
      </c>
      <c r="D66" s="77" t="s">
        <v>3</v>
      </c>
      <c r="E66" s="78">
        <v>16</v>
      </c>
      <c r="F66" s="89">
        <f>TRUNC(35.66976,2)</f>
        <v>35.66</v>
      </c>
      <c r="G66" s="70">
        <f>TRUNC(F66*1.2882,2)</f>
        <v>45.93</v>
      </c>
      <c r="H66" s="70">
        <f>TRUNC((E66*F66),2)</f>
        <v>570.56</v>
      </c>
      <c r="I66" s="70">
        <f>TRUNC((E66*G66),2)</f>
        <v>734.88</v>
      </c>
    </row>
    <row r="67" spans="1:9" s="10" customFormat="1" ht="30">
      <c r="A67" s="95"/>
      <c r="B67" s="66" t="s">
        <v>219</v>
      </c>
      <c r="C67" s="67" t="s">
        <v>165</v>
      </c>
      <c r="D67" s="63" t="s">
        <v>3</v>
      </c>
      <c r="E67" s="79">
        <v>1</v>
      </c>
      <c r="F67" s="64">
        <f>TRUNC(35.66976,2)</f>
        <v>35.66</v>
      </c>
      <c r="G67" s="64">
        <f aca="true" t="shared" si="3" ref="G67:G72">TRUNC(E67*F67,2)</f>
        <v>35.66</v>
      </c>
      <c r="H67" s="64"/>
      <c r="I67" s="65"/>
    </row>
    <row r="68" spans="1:9" s="10" customFormat="1" ht="18.75">
      <c r="A68" s="95"/>
      <c r="B68" s="66" t="s">
        <v>220</v>
      </c>
      <c r="C68" s="67" t="s">
        <v>221</v>
      </c>
      <c r="D68" s="63" t="s">
        <v>3</v>
      </c>
      <c r="E68" s="79">
        <v>1</v>
      </c>
      <c r="F68" s="64">
        <f>TRUNC(24.99,2)</f>
        <v>24.99</v>
      </c>
      <c r="G68" s="64">
        <f t="shared" si="3"/>
        <v>24.99</v>
      </c>
      <c r="H68" s="64"/>
      <c r="I68" s="65"/>
    </row>
    <row r="69" spans="1:9" s="10" customFormat="1" ht="30">
      <c r="A69" s="95"/>
      <c r="B69" s="66" t="s">
        <v>222</v>
      </c>
      <c r="C69" s="67" t="s">
        <v>167</v>
      </c>
      <c r="D69" s="63" t="s">
        <v>3</v>
      </c>
      <c r="E69" s="79">
        <v>0.046</v>
      </c>
      <c r="F69" s="64">
        <f>TRUNC(25.56,2)</f>
        <v>25.56</v>
      </c>
      <c r="G69" s="64">
        <f t="shared" si="3"/>
        <v>1.17</v>
      </c>
      <c r="H69" s="64"/>
      <c r="I69" s="65"/>
    </row>
    <row r="70" spans="1:9" s="10" customFormat="1" ht="18.75">
      <c r="A70" s="95"/>
      <c r="B70" s="66" t="s">
        <v>223</v>
      </c>
      <c r="C70" s="67" t="s">
        <v>169</v>
      </c>
      <c r="D70" s="63" t="s">
        <v>3</v>
      </c>
      <c r="E70" s="79">
        <v>1</v>
      </c>
      <c r="F70" s="64">
        <f>TRUNC(2.98,2)</f>
        <v>2.98</v>
      </c>
      <c r="G70" s="64">
        <f t="shared" si="3"/>
        <v>2.98</v>
      </c>
      <c r="H70" s="64"/>
      <c r="I70" s="65"/>
    </row>
    <row r="71" spans="1:9" s="10" customFormat="1" ht="18.75">
      <c r="A71" s="95"/>
      <c r="B71" s="66" t="s">
        <v>217</v>
      </c>
      <c r="C71" s="67" t="s">
        <v>115</v>
      </c>
      <c r="D71" s="63" t="s">
        <v>1</v>
      </c>
      <c r="E71" s="79">
        <v>0.14</v>
      </c>
      <c r="F71" s="64">
        <f>TRUNC(26.15,2)</f>
        <v>26.15</v>
      </c>
      <c r="G71" s="64">
        <f t="shared" si="3"/>
        <v>3.66</v>
      </c>
      <c r="H71" s="64"/>
      <c r="I71" s="65"/>
    </row>
    <row r="72" spans="1:9" s="10" customFormat="1" ht="18.75">
      <c r="A72" s="95"/>
      <c r="B72" s="66" t="s">
        <v>218</v>
      </c>
      <c r="C72" s="67" t="s">
        <v>117</v>
      </c>
      <c r="D72" s="63" t="s">
        <v>1</v>
      </c>
      <c r="E72" s="79">
        <v>0.14</v>
      </c>
      <c r="F72" s="64">
        <f>TRUNC(20.45,2)</f>
        <v>20.45</v>
      </c>
      <c r="G72" s="64">
        <f t="shared" si="3"/>
        <v>2.86</v>
      </c>
      <c r="H72" s="64"/>
      <c r="I72" s="65"/>
    </row>
    <row r="73" spans="1:9" s="10" customFormat="1" ht="18.75">
      <c r="A73" s="95"/>
      <c r="B73" s="66"/>
      <c r="C73" s="67"/>
      <c r="D73" s="63"/>
      <c r="E73" s="79" t="s">
        <v>2</v>
      </c>
      <c r="F73" s="64"/>
      <c r="G73" s="64">
        <f>TRUNC(SUM(G68:G72),2)</f>
        <v>35.66</v>
      </c>
      <c r="H73" s="64"/>
      <c r="I73" s="65"/>
    </row>
    <row r="74" spans="1:9" s="10" customFormat="1" ht="18.75">
      <c r="A74" s="106" t="s">
        <v>253</v>
      </c>
      <c r="B74" s="107"/>
      <c r="C74" s="121" t="s">
        <v>176</v>
      </c>
      <c r="D74" s="106"/>
      <c r="E74" s="119"/>
      <c r="F74" s="120"/>
      <c r="G74" s="120"/>
      <c r="H74" s="120">
        <f>H66+H57+H45+H38+H34+H30+H26+H14</f>
        <v>311651.63</v>
      </c>
      <c r="I74" s="120">
        <f>I66+I57+I45+I38+I34+I30+I26+I14</f>
        <v>401451.45999999996</v>
      </c>
    </row>
    <row r="75" spans="1:9" s="10" customFormat="1" ht="18.75">
      <c r="A75" s="116" t="s">
        <v>181</v>
      </c>
      <c r="B75" s="111"/>
      <c r="C75" s="114" t="s">
        <v>118</v>
      </c>
      <c r="D75" s="110"/>
      <c r="E75" s="112"/>
      <c r="F75" s="113"/>
      <c r="G75" s="113"/>
      <c r="H75" s="113"/>
      <c r="I75" s="113"/>
    </row>
    <row r="76" spans="1:9" s="10" customFormat="1" ht="31.5">
      <c r="A76" s="77" t="s">
        <v>182</v>
      </c>
      <c r="B76" s="71" t="s">
        <v>224</v>
      </c>
      <c r="C76" s="92" t="s">
        <v>128</v>
      </c>
      <c r="D76" s="77" t="s">
        <v>54</v>
      </c>
      <c r="E76" s="78">
        <v>45</v>
      </c>
      <c r="F76" s="89">
        <f>TRUNC(6.99716,2)</f>
        <v>6.99</v>
      </c>
      <c r="G76" s="70">
        <f>TRUNC(F76*1.2882,2)</f>
        <v>9</v>
      </c>
      <c r="H76" s="70">
        <f>TRUNC((E76*F76),2)</f>
        <v>314.55</v>
      </c>
      <c r="I76" s="70">
        <f>TRUNC((E76*G76),2)</f>
        <v>405</v>
      </c>
    </row>
    <row r="77" spans="1:9" s="10" customFormat="1" ht="30">
      <c r="A77" s="95"/>
      <c r="B77" s="66" t="s">
        <v>224</v>
      </c>
      <c r="C77" s="67" t="s">
        <v>128</v>
      </c>
      <c r="D77" s="63" t="s">
        <v>54</v>
      </c>
      <c r="E77" s="79">
        <v>1</v>
      </c>
      <c r="F77" s="64">
        <f>TRUNC(6.99716,2)</f>
        <v>6.99</v>
      </c>
      <c r="G77" s="64">
        <f>TRUNC(E77*F77,2)</f>
        <v>6.99</v>
      </c>
      <c r="H77" s="64"/>
      <c r="I77" s="65"/>
    </row>
    <row r="78" spans="1:9" s="10" customFormat="1" ht="18.75">
      <c r="A78" s="95"/>
      <c r="B78" s="66" t="s">
        <v>225</v>
      </c>
      <c r="C78" s="67" t="s">
        <v>71</v>
      </c>
      <c r="D78" s="63" t="s">
        <v>67</v>
      </c>
      <c r="E78" s="79">
        <v>0.0016</v>
      </c>
      <c r="F78" s="64">
        <f>TRUNC(18.6,2)</f>
        <v>18.6</v>
      </c>
      <c r="G78" s="64">
        <f>TRUNC(E78*F78,2)</f>
        <v>0.02</v>
      </c>
      <c r="H78" s="64"/>
      <c r="I78" s="65"/>
    </row>
    <row r="79" spans="1:9" s="10" customFormat="1" ht="18.75">
      <c r="A79" s="95"/>
      <c r="B79" s="66" t="s">
        <v>226</v>
      </c>
      <c r="C79" s="67" t="s">
        <v>131</v>
      </c>
      <c r="D79" s="63" t="s">
        <v>54</v>
      </c>
      <c r="E79" s="79">
        <v>1.017</v>
      </c>
      <c r="F79" s="64">
        <f>TRUNC(2.85,2)</f>
        <v>2.85</v>
      </c>
      <c r="G79" s="64">
        <f>TRUNC(E79*F79,2)</f>
        <v>2.89</v>
      </c>
      <c r="H79" s="64"/>
      <c r="I79" s="65"/>
    </row>
    <row r="80" spans="1:9" s="10" customFormat="1" ht="18.75">
      <c r="A80" s="95"/>
      <c r="B80" s="66" t="s">
        <v>227</v>
      </c>
      <c r="C80" s="67" t="s">
        <v>133</v>
      </c>
      <c r="D80" s="63" t="s">
        <v>1</v>
      </c>
      <c r="E80" s="79">
        <v>0.085</v>
      </c>
      <c r="F80" s="64">
        <f>TRUNC(26.87,2)</f>
        <v>26.87</v>
      </c>
      <c r="G80" s="64">
        <f>TRUNC(E80*F80,2)</f>
        <v>2.28</v>
      </c>
      <c r="H80" s="64"/>
      <c r="I80" s="65"/>
    </row>
    <row r="81" spans="1:9" s="10" customFormat="1" ht="18.75">
      <c r="A81" s="95"/>
      <c r="B81" s="66" t="s">
        <v>228</v>
      </c>
      <c r="C81" s="67" t="s">
        <v>135</v>
      </c>
      <c r="D81" s="63" t="s">
        <v>1</v>
      </c>
      <c r="E81" s="79">
        <v>0.085</v>
      </c>
      <c r="F81" s="64">
        <f>TRUNC(21,2)</f>
        <v>21</v>
      </c>
      <c r="G81" s="64">
        <f>TRUNC(E81*F81,2)</f>
        <v>1.78</v>
      </c>
      <c r="H81" s="64"/>
      <c r="I81" s="65"/>
    </row>
    <row r="82" spans="1:9" s="10" customFormat="1" ht="18.75">
      <c r="A82" s="95"/>
      <c r="B82" s="66"/>
      <c r="C82" s="67"/>
      <c r="D82" s="63"/>
      <c r="E82" s="79" t="s">
        <v>2</v>
      </c>
      <c r="F82" s="64"/>
      <c r="G82" s="64">
        <f>TRUNC(SUM(G78:G81),2)</f>
        <v>6.97</v>
      </c>
      <c r="H82" s="64"/>
      <c r="I82" s="65"/>
    </row>
    <row r="83" spans="1:9" s="10" customFormat="1" ht="47.25">
      <c r="A83" s="77" t="s">
        <v>183</v>
      </c>
      <c r="B83" s="71" t="s">
        <v>234</v>
      </c>
      <c r="C83" s="92" t="s">
        <v>120</v>
      </c>
      <c r="D83" s="77" t="s">
        <v>54</v>
      </c>
      <c r="E83" s="78">
        <v>150</v>
      </c>
      <c r="F83" s="89">
        <f>TRUNC(3.360833,2)</f>
        <v>3.36</v>
      </c>
      <c r="G83" s="70">
        <f>TRUNC(F83*1.2882,2)</f>
        <v>4.32</v>
      </c>
      <c r="H83" s="70">
        <f>TRUNC((E83*F83),2)</f>
        <v>504</v>
      </c>
      <c r="I83" s="70">
        <f>TRUNC((E83*G83),2)</f>
        <v>648</v>
      </c>
    </row>
    <row r="84" spans="1:9" s="10" customFormat="1" ht="45">
      <c r="A84" s="95"/>
      <c r="B84" s="66" t="s">
        <v>234</v>
      </c>
      <c r="C84" s="67" t="s">
        <v>120</v>
      </c>
      <c r="D84" s="63" t="s">
        <v>54</v>
      </c>
      <c r="E84" s="79">
        <v>1</v>
      </c>
      <c r="F84" s="64">
        <f>TRUNC(3.360833,2)</f>
        <v>3.36</v>
      </c>
      <c r="G84" s="64">
        <f>TRUNC(E84*F84,2)</f>
        <v>3.36</v>
      </c>
      <c r="H84" s="64"/>
      <c r="I84" s="65"/>
    </row>
    <row r="85" spans="1:9" s="10" customFormat="1" ht="18.75">
      <c r="A85" s="95"/>
      <c r="B85" s="66" t="s">
        <v>121</v>
      </c>
      <c r="C85" s="67" t="s">
        <v>122</v>
      </c>
      <c r="D85" s="63" t="s">
        <v>54</v>
      </c>
      <c r="E85" s="79">
        <v>1</v>
      </c>
      <c r="F85" s="64">
        <f>TRUNC(1.5962,2)</f>
        <v>1.59</v>
      </c>
      <c r="G85" s="64">
        <f>TRUNC(E85*F85,2)</f>
        <v>1.59</v>
      </c>
      <c r="H85" s="64"/>
      <c r="I85" s="65"/>
    </row>
    <row r="86" spans="1:9" s="10" customFormat="1" ht="18.75">
      <c r="A86" s="95"/>
      <c r="B86" s="66" t="s">
        <v>123</v>
      </c>
      <c r="C86" s="67" t="s">
        <v>124</v>
      </c>
      <c r="D86" s="63" t="s">
        <v>3</v>
      </c>
      <c r="E86" s="79">
        <v>0.0014</v>
      </c>
      <c r="F86" s="64">
        <f>TRUNC(4.22,2)</f>
        <v>4.22</v>
      </c>
      <c r="G86" s="64">
        <f>TRUNC(E86*F86,2)</f>
        <v>0</v>
      </c>
      <c r="H86" s="64"/>
      <c r="I86" s="65"/>
    </row>
    <row r="87" spans="1:9" s="10" customFormat="1" ht="18.75">
      <c r="A87" s="95"/>
      <c r="B87" s="66" t="s">
        <v>203</v>
      </c>
      <c r="C87" s="67" t="s">
        <v>204</v>
      </c>
      <c r="D87" s="63" t="s">
        <v>1</v>
      </c>
      <c r="E87" s="79">
        <v>0.051500000000000004</v>
      </c>
      <c r="F87" s="64">
        <f>TRUNC(14.34,2)</f>
        <v>14.34</v>
      </c>
      <c r="G87" s="64">
        <f>TRUNC(E87*F87,2)</f>
        <v>0.73</v>
      </c>
      <c r="H87" s="64"/>
      <c r="I87" s="65"/>
    </row>
    <row r="88" spans="1:9" s="10" customFormat="1" ht="18.75">
      <c r="A88" s="95"/>
      <c r="B88" s="66" t="s">
        <v>235</v>
      </c>
      <c r="C88" s="67" t="s">
        <v>236</v>
      </c>
      <c r="D88" s="63" t="s">
        <v>1</v>
      </c>
      <c r="E88" s="79">
        <v>0.051500000000000004</v>
      </c>
      <c r="F88" s="64">
        <f>TRUNC(19.81,2)</f>
        <v>19.81</v>
      </c>
      <c r="G88" s="64">
        <f>TRUNC(E88*F88,2)</f>
        <v>1.02</v>
      </c>
      <c r="H88" s="64"/>
      <c r="I88" s="65"/>
    </row>
    <row r="89" spans="1:9" s="10" customFormat="1" ht="18.75">
      <c r="A89" s="95"/>
      <c r="B89" s="66"/>
      <c r="C89" s="67"/>
      <c r="D89" s="63"/>
      <c r="E89" s="79" t="s">
        <v>2</v>
      </c>
      <c r="F89" s="64"/>
      <c r="G89" s="64">
        <f>TRUNC(SUM(G85:G88),2)</f>
        <v>3.34</v>
      </c>
      <c r="H89" s="64"/>
      <c r="I89" s="65"/>
    </row>
    <row r="90" spans="1:9" s="10" customFormat="1" ht="18.75">
      <c r="A90" s="106" t="s">
        <v>253</v>
      </c>
      <c r="B90" s="107"/>
      <c r="C90" s="121" t="s">
        <v>184</v>
      </c>
      <c r="D90" s="106"/>
      <c r="E90" s="119"/>
      <c r="F90" s="120"/>
      <c r="G90" s="120"/>
      <c r="H90" s="120">
        <f>H83+H76</f>
        <v>818.55</v>
      </c>
      <c r="I90" s="120">
        <f>I83+I76</f>
        <v>1053</v>
      </c>
    </row>
    <row r="91" spans="1:9" s="10" customFormat="1" ht="16.5" customHeight="1">
      <c r="A91" s="122" t="s">
        <v>185</v>
      </c>
      <c r="B91" s="107"/>
      <c r="C91" s="115" t="s">
        <v>136</v>
      </c>
      <c r="D91" s="106"/>
      <c r="E91" s="108"/>
      <c r="F91" s="109"/>
      <c r="G91" s="109"/>
      <c r="H91" s="109"/>
      <c r="I91" s="109"/>
    </row>
    <row r="92" spans="1:9" s="10" customFormat="1" ht="47.25">
      <c r="A92" s="77" t="s">
        <v>186</v>
      </c>
      <c r="B92" s="71" t="s">
        <v>237</v>
      </c>
      <c r="C92" s="92" t="s">
        <v>138</v>
      </c>
      <c r="D92" s="77" t="s">
        <v>139</v>
      </c>
      <c r="E92" s="78">
        <f>135.51*0.1</f>
        <v>13.551</v>
      </c>
      <c r="F92" s="89">
        <f>TRUNC(324.6073,2)</f>
        <v>324.6</v>
      </c>
      <c r="G92" s="70">
        <f>TRUNC(F92*1.2882,2)</f>
        <v>418.14</v>
      </c>
      <c r="H92" s="70">
        <f>TRUNC((E92*F92),2)</f>
        <v>4398.65</v>
      </c>
      <c r="I92" s="70">
        <f>TRUNC((E92*G92),2)</f>
        <v>5666.21</v>
      </c>
    </row>
    <row r="93" spans="1:9" s="10" customFormat="1" ht="45">
      <c r="A93" s="95"/>
      <c r="B93" s="66" t="s">
        <v>237</v>
      </c>
      <c r="C93" s="67" t="s">
        <v>138</v>
      </c>
      <c r="D93" s="63" t="s">
        <v>139</v>
      </c>
      <c r="E93" s="79">
        <v>1</v>
      </c>
      <c r="F93" s="64">
        <f>TRUNC(324.6073,2)</f>
        <v>324.6</v>
      </c>
      <c r="G93" s="64">
        <f aca="true" t="shared" si="4" ref="G93:G100">TRUNC(E93*F93,2)</f>
        <v>324.6</v>
      </c>
      <c r="H93" s="64"/>
      <c r="I93" s="65"/>
    </row>
    <row r="94" spans="1:9" s="10" customFormat="1" ht="18.75">
      <c r="A94" s="95"/>
      <c r="B94" s="66" t="s">
        <v>203</v>
      </c>
      <c r="C94" s="67" t="s">
        <v>204</v>
      </c>
      <c r="D94" s="63" t="s">
        <v>1</v>
      </c>
      <c r="E94" s="79">
        <v>4.12</v>
      </c>
      <c r="F94" s="64">
        <f>TRUNC(14.34,2)</f>
        <v>14.34</v>
      </c>
      <c r="G94" s="64">
        <f t="shared" si="4"/>
        <v>59.08</v>
      </c>
      <c r="H94" s="64"/>
      <c r="I94" s="65"/>
    </row>
    <row r="95" spans="1:9" s="10" customFormat="1" ht="18.75">
      <c r="A95" s="95"/>
      <c r="B95" s="66" t="s">
        <v>238</v>
      </c>
      <c r="C95" s="67" t="s">
        <v>239</v>
      </c>
      <c r="D95" s="63" t="s">
        <v>1</v>
      </c>
      <c r="E95" s="79">
        <v>2.1630000000000003</v>
      </c>
      <c r="F95" s="64">
        <f>TRUNC(22.25,2)</f>
        <v>22.25</v>
      </c>
      <c r="G95" s="64">
        <f t="shared" si="4"/>
        <v>48.12</v>
      </c>
      <c r="H95" s="64"/>
      <c r="I95" s="65"/>
    </row>
    <row r="96" spans="1:9" s="10" customFormat="1" ht="18.75">
      <c r="A96" s="95"/>
      <c r="B96" s="66" t="s">
        <v>240</v>
      </c>
      <c r="C96" s="67" t="s">
        <v>241</v>
      </c>
      <c r="D96" s="63" t="s">
        <v>1</v>
      </c>
      <c r="E96" s="79">
        <v>4.12</v>
      </c>
      <c r="F96" s="64">
        <f>TRUNC(19.81,2)</f>
        <v>19.81</v>
      </c>
      <c r="G96" s="64">
        <f t="shared" si="4"/>
        <v>81.61</v>
      </c>
      <c r="H96" s="64"/>
      <c r="I96" s="65"/>
    </row>
    <row r="97" spans="1:9" s="10" customFormat="1" ht="18.75">
      <c r="A97" s="95"/>
      <c r="B97" s="66" t="s">
        <v>242</v>
      </c>
      <c r="C97" s="67" t="s">
        <v>243</v>
      </c>
      <c r="D97" s="63" t="s">
        <v>1</v>
      </c>
      <c r="E97" s="79">
        <v>0.5</v>
      </c>
      <c r="F97" s="64">
        <f>TRUNC(13.8837,2)</f>
        <v>13.88</v>
      </c>
      <c r="G97" s="64">
        <f t="shared" si="4"/>
        <v>6.94</v>
      </c>
      <c r="H97" s="64"/>
      <c r="I97" s="65"/>
    </row>
    <row r="98" spans="1:9" s="10" customFormat="1" ht="18.75">
      <c r="A98" s="95"/>
      <c r="B98" s="66" t="s">
        <v>244</v>
      </c>
      <c r="C98" s="67" t="s">
        <v>245</v>
      </c>
      <c r="D98" s="63" t="s">
        <v>1</v>
      </c>
      <c r="E98" s="79">
        <v>1.6</v>
      </c>
      <c r="F98" s="64">
        <f>TRUNC(77.7274,2)</f>
        <v>77.72</v>
      </c>
      <c r="G98" s="64">
        <f t="shared" si="4"/>
        <v>124.35</v>
      </c>
      <c r="H98" s="64"/>
      <c r="I98" s="65"/>
    </row>
    <row r="99" spans="1:9" s="10" customFormat="1" ht="30">
      <c r="A99" s="95"/>
      <c r="B99" s="66" t="s">
        <v>246</v>
      </c>
      <c r="C99" s="67" t="s">
        <v>247</v>
      </c>
      <c r="D99" s="63" t="s">
        <v>1</v>
      </c>
      <c r="E99" s="79">
        <v>1</v>
      </c>
      <c r="F99" s="64">
        <f>TRUNC(0.7719,2)</f>
        <v>0.77</v>
      </c>
      <c r="G99" s="64">
        <f t="shared" si="4"/>
        <v>0.77</v>
      </c>
      <c r="H99" s="64"/>
      <c r="I99" s="65"/>
    </row>
    <row r="100" spans="1:9" s="10" customFormat="1" ht="30">
      <c r="A100" s="95"/>
      <c r="B100" s="66" t="s">
        <v>248</v>
      </c>
      <c r="C100" s="67" t="s">
        <v>249</v>
      </c>
      <c r="D100" s="63" t="s">
        <v>1</v>
      </c>
      <c r="E100" s="79">
        <v>3.2</v>
      </c>
      <c r="F100" s="64">
        <f>TRUNC(1.1578,2)</f>
        <v>1.15</v>
      </c>
      <c r="G100" s="64">
        <f t="shared" si="4"/>
        <v>3.68</v>
      </c>
      <c r="H100" s="64"/>
      <c r="I100" s="65"/>
    </row>
    <row r="101" spans="1:9" s="10" customFormat="1" ht="18.75">
      <c r="A101" s="95"/>
      <c r="B101" s="66"/>
      <c r="C101" s="67"/>
      <c r="D101" s="63"/>
      <c r="E101" s="79" t="s">
        <v>2</v>
      </c>
      <c r="F101" s="64"/>
      <c r="G101" s="64">
        <f>TRUNC(SUM(G94:G100),2)</f>
        <v>324.55</v>
      </c>
      <c r="H101" s="64"/>
      <c r="I101" s="65"/>
    </row>
    <row r="102" spans="1:9" s="10" customFormat="1" ht="31.5">
      <c r="A102" s="77" t="s">
        <v>187</v>
      </c>
      <c r="B102" s="71" t="s">
        <v>152</v>
      </c>
      <c r="C102" s="92" t="s">
        <v>153</v>
      </c>
      <c r="D102" s="77" t="s">
        <v>0</v>
      </c>
      <c r="E102" s="78">
        <v>1238.8</v>
      </c>
      <c r="F102" s="89">
        <f>TRUNC(47.886325,2)</f>
        <v>47.88</v>
      </c>
      <c r="G102" s="70">
        <f>TRUNC(F102*1.2882,2)</f>
        <v>61.67</v>
      </c>
      <c r="H102" s="70">
        <f>TRUNC((E102*F102),2)</f>
        <v>59313.74</v>
      </c>
      <c r="I102" s="70">
        <f>TRUNC((E102*G102),2)</f>
        <v>76396.79</v>
      </c>
    </row>
    <row r="103" spans="1:9" s="10" customFormat="1" ht="30">
      <c r="A103" s="95"/>
      <c r="B103" s="66" t="s">
        <v>152</v>
      </c>
      <c r="C103" s="67" t="s">
        <v>153</v>
      </c>
      <c r="D103" s="63" t="s">
        <v>0</v>
      </c>
      <c r="E103" s="79">
        <v>1</v>
      </c>
      <c r="F103" s="64">
        <f>TRUNC(47.886325,2)</f>
        <v>47.88</v>
      </c>
      <c r="G103" s="64">
        <f>TRUNC(E103*F103,2)</f>
        <v>47.88</v>
      </c>
      <c r="H103" s="64"/>
      <c r="I103" s="65"/>
    </row>
    <row r="104" spans="1:9" s="10" customFormat="1" ht="18.75">
      <c r="A104" s="95"/>
      <c r="B104" s="66" t="s">
        <v>63</v>
      </c>
      <c r="C104" s="67" t="s">
        <v>64</v>
      </c>
      <c r="D104" s="63" t="s">
        <v>1</v>
      </c>
      <c r="E104" s="79">
        <v>0.7725</v>
      </c>
      <c r="F104" s="64">
        <f>TRUNC(16.55,2)</f>
        <v>16.55</v>
      </c>
      <c r="G104" s="64">
        <f>TRUNC(E104*F104,2)</f>
        <v>12.78</v>
      </c>
      <c r="H104" s="64"/>
      <c r="I104" s="65"/>
    </row>
    <row r="105" spans="1:9" s="10" customFormat="1" ht="18.75">
      <c r="A105" s="95"/>
      <c r="B105" s="66" t="s">
        <v>102</v>
      </c>
      <c r="C105" s="67" t="s">
        <v>103</v>
      </c>
      <c r="D105" s="63" t="s">
        <v>1</v>
      </c>
      <c r="E105" s="79">
        <v>0.7725</v>
      </c>
      <c r="F105" s="64">
        <f>TRUNC(22.86,2)</f>
        <v>22.86</v>
      </c>
      <c r="G105" s="64">
        <f>TRUNC(E105*F105,2)</f>
        <v>17.65</v>
      </c>
      <c r="H105" s="64"/>
      <c r="I105" s="65"/>
    </row>
    <row r="106" spans="1:9" s="10" customFormat="1" ht="18.75">
      <c r="A106" s="95"/>
      <c r="B106" s="66" t="s">
        <v>154</v>
      </c>
      <c r="C106" s="67" t="s">
        <v>155</v>
      </c>
      <c r="D106" s="63" t="s">
        <v>139</v>
      </c>
      <c r="E106" s="79">
        <v>0.05</v>
      </c>
      <c r="F106" s="64">
        <f>TRUNC(348.842,2)</f>
        <v>348.84</v>
      </c>
      <c r="G106" s="64">
        <f>TRUNC(E106*F106,2)</f>
        <v>17.44</v>
      </c>
      <c r="H106" s="64"/>
      <c r="I106" s="65"/>
    </row>
    <row r="107" spans="1:9" s="10" customFormat="1" ht="18.75">
      <c r="A107" s="95"/>
      <c r="B107" s="66"/>
      <c r="C107" s="67"/>
      <c r="D107" s="63"/>
      <c r="E107" s="79" t="s">
        <v>2</v>
      </c>
      <c r="F107" s="64"/>
      <c r="G107" s="64">
        <f>TRUNC(SUM(G104:G106),2)</f>
        <v>47.87</v>
      </c>
      <c r="H107" s="64"/>
      <c r="I107" s="65"/>
    </row>
    <row r="108" spans="1:9" s="10" customFormat="1" ht="18.75">
      <c r="A108" s="77" t="s">
        <v>188</v>
      </c>
      <c r="B108" s="71" t="s">
        <v>229</v>
      </c>
      <c r="C108" s="92" t="s">
        <v>157</v>
      </c>
      <c r="D108" s="77" t="s">
        <v>0</v>
      </c>
      <c r="E108" s="78">
        <v>1238.8</v>
      </c>
      <c r="F108" s="89">
        <f>TRUNC(32.14516,2)</f>
        <v>32.14</v>
      </c>
      <c r="G108" s="70">
        <f>TRUNC(F108*1.2882,2)</f>
        <v>41.4</v>
      </c>
      <c r="H108" s="70">
        <f>TRUNC((E108*F108),2)</f>
        <v>39815.03</v>
      </c>
      <c r="I108" s="70">
        <f>TRUNC((E108*G108),2)</f>
        <v>51286.32</v>
      </c>
    </row>
    <row r="109" spans="1:9" s="10" customFormat="1" ht="18.75">
      <c r="A109" s="95"/>
      <c r="B109" s="66" t="s">
        <v>229</v>
      </c>
      <c r="C109" s="67" t="s">
        <v>157</v>
      </c>
      <c r="D109" s="63" t="s">
        <v>0</v>
      </c>
      <c r="E109" s="79">
        <v>1</v>
      </c>
      <c r="F109" s="64">
        <f>TRUNC(32.14516,2)</f>
        <v>32.14</v>
      </c>
      <c r="G109" s="64">
        <f>TRUNC(E109*F109,2)</f>
        <v>32.14</v>
      </c>
      <c r="H109" s="64"/>
      <c r="I109" s="65"/>
    </row>
    <row r="110" spans="1:9" s="10" customFormat="1" ht="18.75">
      <c r="A110" s="95"/>
      <c r="B110" s="66" t="s">
        <v>230</v>
      </c>
      <c r="C110" s="67" t="s">
        <v>159</v>
      </c>
      <c r="D110" s="63" t="s">
        <v>67</v>
      </c>
      <c r="E110" s="79">
        <v>4</v>
      </c>
      <c r="F110" s="64">
        <f>TRUNC(7.43,2)</f>
        <v>7.43</v>
      </c>
      <c r="G110" s="64">
        <f>TRUNC(E110*F110,2)</f>
        <v>29.72</v>
      </c>
      <c r="H110" s="64"/>
      <c r="I110" s="65"/>
    </row>
    <row r="111" spans="1:9" s="10" customFormat="1" ht="18.75">
      <c r="A111" s="95"/>
      <c r="B111" s="66" t="s">
        <v>231</v>
      </c>
      <c r="C111" s="67" t="s">
        <v>161</v>
      </c>
      <c r="D111" s="63" t="s">
        <v>1</v>
      </c>
      <c r="E111" s="79">
        <v>0.088</v>
      </c>
      <c r="F111" s="64">
        <f>TRUNC(26.76,2)</f>
        <v>26.76</v>
      </c>
      <c r="G111" s="64">
        <f>TRUNC(E111*F111,2)</f>
        <v>2.35</v>
      </c>
      <c r="H111" s="64"/>
      <c r="I111" s="65"/>
    </row>
    <row r="112" spans="1:9" s="10" customFormat="1" ht="30">
      <c r="A112" s="95"/>
      <c r="B112" s="66" t="s">
        <v>232</v>
      </c>
      <c r="C112" s="67" t="s">
        <v>233</v>
      </c>
      <c r="D112" s="63" t="s">
        <v>70</v>
      </c>
      <c r="E112" s="79">
        <v>0.007</v>
      </c>
      <c r="F112" s="64">
        <f>TRUNC(10.04,2)</f>
        <v>10.04</v>
      </c>
      <c r="G112" s="64">
        <f>TRUNC(E112*F112,2)</f>
        <v>0.07</v>
      </c>
      <c r="H112" s="64"/>
      <c r="I112" s="65"/>
    </row>
    <row r="113" spans="1:9" s="10" customFormat="1" ht="18.75">
      <c r="A113" s="95"/>
      <c r="B113" s="66"/>
      <c r="C113" s="67"/>
      <c r="D113" s="63"/>
      <c r="E113" s="79" t="s">
        <v>2</v>
      </c>
      <c r="F113" s="64"/>
      <c r="G113" s="64">
        <f>TRUNC(SUM(G110:G112),2)</f>
        <v>32.14</v>
      </c>
      <c r="H113" s="64"/>
      <c r="I113" s="65"/>
    </row>
    <row r="114" spans="1:9" s="10" customFormat="1" ht="18.75">
      <c r="A114" s="106" t="s">
        <v>253</v>
      </c>
      <c r="B114" s="107"/>
      <c r="C114" s="121" t="s">
        <v>189</v>
      </c>
      <c r="D114" s="106"/>
      <c r="E114" s="119"/>
      <c r="F114" s="120"/>
      <c r="G114" s="120"/>
      <c r="H114" s="120">
        <f>H108+H102+H92</f>
        <v>103527.41999999998</v>
      </c>
      <c r="I114" s="120">
        <f>I108+I102+I92</f>
        <v>133349.31999999998</v>
      </c>
    </row>
    <row r="115" spans="1:9" s="1" customFormat="1" ht="15.75">
      <c r="A115" s="82" t="s">
        <v>34</v>
      </c>
      <c r="B115" s="83"/>
      <c r="C115" s="179"/>
      <c r="D115" s="180"/>
      <c r="E115" s="181"/>
      <c r="F115" s="83"/>
      <c r="G115" s="68" t="s">
        <v>19</v>
      </c>
      <c r="H115" s="84"/>
      <c r="I115" s="25">
        <f>I114+I90+I74</f>
        <v>535853.7799999999</v>
      </c>
    </row>
    <row r="116" spans="1:9" ht="15.75">
      <c r="A116" s="85" t="s">
        <v>34</v>
      </c>
      <c r="B116" s="86"/>
      <c r="C116" s="86"/>
      <c r="D116" s="86"/>
      <c r="E116" s="86"/>
      <c r="F116" s="86"/>
      <c r="G116" s="72" t="s">
        <v>33</v>
      </c>
      <c r="H116" s="25">
        <f>H114+H90+H74</f>
        <v>415997.6</v>
      </c>
      <c r="I116" s="125"/>
    </row>
    <row r="117" spans="1:9" s="10" customFormat="1" ht="18.75">
      <c r="A117" s="58"/>
      <c r="B117" s="61"/>
      <c r="C117" s="62"/>
      <c r="D117" s="63"/>
      <c r="E117" s="59"/>
      <c r="F117" s="69"/>
      <c r="G117" s="60"/>
      <c r="H117" s="64"/>
      <c r="I117" s="65"/>
    </row>
    <row r="118" spans="1:9" s="10" customFormat="1" ht="18.75">
      <c r="A118" s="58"/>
      <c r="B118" s="61"/>
      <c r="C118" s="62"/>
      <c r="D118" s="63"/>
      <c r="E118" s="59"/>
      <c r="F118" s="69"/>
      <c r="G118" s="60"/>
      <c r="H118" s="64"/>
      <c r="I118" s="65"/>
    </row>
    <row r="119" spans="1:9" s="10" customFormat="1" ht="18.75">
      <c r="A119" s="58"/>
      <c r="B119" s="61"/>
      <c r="C119" s="62"/>
      <c r="D119" s="63"/>
      <c r="E119" s="59"/>
      <c r="F119" s="69"/>
      <c r="G119" s="60"/>
      <c r="H119" s="64"/>
      <c r="I119" s="65"/>
    </row>
    <row r="120" spans="1:9" s="10" customFormat="1" ht="18.75">
      <c r="A120" s="58"/>
      <c r="B120" s="61"/>
      <c r="C120" s="62"/>
      <c r="D120" s="63"/>
      <c r="E120" s="59"/>
      <c r="F120" s="69"/>
      <c r="G120" s="60"/>
      <c r="H120" s="64"/>
      <c r="I120" s="65"/>
    </row>
    <row r="121" spans="1:9" s="10" customFormat="1" ht="18.75">
      <c r="A121" s="58"/>
      <c r="B121" s="61"/>
      <c r="C121" s="62"/>
      <c r="D121" s="63"/>
      <c r="E121" s="59"/>
      <c r="F121" s="69"/>
      <c r="G121" s="60"/>
      <c r="H121" s="64"/>
      <c r="I121" s="65"/>
    </row>
    <row r="122" spans="1:9" s="10" customFormat="1" ht="18.75">
      <c r="A122" s="58"/>
      <c r="B122" s="61"/>
      <c r="C122" s="62"/>
      <c r="D122" s="63"/>
      <c r="E122" s="59"/>
      <c r="F122" s="69"/>
      <c r="G122" s="60"/>
      <c r="H122" s="64"/>
      <c r="I122" s="65"/>
    </row>
    <row r="123" spans="1:9" s="10" customFormat="1" ht="18.75">
      <c r="A123" s="58"/>
      <c r="B123" s="61"/>
      <c r="C123" s="62"/>
      <c r="D123" s="63"/>
      <c r="E123" s="59"/>
      <c r="F123" s="69"/>
      <c r="G123" s="60"/>
      <c r="H123" s="64"/>
      <c r="I123" s="65"/>
    </row>
    <row r="124" spans="1:9" s="10" customFormat="1" ht="18.75">
      <c r="A124" s="58"/>
      <c r="B124" s="61"/>
      <c r="C124" s="62"/>
      <c r="D124" s="63"/>
      <c r="E124" s="59"/>
      <c r="F124" s="69"/>
      <c r="G124" s="60"/>
      <c r="H124" s="64"/>
      <c r="I124" s="65"/>
    </row>
    <row r="125" spans="1:9" s="10" customFormat="1" ht="18.75">
      <c r="A125" s="58"/>
      <c r="B125" s="61"/>
      <c r="C125" s="62"/>
      <c r="D125" s="63"/>
      <c r="E125" s="59"/>
      <c r="F125" s="69"/>
      <c r="G125" s="60"/>
      <c r="H125" s="64"/>
      <c r="I125" s="65"/>
    </row>
    <row r="126" spans="1:9" s="10" customFormat="1" ht="18.75">
      <c r="A126" s="58"/>
      <c r="B126" s="61"/>
      <c r="C126" s="62"/>
      <c r="D126" s="63"/>
      <c r="E126" s="59"/>
      <c r="F126" s="69"/>
      <c r="G126" s="60"/>
      <c r="H126" s="64"/>
      <c r="I126" s="65"/>
    </row>
    <row r="127" spans="1:9" s="10" customFormat="1" ht="18.75">
      <c r="A127" s="58"/>
      <c r="B127" s="61"/>
      <c r="C127" s="62"/>
      <c r="D127" s="63"/>
      <c r="E127" s="59"/>
      <c r="F127" s="69"/>
      <c r="G127" s="60"/>
      <c r="H127" s="64"/>
      <c r="I127" s="65"/>
    </row>
    <row r="128" spans="1:9" s="10" customFormat="1" ht="18.75">
      <c r="A128" s="58"/>
      <c r="B128" s="61"/>
      <c r="C128" s="62"/>
      <c r="D128" s="63"/>
      <c r="E128" s="59"/>
      <c r="F128" s="69"/>
      <c r="G128" s="60"/>
      <c r="H128" s="64"/>
      <c r="I128" s="65"/>
    </row>
    <row r="129" spans="1:9" s="10" customFormat="1" ht="18.75">
      <c r="A129" s="58"/>
      <c r="B129" s="61"/>
      <c r="C129" s="62"/>
      <c r="D129" s="63"/>
      <c r="E129" s="59"/>
      <c r="F129" s="69"/>
      <c r="G129" s="60"/>
      <c r="H129" s="64"/>
      <c r="I129" s="65"/>
    </row>
    <row r="130" spans="1:9" s="10" customFormat="1" ht="18.75">
      <c r="A130" s="58"/>
      <c r="B130" s="61"/>
      <c r="C130" s="62"/>
      <c r="D130" s="63"/>
      <c r="E130" s="59"/>
      <c r="F130" s="69"/>
      <c r="G130" s="60"/>
      <c r="H130" s="64"/>
      <c r="I130" s="65"/>
    </row>
    <row r="131" spans="1:9" s="10" customFormat="1" ht="18.75">
      <c r="A131" s="58"/>
      <c r="B131" s="61"/>
      <c r="C131" s="62"/>
      <c r="D131" s="63"/>
      <c r="E131" s="59"/>
      <c r="F131" s="69"/>
      <c r="G131" s="60"/>
      <c r="H131" s="64"/>
      <c r="I131" s="65"/>
    </row>
    <row r="132" spans="1:9" s="10" customFormat="1" ht="18.75">
      <c r="A132" s="58"/>
      <c r="B132" s="61"/>
      <c r="C132" s="62"/>
      <c r="D132" s="63"/>
      <c r="E132" s="59"/>
      <c r="F132" s="69"/>
      <c r="G132" s="60"/>
      <c r="H132" s="64"/>
      <c r="I132" s="65"/>
    </row>
    <row r="133" spans="1:9" s="10" customFormat="1" ht="18.75">
      <c r="A133" s="58"/>
      <c r="B133" s="61"/>
      <c r="C133" s="62"/>
      <c r="D133" s="63"/>
      <c r="E133" s="59"/>
      <c r="F133" s="69"/>
      <c r="G133" s="60"/>
      <c r="H133" s="64"/>
      <c r="I133" s="65"/>
    </row>
    <row r="134" spans="1:9" s="10" customFormat="1" ht="18.75">
      <c r="A134" s="58"/>
      <c r="B134" s="61"/>
      <c r="C134" s="62"/>
      <c r="D134" s="63"/>
      <c r="E134" s="59"/>
      <c r="F134" s="69"/>
      <c r="G134" s="60"/>
      <c r="H134" s="64"/>
      <c r="I134" s="65"/>
    </row>
    <row r="135" spans="1:9" s="10" customFormat="1" ht="18.75">
      <c r="A135" s="58"/>
      <c r="B135" s="61"/>
      <c r="C135" s="62"/>
      <c r="D135" s="63"/>
      <c r="E135" s="59"/>
      <c r="F135" s="69"/>
      <c r="G135" s="60"/>
      <c r="H135" s="64"/>
      <c r="I135" s="65"/>
    </row>
    <row r="136" spans="1:9" s="10" customFormat="1" ht="18.75">
      <c r="A136" s="58"/>
      <c r="B136" s="61"/>
      <c r="C136" s="62"/>
      <c r="D136" s="63"/>
      <c r="E136" s="59"/>
      <c r="F136" s="69"/>
      <c r="G136" s="60"/>
      <c r="H136" s="64"/>
      <c r="I136" s="65"/>
    </row>
    <row r="137" spans="1:9" s="10" customFormat="1" ht="18.75">
      <c r="A137" s="58"/>
      <c r="B137" s="61"/>
      <c r="C137" s="62"/>
      <c r="D137" s="63"/>
      <c r="E137" s="59"/>
      <c r="F137" s="69"/>
      <c r="G137" s="60"/>
      <c r="H137" s="64"/>
      <c r="I137" s="65"/>
    </row>
    <row r="138" spans="1:9" s="10" customFormat="1" ht="18.75">
      <c r="A138" s="58"/>
      <c r="B138" s="61"/>
      <c r="C138" s="62"/>
      <c r="D138" s="63"/>
      <c r="E138" s="59"/>
      <c r="F138" s="69"/>
      <c r="G138" s="60"/>
      <c r="H138" s="64"/>
      <c r="I138" s="65"/>
    </row>
    <row r="139" spans="1:9" s="10" customFormat="1" ht="18.75">
      <c r="A139" s="58"/>
      <c r="B139" s="61"/>
      <c r="C139" s="62"/>
      <c r="D139" s="63"/>
      <c r="E139" s="59"/>
      <c r="F139" s="69"/>
      <c r="G139" s="60"/>
      <c r="H139" s="64"/>
      <c r="I139" s="65"/>
    </row>
    <row r="140" spans="1:9" s="10" customFormat="1" ht="18.75">
      <c r="A140" s="58"/>
      <c r="B140" s="61"/>
      <c r="C140" s="62"/>
      <c r="D140" s="63"/>
      <c r="E140" s="59"/>
      <c r="F140" s="69"/>
      <c r="G140" s="60"/>
      <c r="H140" s="64"/>
      <c r="I140" s="65"/>
    </row>
    <row r="141" spans="1:9" s="10" customFormat="1" ht="18.75">
      <c r="A141" s="58"/>
      <c r="B141" s="61"/>
      <c r="C141" s="62"/>
      <c r="D141" s="63"/>
      <c r="E141" s="59"/>
      <c r="F141" s="69"/>
      <c r="G141" s="60"/>
      <c r="H141" s="64"/>
      <c r="I141" s="65"/>
    </row>
    <row r="142" spans="1:9" s="10" customFormat="1" ht="18.75">
      <c r="A142" s="58"/>
      <c r="B142" s="61"/>
      <c r="C142" s="62"/>
      <c r="D142" s="63"/>
      <c r="E142" s="59"/>
      <c r="F142" s="69"/>
      <c r="G142" s="60"/>
      <c r="H142" s="64"/>
      <c r="I142" s="65"/>
    </row>
    <row r="143" spans="1:9" s="10" customFormat="1" ht="18.75">
      <c r="A143" s="58"/>
      <c r="B143" s="61"/>
      <c r="C143" s="62"/>
      <c r="D143" s="63"/>
      <c r="E143" s="59"/>
      <c r="F143" s="69"/>
      <c r="G143" s="60"/>
      <c r="H143" s="64"/>
      <c r="I143" s="65"/>
    </row>
  </sheetData>
  <sheetProtection/>
  <mergeCells count="13">
    <mergeCell ref="C115:E115"/>
    <mergeCell ref="A10:A11"/>
    <mergeCell ref="B10:B11"/>
    <mergeCell ref="C10:C11"/>
    <mergeCell ref="D10:D11"/>
    <mergeCell ref="E10:E11"/>
    <mergeCell ref="F10:I10"/>
    <mergeCell ref="D3:G3"/>
    <mergeCell ref="D4:G4"/>
    <mergeCell ref="D5:G5"/>
    <mergeCell ref="D6:I6"/>
    <mergeCell ref="D8:G8"/>
    <mergeCell ref="A9:G9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1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showZeros="0" view="pageBreakPreview" zoomScale="60" zoomScaleNormal="70" zoomScalePageLayoutView="0" workbookViewId="0" topLeftCell="A1">
      <selection activeCell="A5" sqref="A5:D5"/>
    </sheetView>
  </sheetViews>
  <sheetFormatPr defaultColWidth="8.8515625" defaultRowHeight="15"/>
  <cols>
    <col min="1" max="1" width="15.28125" style="40" customWidth="1"/>
    <col min="2" max="2" width="51.7109375" style="40" customWidth="1"/>
    <col min="3" max="3" width="14.140625" style="40" bestFit="1" customWidth="1"/>
    <col min="4" max="6" width="22.57421875" style="40" customWidth="1"/>
    <col min="7" max="7" width="38.57421875" style="40" customWidth="1"/>
    <col min="8" max="8" width="17.8515625" style="28" bestFit="1" customWidth="1"/>
    <col min="9" max="9" width="24.28125" style="28" customWidth="1"/>
    <col min="10" max="16384" width="8.8515625" style="28" customWidth="1"/>
  </cols>
  <sheetData>
    <row r="1" spans="1:8" ht="23.25" customHeight="1">
      <c r="A1" s="221" t="s">
        <v>8</v>
      </c>
      <c r="B1" s="222"/>
      <c r="C1" s="222"/>
      <c r="D1" s="222"/>
      <c r="E1" s="100"/>
      <c r="F1" s="100"/>
      <c r="G1" s="26"/>
      <c r="H1" s="27"/>
    </row>
    <row r="2" spans="1:8" ht="23.25" customHeight="1">
      <c r="A2" s="230" t="s">
        <v>9</v>
      </c>
      <c r="B2" s="231"/>
      <c r="C2" s="231"/>
      <c r="D2" s="231"/>
      <c r="E2" s="103"/>
      <c r="F2" s="103"/>
      <c r="G2" s="29"/>
      <c r="H2" s="27"/>
    </row>
    <row r="3" spans="1:8" ht="23.25" customHeight="1">
      <c r="A3" s="230" t="s">
        <v>20</v>
      </c>
      <c r="B3" s="231"/>
      <c r="C3" s="231"/>
      <c r="D3" s="231"/>
      <c r="E3" s="103"/>
      <c r="F3" s="103"/>
      <c r="G3" s="29"/>
      <c r="H3" s="27"/>
    </row>
    <row r="4" spans="1:8" ht="25.5" customHeight="1">
      <c r="A4" s="232" t="s">
        <v>257</v>
      </c>
      <c r="B4" s="233"/>
      <c r="C4" s="233"/>
      <c r="D4" s="233"/>
      <c r="E4" s="104"/>
      <c r="F4" s="104"/>
      <c r="G4" s="29"/>
      <c r="H4" s="27"/>
    </row>
    <row r="5" spans="1:8" ht="20.25">
      <c r="A5" s="212" t="s">
        <v>258</v>
      </c>
      <c r="B5" s="213"/>
      <c r="C5" s="213"/>
      <c r="D5" s="213"/>
      <c r="E5" s="98"/>
      <c r="F5" s="98"/>
      <c r="G5" s="29"/>
      <c r="H5" s="27"/>
    </row>
    <row r="6" spans="1:8" ht="23.25" customHeight="1">
      <c r="A6" s="214" t="s">
        <v>37</v>
      </c>
      <c r="B6" s="215"/>
      <c r="C6" s="215"/>
      <c r="D6" s="215"/>
      <c r="E6" s="99"/>
      <c r="F6" s="99"/>
      <c r="G6" s="29"/>
      <c r="H6" s="27"/>
    </row>
    <row r="7" spans="1:8" ht="35.25" customHeight="1">
      <c r="A7" s="226" t="s">
        <v>252</v>
      </c>
      <c r="B7" s="227"/>
      <c r="C7" s="227"/>
      <c r="D7" s="227"/>
      <c r="E7" s="101"/>
      <c r="F7" s="101"/>
      <c r="G7" s="29"/>
      <c r="H7" s="27"/>
    </row>
    <row r="8" spans="1:8" ht="31.5" customHeight="1">
      <c r="A8" s="228"/>
      <c r="B8" s="229"/>
      <c r="C8" s="229"/>
      <c r="D8" s="229"/>
      <c r="E8" s="102"/>
      <c r="F8" s="102"/>
      <c r="G8" s="30"/>
      <c r="H8" s="27"/>
    </row>
    <row r="9" spans="1:8" ht="26.25" customHeight="1">
      <c r="A9" s="223" t="s">
        <v>31</v>
      </c>
      <c r="B9" s="224"/>
      <c r="C9" s="224"/>
      <c r="D9" s="224"/>
      <c r="E9" s="224"/>
      <c r="F9" s="224"/>
      <c r="G9" s="225"/>
      <c r="H9" s="27"/>
    </row>
    <row r="10" spans="1:9" s="34" customFormat="1" ht="27" customHeight="1">
      <c r="A10" s="218" t="s">
        <v>5</v>
      </c>
      <c r="B10" s="218" t="s">
        <v>6</v>
      </c>
      <c r="C10" s="204" t="s">
        <v>21</v>
      </c>
      <c r="D10" s="205"/>
      <c r="E10" s="204" t="s">
        <v>21</v>
      </c>
      <c r="F10" s="205"/>
      <c r="G10" s="31"/>
      <c r="H10" s="32"/>
      <c r="I10" s="33"/>
    </row>
    <row r="11" spans="1:9" s="34" customFormat="1" ht="27" customHeight="1">
      <c r="A11" s="219"/>
      <c r="B11" s="219"/>
      <c r="C11" s="204" t="s">
        <v>22</v>
      </c>
      <c r="D11" s="205"/>
      <c r="E11" s="204" t="s">
        <v>250</v>
      </c>
      <c r="F11" s="205"/>
      <c r="G11" s="31" t="s">
        <v>23</v>
      </c>
      <c r="H11" s="32"/>
      <c r="I11" s="33"/>
    </row>
    <row r="12" spans="1:8" s="34" customFormat="1" ht="27" customHeight="1">
      <c r="A12" s="220"/>
      <c r="B12" s="220"/>
      <c r="C12" s="156" t="s">
        <v>24</v>
      </c>
      <c r="D12" s="157" t="s">
        <v>25</v>
      </c>
      <c r="E12" s="156" t="s">
        <v>24</v>
      </c>
      <c r="F12" s="157" t="s">
        <v>25</v>
      </c>
      <c r="G12" s="155" t="s">
        <v>26</v>
      </c>
      <c r="H12" s="32"/>
    </row>
    <row r="13" spans="1:9" ht="40.5" customHeight="1">
      <c r="A13" s="88" t="s">
        <v>4</v>
      </c>
      <c r="B13" s="87" t="s">
        <v>251</v>
      </c>
      <c r="C13" s="153">
        <v>0.5</v>
      </c>
      <c r="D13" s="154">
        <f>C13*G13</f>
        <v>193923.73500000002</v>
      </c>
      <c r="E13" s="153">
        <v>0.5</v>
      </c>
      <c r="F13" s="154">
        <f>C13*G13</f>
        <v>193923.73500000002</v>
      </c>
      <c r="G13" s="36">
        <f>'MEMÓRIA ONERADA'!I79</f>
        <v>387847.47000000003</v>
      </c>
      <c r="H13" s="37"/>
      <c r="I13" s="38"/>
    </row>
    <row r="14" spans="1:9" ht="40.5" customHeight="1">
      <c r="A14" s="88" t="s">
        <v>181</v>
      </c>
      <c r="B14" s="87" t="s">
        <v>118</v>
      </c>
      <c r="C14" s="153">
        <v>0.5</v>
      </c>
      <c r="D14" s="154">
        <f>C14*G14</f>
        <v>536.025</v>
      </c>
      <c r="E14" s="153">
        <v>0.5</v>
      </c>
      <c r="F14" s="154">
        <f>C14*G14</f>
        <v>536.025</v>
      </c>
      <c r="G14" s="36">
        <f>'MEMÓRIA ONERADA'!I95</f>
        <v>1072.05</v>
      </c>
      <c r="H14" s="37"/>
      <c r="I14" s="35">
        <f>F14*J14</f>
        <v>0</v>
      </c>
    </row>
    <row r="15" spans="1:9" ht="37.5" customHeight="1">
      <c r="A15" s="136" t="s">
        <v>185</v>
      </c>
      <c r="B15" s="135" t="s">
        <v>136</v>
      </c>
      <c r="C15" s="153">
        <v>0.5</v>
      </c>
      <c r="D15" s="154">
        <f>C15*G15</f>
        <v>90648.075</v>
      </c>
      <c r="E15" s="153">
        <v>0.5</v>
      </c>
      <c r="F15" s="154">
        <f>C15*G15</f>
        <v>90648.075</v>
      </c>
      <c r="G15" s="39">
        <f>'MEMÓRIA ONERADA'!I119</f>
        <v>181296.15</v>
      </c>
      <c r="H15" s="37"/>
      <c r="I15" s="35">
        <f>F15*J15</f>
        <v>0</v>
      </c>
    </row>
    <row r="16" spans="1:9" ht="40.5" customHeight="1">
      <c r="A16" s="216" t="s">
        <v>27</v>
      </c>
      <c r="B16" s="217"/>
      <c r="C16" s="202">
        <f>D13+D14+D15</f>
        <v>285107.835</v>
      </c>
      <c r="D16" s="203"/>
      <c r="E16" s="202">
        <f>F13+F14+F15</f>
        <v>285107.835</v>
      </c>
      <c r="F16" s="203"/>
      <c r="G16" s="152">
        <f>'MEMÓRIA ONERADA'!I120</f>
        <v>570215.67</v>
      </c>
      <c r="H16" s="27"/>
      <c r="I16" s="35">
        <f>F16*J16</f>
        <v>0</v>
      </c>
    </row>
    <row r="17" spans="1:8" ht="42" customHeight="1">
      <c r="A17" s="216" t="s">
        <v>28</v>
      </c>
      <c r="B17" s="217"/>
      <c r="C17" s="208">
        <f>C16</f>
        <v>285107.835</v>
      </c>
      <c r="D17" s="209"/>
      <c r="E17" s="208">
        <f>E16</f>
        <v>285107.835</v>
      </c>
      <c r="F17" s="209"/>
      <c r="G17" s="53"/>
      <c r="H17" s="27"/>
    </row>
    <row r="18" spans="1:8" ht="35.25" customHeight="1">
      <c r="A18" s="234" t="s">
        <v>29</v>
      </c>
      <c r="B18" s="235"/>
      <c r="C18" s="210">
        <f>C16/G16</f>
        <v>0.5</v>
      </c>
      <c r="D18" s="211"/>
      <c r="E18" s="210">
        <f>E17/G16</f>
        <v>0.5</v>
      </c>
      <c r="F18" s="211"/>
      <c r="G18" s="54"/>
      <c r="H18" s="27"/>
    </row>
    <row r="19" spans="1:8" ht="39" customHeight="1">
      <c r="A19" s="234" t="s">
        <v>30</v>
      </c>
      <c r="B19" s="235"/>
      <c r="C19" s="210">
        <f>C18</f>
        <v>0.5</v>
      </c>
      <c r="D19" s="211"/>
      <c r="E19" s="210">
        <f>C18+E18</f>
        <v>1</v>
      </c>
      <c r="F19" s="211"/>
      <c r="G19" s="55"/>
      <c r="H19" s="27"/>
    </row>
    <row r="20" ht="37.5" customHeight="1"/>
    <row r="21" spans="1:7" ht="20.25">
      <c r="A21" s="206">
        <f>SUM(F18:F18)</f>
        <v>0</v>
      </c>
      <c r="B21" s="206"/>
      <c r="C21" s="206"/>
      <c r="D21" s="206"/>
      <c r="E21" s="206"/>
      <c r="F21" s="206"/>
      <c r="G21" s="206"/>
    </row>
    <row r="22" spans="1:7" ht="18" customHeight="1">
      <c r="A22" s="207" t="s">
        <v>260</v>
      </c>
      <c r="B22" s="207"/>
      <c r="C22" s="207"/>
      <c r="D22" s="207"/>
      <c r="E22" s="207"/>
      <c r="F22" s="207"/>
      <c r="G22" s="207"/>
    </row>
    <row r="23" spans="1:7" ht="15">
      <c r="A23" s="207" t="s">
        <v>261</v>
      </c>
      <c r="B23" s="207"/>
      <c r="C23" s="207"/>
      <c r="D23" s="207"/>
      <c r="E23" s="207"/>
      <c r="F23" s="207"/>
      <c r="G23" s="207"/>
    </row>
    <row r="24" spans="1:7" ht="15">
      <c r="A24" s="207" t="s">
        <v>262</v>
      </c>
      <c r="B24" s="207"/>
      <c r="C24" s="207"/>
      <c r="D24" s="207"/>
      <c r="E24" s="207"/>
      <c r="F24" s="207"/>
      <c r="G24" s="207"/>
    </row>
    <row r="25" spans="1:7" ht="15">
      <c r="A25" s="175"/>
      <c r="B25" s="175"/>
      <c r="C25" s="175"/>
      <c r="D25" s="175"/>
      <c r="E25" s="175"/>
      <c r="F25" s="175"/>
      <c r="G25" s="175"/>
    </row>
    <row r="37" spans="6:7" ht="20.25">
      <c r="F37" s="202"/>
      <c r="G37" s="203"/>
    </row>
    <row r="38" spans="6:7" ht="20.25">
      <c r="F38" s="202"/>
      <c r="G38" s="203"/>
    </row>
  </sheetData>
  <sheetProtection/>
  <mergeCells count="33">
    <mergeCell ref="C19:D19"/>
    <mergeCell ref="A19:B19"/>
    <mergeCell ref="C18:D18"/>
    <mergeCell ref="A18:B18"/>
    <mergeCell ref="C17:D17"/>
    <mergeCell ref="A17:B17"/>
    <mergeCell ref="A1:D1"/>
    <mergeCell ref="A9:G9"/>
    <mergeCell ref="A7:D7"/>
    <mergeCell ref="A8:D8"/>
    <mergeCell ref="A2:D2"/>
    <mergeCell ref="A3:D3"/>
    <mergeCell ref="A4:D4"/>
    <mergeCell ref="E17:F17"/>
    <mergeCell ref="E18:F18"/>
    <mergeCell ref="E19:F19"/>
    <mergeCell ref="C16:D16"/>
    <mergeCell ref="A5:D5"/>
    <mergeCell ref="A6:D6"/>
    <mergeCell ref="A16:B16"/>
    <mergeCell ref="A10:A12"/>
    <mergeCell ref="B10:B12"/>
    <mergeCell ref="C11:D11"/>
    <mergeCell ref="F37:G37"/>
    <mergeCell ref="F38:G38"/>
    <mergeCell ref="E10:F10"/>
    <mergeCell ref="C10:D10"/>
    <mergeCell ref="A21:G21"/>
    <mergeCell ref="A22:G22"/>
    <mergeCell ref="A23:G23"/>
    <mergeCell ref="A24:G24"/>
    <mergeCell ref="E11:F11"/>
    <mergeCell ref="E16:F16"/>
  </mergeCells>
  <printOptions horizontalCentered="1" verticalCentered="1"/>
  <pageMargins left="0.3937007874015748" right="0.3937007874015748" top="0.984251968503937" bottom="0.3937007874015748" header="0" footer="0"/>
  <pageSetup fitToHeight="1000" horizontalDpi="300" verticalDpi="300" orientation="landscape" paperSize="9" scale="70" r:id="rId2"/>
  <headerFooter alignWithMargins="0">
    <oddFooter>&amp;C&amp;A&amp;RPágina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cunha</dc:creator>
  <cp:keywords/>
  <dc:description/>
  <cp:lastModifiedBy>Fernanda Aparecida Cunha de Souza</cp:lastModifiedBy>
  <cp:lastPrinted>2021-10-21T13:16:47Z</cp:lastPrinted>
  <dcterms:created xsi:type="dcterms:W3CDTF">2020-09-03T11:54:39Z</dcterms:created>
  <dcterms:modified xsi:type="dcterms:W3CDTF">2021-10-21T13:36:18Z</dcterms:modified>
  <cp:category/>
  <cp:version/>
  <cp:contentType/>
  <cp:contentStatus/>
</cp:coreProperties>
</file>