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355" windowHeight="4335" activeTab="2"/>
  </bookViews>
  <sheets>
    <sheet name="MEMÓRIA ONERADA" sheetId="1" r:id="rId1"/>
    <sheet name="PLANILHA RESUMIDA" sheetId="2" r:id="rId2"/>
    <sheet name="Cronograma " sheetId="3" r:id="rId3"/>
  </sheets>
  <externalReferences>
    <externalReference r:id="rId6"/>
  </externalReferences>
  <definedNames>
    <definedName name="EXTRACT" localSheetId="2">'Cronograma '!#REF!</definedName>
    <definedName name="_xlnm.Print_Area" localSheetId="2">'Cronograma '!$A$1:$G$28</definedName>
    <definedName name="_xlnm.Print_Area" localSheetId="0">'MEMÓRIA ONERADA'!$A$1:$I$125</definedName>
    <definedName name="_xlnm.Print_Area" localSheetId="1">'PLANILHA RESUMIDA'!$A$1:$I$42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2">'Cronograma '!#REF!</definedName>
    <definedName name="_xlnm.Print_Titles" localSheetId="2">'Cronograma '!$10:$12</definedName>
  </definedNames>
  <calcPr fullCalcOnLoad="1"/>
</workbook>
</file>

<file path=xl/sharedStrings.xml><?xml version="1.0" encoding="utf-8"?>
<sst xmlns="http://schemas.openxmlformats.org/spreadsheetml/2006/main" count="449" uniqueCount="210">
  <si>
    <t>M2</t>
  </si>
  <si>
    <t>H</t>
  </si>
  <si>
    <t>TOTAL</t>
  </si>
  <si>
    <t>UN</t>
  </si>
  <si>
    <t>1.0</t>
  </si>
  <si>
    <t>ITEM</t>
  </si>
  <si>
    <t>DESCRIÇÃO</t>
  </si>
  <si>
    <t>QUANT.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</si>
  <si>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</si>
  <si>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</si>
  <si>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</si>
  <si>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APROVAÇÃO: Eng. Eros dos Santos</t>
  </si>
  <si>
    <t>CODIGO EMOP/ SINAPI</t>
  </si>
  <si>
    <t>DISCRIMINAÇÃO</t>
  </si>
  <si>
    <t>PREÇOS (R$)</t>
  </si>
  <si>
    <t>1.1</t>
  </si>
  <si>
    <t>1.2</t>
  </si>
  <si>
    <t>1.3</t>
  </si>
  <si>
    <t>UNIT C/ BDI</t>
  </si>
  <si>
    <t>TOTAL C/ BDI</t>
  </si>
  <si>
    <r>
      <t>Secretaria Municipal de Planejamento Urbano</t>
    </r>
    <r>
      <rPr>
        <sz val="16"/>
        <color indexed="8"/>
        <rFont val="Arial"/>
        <family val="2"/>
      </rPr>
      <t xml:space="preserve"> </t>
    </r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</si>
  <si>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</si>
  <si>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</si>
  <si>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</si>
  <si>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</si>
  <si>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</si>
  <si>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</si>
  <si>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</si>
  <si>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</si>
  <si>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</si>
  <si>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</si>
  <si>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 xml:space="preserve">CRONOGRAMA  FÍSICO-FINANCEIRO  </t>
  </si>
  <si>
    <t>UNIT S/ BDI</t>
  </si>
  <si>
    <t>TOTAL S/ BDI</t>
  </si>
  <si>
    <t>X</t>
  </si>
  <si>
    <t>ORÇAMENTO Nº 021-2021</t>
  </si>
  <si>
    <t>ORÇAMENTO: Engª Fernanda Aparecida Cunha de Souza</t>
  </si>
  <si>
    <t>Orçamentista: Engª Fernanda Aparecida Cunha de Souza</t>
  </si>
  <si>
    <t>16.005.0070-0</t>
  </si>
  <si>
    <t>COBERTURA EM TELHA TERMICA DE GALVALUME,TRAPEZOIDAL,DUPLA COM ESPESSURA DE 30MM,INCLUSIVE TODOS OS ACESSORIOS NECESSARIO S A SUA EXECUCAO.MEDIDA PELA AREA REAL DE COBERTURA.FORNECIMENTO E COLOCACAO (OBS.:3%-DESGASTE DE FERRAMENTAS E EPI).</t>
  </si>
  <si>
    <t>11093</t>
  </si>
  <si>
    <t>TELHA TERMICA DE GALVALUME, TRAPEZOIDALDUPLA, ESPESSURA DE 30MM, LARGURA DE 1,265M</t>
  </si>
  <si>
    <t>11092</t>
  </si>
  <si>
    <t>RUFO DE GALVALUME, TRAPEZOIDAL, MEDIDASAPROXIMADAS DE (1265X2X300X0,7)MM</t>
  </si>
  <si>
    <t>11091</t>
  </si>
  <si>
    <t>PINO RETO DE FERRO GALVANIZADO, COM VEDACAO, DE 5/16"X300MM, PARA FIXACAO DE TELHA</t>
  </si>
  <si>
    <t>11090</t>
  </si>
  <si>
    <t>GOIVA TRAPEZOIDAL ZINCADA DE 5/16", PARATELHA</t>
  </si>
  <si>
    <t>11089</t>
  </si>
  <si>
    <t>CONJUNTO DE VEDACAO ELASTICA, PARA TELHATRAPEZOIDAL DE 5/16"</t>
  </si>
  <si>
    <t>11087</t>
  </si>
  <si>
    <t>CONTRA RUFO DE GALVALUME, TRAPEZOIDAL, 2ABAS DE 0,30M, COM LARGURA DE 1,00M, EMCHAPA COM ESPESSURA APROXIMADA DE 0,7MM</t>
  </si>
  <si>
    <t>M</t>
  </si>
  <si>
    <t>11069</t>
  </si>
  <si>
    <t>CUMEEIRA DE GALVALUME, TRAPEZOIDAL, ACABAMENTO EM VERNIZ EM AMBAS AS FACES, MEDIDAS APROXIMADAS DE (1265X2X300X0,5)MM</t>
  </si>
  <si>
    <t>01975</t>
  </si>
  <si>
    <t>MAO-DE-OBRA DE MONTADOR A (MONTAGEM DE ESTRUTURAS METALICAS), INCLUSIVE ENCARGOSSOCIAIS</t>
  </si>
  <si>
    <t>01921</t>
  </si>
  <si>
    <t>MAO-DE-OBRA DE AJUDANTE DE CONSTRUCAO CIVIL, INCLUSIVE ENCARGOS SOCIAIS</t>
  </si>
  <si>
    <t>07264</t>
  </si>
  <si>
    <t>HASTE DE FIXACAO PARA TELHAS METALICAS COM MEDIDAS APROXIMADAS DE 1/4" X 400MM,COM VEDACAO</t>
  </si>
  <si>
    <t>01999</t>
  </si>
  <si>
    <t>MAO-DE-OBRA DE SERVENTE DA CONSTRUCAO CIVIL, INCLUSIVE ENCARGOS SOCIAIS</t>
  </si>
  <si>
    <t>KG</t>
  </si>
  <si>
    <t>01576</t>
  </si>
  <si>
    <t>PERFIL "I" DE ACO CARBONO, PADRAO AMERICANO, PRECO DE REVENDEDOR, DE 6"X3.3/8"</t>
  </si>
  <si>
    <t>CHP</t>
  </si>
  <si>
    <t>ARAME RECOZIDO 16 BWG, D = 1,65 MM (0,016 KG/M) OU 18 BWG, D = 1,25 MM (0,01 KG/M)</t>
  </si>
  <si>
    <t>11268</t>
  </si>
  <si>
    <t>CHAPA ACO CARBONO, COMUM, PARA USO GERAL,TAMANHO PADRAO, BORDA UNIVERSAL, ESPESSURA DE 8,00MM</t>
  </si>
  <si>
    <t>11753</t>
  </si>
  <si>
    <t>CHUMBADOR DE ACO INOXIDAVEL 304, TIPO TEC BOLT-TBM 12.100, COM COMPRIMENTO DE 96MM, DIAMETRO DE 1/2"</t>
  </si>
  <si>
    <t>16.005.0008-0</t>
  </si>
  <si>
    <t>CUMEEIRA DE GALVALUME,COM ESPESSURA APROXIMADA DE 0,5MM,0,30M DE ABA PARA CADA LADO,PARA TELHAS TRAPEZOIDAIS.FORNECIMENT O E COLOCACAO (OBS.:3%-DESGASTE DE FERRAMENTAS E EPI).</t>
  </si>
  <si>
    <t>14829</t>
  </si>
  <si>
    <t>CUMEEIRA DE GALVALUME TRAPEZOIDAL, COM ABAS IGUAIS DE 30CM E ESPESSURA APROXIMADA DE 0,5MM</t>
  </si>
  <si>
    <t>01990</t>
  </si>
  <si>
    <t>MAO-DE-OBRA DE CARPINTEIRO DE FORMA DE CONCRETO, INCLUSIVE ENCARGOS SOCIAIS</t>
  </si>
  <si>
    <t>16.007.0030-0</t>
  </si>
  <si>
    <t>CALHA EM CHAPA DE ACO GALVANIZADO Nø24 COM 75CM DE DESENVOLVIMENTO.FORNECIMENTO E COLOCACAO (OBS.:3%-DESGASTE DE FERRAMENTAS E EPI).</t>
  </si>
  <si>
    <t>13603</t>
  </si>
  <si>
    <t>REBITE POP, DE (1/8"X3/8"), REF.440, REFAL OU SIMILAR</t>
  </si>
  <si>
    <t>05904</t>
  </si>
  <si>
    <t>PARAFUSO FERRO, ROSCA SOBERBA, CABECA CHATA, DE (3,2X20)MM</t>
  </si>
  <si>
    <t>05448</t>
  </si>
  <si>
    <t>SUPORTE ZINCADO DOBRADO, P/CALHA DE BEIRAL, SEMI-CIRCULAR DE PVC, DE DN=125MM</t>
  </si>
  <si>
    <t>00453</t>
  </si>
  <si>
    <t>PREGO COM OU SEM CABECA, EM CAIXAS DE 50KG, OU QUANTIDADES EQUIVALENTES, N§12X12A 18X30</t>
  </si>
  <si>
    <t>00243</t>
  </si>
  <si>
    <t>ESTANHO EM BARRA</t>
  </si>
  <si>
    <t>00160</t>
  </si>
  <si>
    <t>CHAPA DE ACO CARBONO, GALVANIZADA, PARAUSOS GERAIS, TAMANHO PADRAO, PRECO DE REVENDEDOR, COM ESPESSURA DE 0,5MM</t>
  </si>
  <si>
    <t>01993</t>
  </si>
  <si>
    <t>MAO-DE-OBRA DE BOMBEIRO HIDRAULICO DA CONSTRUCAO CIVIL, INCLUSIVE ENCARGOS SOCIAIS</t>
  </si>
  <si>
    <t>01968</t>
  </si>
  <si>
    <t>MAO-DE-OBRA DE PEDREIRO, INCLUSIVE ENCARGOS SOCIAIS</t>
  </si>
  <si>
    <t>So00000089580</t>
  </si>
  <si>
    <t>TUBO PVC, SÉRIE R, ÁGUA PLUVIAL, DN 150 MM, FORNECIDO E INSTALADO EM CONDUTORES VERTICAIS DE ÁGUAS PLUVIAIS. AF_12/2014</t>
  </si>
  <si>
    <t>So0038383</t>
  </si>
  <si>
    <t>LIXA D'AGUA EM FOLHA, GRAO 100</t>
  </si>
  <si>
    <t>So0009840</t>
  </si>
  <si>
    <t>TUBO PVC, SERIE R, DN 150 MM, PARA ESGOTO OU AGUAS PLUVIAIS PREDIAIS (NBR 5688)</t>
  </si>
  <si>
    <t>So0000122</t>
  </si>
  <si>
    <t>ADESIVO PLASTICO PARA PVC, FRASCO COM 850 GR</t>
  </si>
  <si>
    <t>So0020083</t>
  </si>
  <si>
    <t>SOLUCAO LIMPADORA PARA PVC, FRASCO COM 1000 CM3</t>
  </si>
  <si>
    <t>So00000088267</t>
  </si>
  <si>
    <t>ENCANADOR OU BOMBEIRO HIDRÁULICO COM ENCARGOS COMPLEMENTARES</t>
  </si>
  <si>
    <t>So00000088248</t>
  </si>
  <si>
    <t>AUXILIAR DE ENCANADOR OU BOMBEIRO HIDRÁULICO COM ENCARGOS COMPLEMENTARES</t>
  </si>
  <si>
    <t>INSTALAÇÕES ELÉTRICAS</t>
  </si>
  <si>
    <t>15.008.0085-0</t>
  </si>
  <si>
    <t>CABO DE COBRE FLEXIVEL COM ISOLAMENTO TERMOPLASTICO,COMPREENDENDO:PREPARO,CORTE E ENFIACAO EM ELETRODUTOS,NA BITOLA DE 2 ,5MM2, 450/750V.FORNECIMENTO E COLOCACAO (OBS.:3%-DESGASTE DE FERRAMENTAS E EPI).</t>
  </si>
  <si>
    <t>05707</t>
  </si>
  <si>
    <t>CABO DE COBRE FLEXIVEL COM ISOLAMENTO TERMOPLASTICO, DE 450/750V, DE 2,5MM2</t>
  </si>
  <si>
    <t>02317</t>
  </si>
  <si>
    <t>FITA ISOLANTE, ROLO DE 19MMX20M</t>
  </si>
  <si>
    <t>01983</t>
  </si>
  <si>
    <t>MAO-DE-OBRA DE ELETRICISTA DE CONSTRUCAOCIVIL, INCLUSIVE ENCARGOS SOCIAIS</t>
  </si>
  <si>
    <t>So00000091866</t>
  </si>
  <si>
    <t>ELETRODUTO RÍGIDO ROSCÁVEL, PVC, DN 20 MM (1/2"), PARA CIRCUITOS TERMINAIS, INSTALADO EM LAJE - FORNECIMENTO E INSTALAÇÃO. AF_12/2015</t>
  </si>
  <si>
    <t>So0043132</t>
  </si>
  <si>
    <t>So0002673</t>
  </si>
  <si>
    <t>ELETRODUTO DE PVC RIGIDO ROSCAVEL DE 1/2 ", SEM LUVA</t>
  </si>
  <si>
    <t>So00000088264</t>
  </si>
  <si>
    <t>ELETRICISTA COM ENCARGOS COMPLEMENTARES</t>
  </si>
  <si>
    <t>So00000088247</t>
  </si>
  <si>
    <t>AUXILIAR DE ELETRICISTA COM ENCARGOS COMPLEMENTARES</t>
  </si>
  <si>
    <t>ALVENARIA</t>
  </si>
  <si>
    <t>05.002.0061-0</t>
  </si>
  <si>
    <t>DEMOLICAO COM EQUIPAMENTO DE AR COMPRIMIDO DE LAJE PRE-FABRICADA COMPOSTA DE TIJOLOS CERAMICOS,VIGOTAS,ARMACAO E CAMADA DE CAPEAMENTO,INCLUSIVE EMPILHAMENTO LATERAL DENTRO DO CANTERO DE SERVICO (OBS.:3%-DESGASTE DE FERRAMENTAS E EPI).</t>
  </si>
  <si>
    <t>M3</t>
  </si>
  <si>
    <t>01989</t>
  </si>
  <si>
    <t>MAO-DE-OBRA DE CAVOUQUEIRO, INCLUSIVE ENCARGOS SOCIAIS</t>
  </si>
  <si>
    <t>01970</t>
  </si>
  <si>
    <t>MAO-DE-OBRA DE OPERADOR DE MAQUINA (TRATOR, ETC), INCLUSIVE ENCARGOS SOCIAIS</t>
  </si>
  <si>
    <t>01160</t>
  </si>
  <si>
    <t>19.005.0037-4 ROMPEDOR PNEUMATICO DE 32,6KG DE PESO,EXCLUSIVE OPERADOR,PONTEIRA E MANGUEIRA,(CI)</t>
  </si>
  <si>
    <t>01159</t>
  </si>
  <si>
    <t>19.005.0037-2 ROMPEDOR PNEUMATICO DE 32,6KG DE PESO,EXCLUSIVE OPERADOR,PONTEIRA E MANGUEIRA(CP)</t>
  </si>
  <si>
    <t>01100</t>
  </si>
  <si>
    <t>19.011.0002-3 COMPRESSOR AR 170PCM 40CV (CF)</t>
  </si>
  <si>
    <t>01099</t>
  </si>
  <si>
    <t>19.011.0002-2 COMPRESSOR AR 170PCM 40CV (CP)</t>
  </si>
  <si>
    <t>13.301.0132-0</t>
  </si>
  <si>
    <t>CONTRAPISO,BASE OU CAMADA REGULARIZADORA,EXECUTADA COM ARGAMASSA DE CIMENTO E AREIA,NO TRACO 1:4,NA ESPESSURA DE 5CM (OBS.:3%-DESGASTE DE FERRAMENTAS E EPI).</t>
  </si>
  <si>
    <t>01607</t>
  </si>
  <si>
    <t>07.002.0030-1 ARGAMASSA CIM.,AREIA TRACO 1:4,PREPAROMECANICO</t>
  </si>
  <si>
    <t>So00000097097</t>
  </si>
  <si>
    <t>ACABAMENTO POLIDO PARA PISO DE CONCRETO ARMADO DE ALTA RESISTÊNCIA. AF_09/2017</t>
  </si>
  <si>
    <t>So0043146</t>
  </si>
  <si>
    <t>ENDURECEDOR MINERAL DE BASE CIMENTICIA PARA PISO DE CONCRETO</t>
  </si>
  <si>
    <t>So00000088309</t>
  </si>
  <si>
    <t>PEDREIRO COM ENCARGOS COMPLEMENTARES</t>
  </si>
  <si>
    <t>So00000095282</t>
  </si>
  <si>
    <t>So00000095282 DESEMPENADEIRA DE CONCRETO, PESO DE 75KG, 4 PÁS, MOTOR A GASOLINA, POTÊNCIA 5,5 HP - CHP DIURNO. AF_09/2016</t>
  </si>
  <si>
    <t>So00000089539</t>
  </si>
  <si>
    <t>CURVAR 45 GRAUS, PVC, SERIE R, ÁGUA PLUVIAL, DN 100 MM, JUNTA ELÁSTICA, FORNECIDO E INSTALADO EM RAMAL DE ENCAMINHAMENTO. AF_12/2014</t>
  </si>
  <si>
    <t>So0020078</t>
  </si>
  <si>
    <t>PASTA LUBRIFICANTE PARA TUBOS E CONEXOES COM JUNTA ELASTICA (USO EM PVC, ACO, POLIETILENO E OUTROS) ( DE *400* G)</t>
  </si>
  <si>
    <t>So0000301</t>
  </si>
  <si>
    <t>ANEL BORRACHA PARA TUBO ESGOTO PREDIAL, DN 100 MM (NBR 5688)</t>
  </si>
  <si>
    <t>So0038427</t>
  </si>
  <si>
    <t>CURVA DE PVC, 45 GRAUS, SERIE R, DN 150 MM, PARA ESGOTO PREDIAL</t>
  </si>
  <si>
    <t>So00000089539 ALTERADO</t>
  </si>
  <si>
    <t>COBERTURA DO CIEP 054</t>
  </si>
  <si>
    <t>1.4</t>
  </si>
  <si>
    <t>1.5</t>
  </si>
  <si>
    <t>SUBTOTAL1.0</t>
  </si>
  <si>
    <t>1.6</t>
  </si>
  <si>
    <t>1.7</t>
  </si>
  <si>
    <t>MEMÓRIA DE CÁLCULO  (ONERADO 22,47%)</t>
  </si>
  <si>
    <t>2.0</t>
  </si>
  <si>
    <t>2.1</t>
  </si>
  <si>
    <t>2.2</t>
  </si>
  <si>
    <t>SUBTOTAL 2.0</t>
  </si>
  <si>
    <t>3.0</t>
  </si>
  <si>
    <t>3.1</t>
  </si>
  <si>
    <t>3.2</t>
  </si>
  <si>
    <t>3.3</t>
  </si>
  <si>
    <t>SUBTOTAL: 3.0</t>
  </si>
  <si>
    <t>LEVANTAMENTO DE QUANTITATIVO: Arqª Mariana</t>
  </si>
  <si>
    <t>DATA: 15/09/2021</t>
  </si>
  <si>
    <t>Data-Base:   EMOP -  RJ / SINAPI-RJ- Onerado - Base Julho-2021</t>
  </si>
  <si>
    <t>20132</t>
  </si>
  <si>
    <t>MAO-DE-OBRA DE SERVENTE DA CONSTRUCAO CIVIL, INCLUSIVE ENCARGOS SOCIAIS DESONERADOS</t>
  </si>
  <si>
    <t>60 DIAS</t>
  </si>
  <si>
    <t>COBERTURA</t>
  </si>
  <si>
    <t>Data-Base:   EMOP/SINAPI -  RJ- Onerado - Base JUL-2021</t>
  </si>
  <si>
    <t>x</t>
  </si>
  <si>
    <t>Local:  R. João Batista Ataíde, 140 - Vila Maria, Barra Mansa - Ciep 054</t>
  </si>
  <si>
    <t>Serviço :  Cobertura do Ciep 054</t>
  </si>
  <si>
    <t>Serviço: Cobertura do Ciep 054</t>
  </si>
  <si>
    <t>Local: R. João Batista Ataíde, 140 - Vila Maria, Barra Mansa - Ciep 054</t>
  </si>
  <si>
    <t>ORÇAMENTO Nº 022-2021</t>
  </si>
  <si>
    <t xml:space="preserve"> Fernanda Ap. C. de Souza                                                                               Mariana Teixeira Sant'ana</t>
  </si>
  <si>
    <t xml:space="preserve">      Orçamentista                                                                                                           Arquiteta</t>
  </si>
  <si>
    <t xml:space="preserve">    CREA: 2020102605                                                                                              CAU: A134083-2</t>
  </si>
  <si>
    <t>11.016.0020-0</t>
  </si>
  <si>
    <t>ESTRUTURAS DE ELEMENTOS EM PERFIS "I" ATE 8",EM ACO LAMINADO,(VIGAS ISOLADAS,ESCORAS,PORTICOS,ETC),INCLUSIVE PERDAS.FORN ECIMENTO E MONTAGEM (OBS.:3%-DESGASTE DE FERRAMENTAS E EPI).</t>
  </si>
  <si>
    <t>06913</t>
  </si>
  <si>
    <t>MAO-DE-OBRA DE SERRALHEIRO DA CONSTRUCAOCIVIL, INCLUSIVE ENCARGOS SOCIAIS</t>
  </si>
  <si>
    <t>02174</t>
  </si>
  <si>
    <t>05.025.0041-1 SOLDA TOPO 1/4",CONVERSOR ELETROMOTORIZ.</t>
  </si>
  <si>
    <t>11.016.0020-6</t>
  </si>
  <si>
    <t>55.100.0063-1</t>
  </si>
  <si>
    <t>TELA GALVANIZADA 7,5</t>
  </si>
  <si>
    <t>00190</t>
  </si>
  <si>
    <t>TELA DE ARAME GALVANIZADO FIO N§ 12, MALHA LOSANGO, DE (8X8)CM</t>
  </si>
  <si>
    <t>TELA GALVANIZADA 7,5 FORNECIMENTO E COLOCAÇÃO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</si>
</sst>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_ ;[Red]\-#,##0.00\ "/>
    <numFmt numFmtId="171" formatCode="0.0%"/>
    <numFmt numFmtId="172" formatCode="_([$€]* #,##0.00_);_([$€]* \(#,##0.00\);_([$€]* &quot;-&quot;??_);_(@_)"/>
    <numFmt numFmtId="173" formatCode="_(* #,##0.00_);_(* \(#,##0.0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Switzerland"/>
      <family val="0"/>
    </font>
    <font>
      <sz val="14"/>
      <name val="Switzerland"/>
      <family val="0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Switzerland"/>
      <family val="0"/>
    </font>
    <font>
      <sz val="11"/>
      <name val="Switzerland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72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49" fontId="59" fillId="33" borderId="10" xfId="55" applyNumberFormat="1" applyFont="1" applyFill="1" applyBorder="1" applyAlignment="1">
      <alignment horizontal="center"/>
      <protection/>
    </xf>
    <xf numFmtId="49" fontId="59" fillId="33" borderId="11" xfId="51" applyNumberFormat="1" applyFont="1" applyFill="1" applyBorder="1">
      <alignment/>
      <protection/>
    </xf>
    <xf numFmtId="4" fontId="60" fillId="33" borderId="11" xfId="51" applyNumberFormat="1" applyFont="1" applyFill="1" applyBorder="1" applyAlignment="1">
      <alignment horizontal="left" readingOrder="1"/>
      <protection/>
    </xf>
    <xf numFmtId="4" fontId="59" fillId="33" borderId="10" xfId="56" applyNumberFormat="1" applyFont="1" applyFill="1" applyBorder="1" applyAlignment="1">
      <alignment horizontal="left" vertical="center"/>
      <protection/>
    </xf>
    <xf numFmtId="4" fontId="59" fillId="33" borderId="11" xfId="0" applyNumberFormat="1" applyFont="1" applyFill="1" applyBorder="1" applyAlignment="1">
      <alignment horizontal="left"/>
    </xf>
    <xf numFmtId="4" fontId="59" fillId="33" borderId="11" xfId="55" applyNumberFormat="1" applyFont="1" applyFill="1" applyBorder="1" applyAlignment="1">
      <alignment horizontal="left"/>
      <protection/>
    </xf>
    <xf numFmtId="4" fontId="59" fillId="33" borderId="12" xfId="55" applyNumberFormat="1" applyFont="1" applyFill="1" applyBorder="1" applyAlignment="1">
      <alignment horizontal="left"/>
      <protection/>
    </xf>
    <xf numFmtId="0" fontId="36" fillId="0" borderId="0" xfId="0" applyFont="1" applyBorder="1" applyAlignment="1">
      <alignment/>
    </xf>
    <xf numFmtId="49" fontId="59" fillId="33" borderId="13" xfId="55" applyNumberFormat="1" applyFont="1" applyFill="1" applyBorder="1" applyAlignment="1">
      <alignment horizontal="center"/>
      <protection/>
    </xf>
    <xf numFmtId="49" fontId="59" fillId="33" borderId="0" xfId="51" applyNumberFormat="1" applyFont="1" applyFill="1" applyBorder="1">
      <alignment/>
      <protection/>
    </xf>
    <xf numFmtId="4" fontId="60" fillId="33" borderId="0" xfId="51" applyNumberFormat="1" applyFont="1" applyFill="1" applyBorder="1" applyAlignment="1">
      <alignment horizontal="left" readingOrder="1"/>
      <protection/>
    </xf>
    <xf numFmtId="4" fontId="59" fillId="33" borderId="13" xfId="56" applyNumberFormat="1" applyFont="1" applyFill="1" applyBorder="1" applyAlignment="1">
      <alignment horizontal="left" vertical="center"/>
      <protection/>
    </xf>
    <xf numFmtId="4" fontId="59" fillId="33" borderId="0" xfId="55" applyNumberFormat="1" applyFont="1" applyFill="1" applyBorder="1" applyAlignment="1">
      <alignment horizontal="left"/>
      <protection/>
    </xf>
    <xf numFmtId="4" fontId="59" fillId="33" borderId="0" xfId="51" applyNumberFormat="1" applyFont="1" applyFill="1" applyBorder="1" applyAlignment="1">
      <alignment horizontal="left"/>
      <protection/>
    </xf>
    <xf numFmtId="4" fontId="59" fillId="33" borderId="14" xfId="51" applyNumberFormat="1" applyFont="1" applyFill="1" applyBorder="1" applyAlignment="1">
      <alignment horizontal="left"/>
      <protection/>
    </xf>
    <xf numFmtId="4" fontId="61" fillId="33" borderId="0" xfId="56" applyNumberFormat="1" applyFont="1" applyFill="1" applyBorder="1" applyAlignment="1">
      <alignment horizontal="left"/>
      <protection/>
    </xf>
    <xf numFmtId="49" fontId="59" fillId="33" borderId="15" xfId="55" applyNumberFormat="1" applyFont="1" applyFill="1" applyBorder="1" applyAlignment="1">
      <alignment horizontal="center"/>
      <protection/>
    </xf>
    <xf numFmtId="49" fontId="59" fillId="33" borderId="16" xfId="56" applyNumberFormat="1" applyFont="1" applyFill="1" applyBorder="1" applyAlignment="1">
      <alignment horizontal="center"/>
      <protection/>
    </xf>
    <xf numFmtId="4" fontId="61" fillId="33" borderId="16" xfId="56" applyNumberFormat="1" applyFont="1" applyFill="1" applyBorder="1" applyAlignment="1">
      <alignment/>
      <protection/>
    </xf>
    <xf numFmtId="0" fontId="7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58" fillId="33" borderId="17" xfId="0" applyNumberFormat="1" applyFont="1" applyFill="1" applyBorder="1" applyAlignment="1">
      <alignment/>
    </xf>
    <xf numFmtId="0" fontId="4" fillId="0" borderId="12" xfId="53" applyFont="1" applyBorder="1">
      <alignment/>
      <protection/>
    </xf>
    <xf numFmtId="0" fontId="4" fillId="0" borderId="0" xfId="53" applyFont="1">
      <alignment/>
      <protection/>
    </xf>
    <xf numFmtId="0" fontId="8" fillId="0" borderId="0" xfId="53">
      <alignment/>
      <protection/>
    </xf>
    <xf numFmtId="0" fontId="4" fillId="0" borderId="14" xfId="53" applyFont="1" applyBorder="1">
      <alignment/>
      <protection/>
    </xf>
    <xf numFmtId="0" fontId="4" fillId="0" borderId="19" xfId="53" applyFont="1" applyBorder="1">
      <alignment/>
      <protection/>
    </xf>
    <xf numFmtId="0" fontId="7" fillId="0" borderId="17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>
      <alignment/>
      <protection/>
    </xf>
    <xf numFmtId="4" fontId="5" fillId="0" borderId="17" xfId="53" applyNumberFormat="1" applyFont="1" applyFill="1" applyBorder="1" applyAlignment="1">
      <alignment/>
      <protection/>
    </xf>
    <xf numFmtId="4" fontId="6" fillId="0" borderId="17" xfId="51" applyNumberFormat="1" applyFont="1" applyFill="1" applyBorder="1" applyAlignment="1">
      <alignment horizontal="right"/>
      <protection/>
    </xf>
    <xf numFmtId="39" fontId="4" fillId="0" borderId="0" xfId="53" applyNumberFormat="1" applyFont="1">
      <alignment/>
      <protection/>
    </xf>
    <xf numFmtId="4" fontId="9" fillId="0" borderId="0" xfId="53" applyNumberFormat="1" applyFont="1">
      <alignment/>
      <protection/>
    </xf>
    <xf numFmtId="4" fontId="6" fillId="0" borderId="17" xfId="51" applyNumberFormat="1" applyFont="1" applyBorder="1">
      <alignment/>
      <protection/>
    </xf>
    <xf numFmtId="0" fontId="14" fillId="0" borderId="0" xfId="53" applyFont="1">
      <alignment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61" fillId="33" borderId="0" xfId="51" applyNumberFormat="1" applyFont="1" applyFill="1" applyBorder="1" applyAlignment="1">
      <alignment horizontal="left" vertical="center"/>
      <protection/>
    </xf>
    <xf numFmtId="4" fontId="61" fillId="33" borderId="14" xfId="51" applyNumberFormat="1" applyFont="1" applyFill="1" applyBorder="1" applyAlignment="1">
      <alignment horizontal="left" vertical="center"/>
      <protection/>
    </xf>
    <xf numFmtId="0" fontId="4" fillId="33" borderId="19" xfId="56" applyFont="1" applyFill="1" applyBorder="1" applyAlignment="1">
      <alignment horizontal="left"/>
      <protection/>
    </xf>
    <xf numFmtId="4" fontId="62" fillId="33" borderId="14" xfId="56" applyNumberFormat="1" applyFont="1" applyFill="1" applyBorder="1" applyAlignment="1">
      <alignment horizontal="left" vertical="center"/>
      <protection/>
    </xf>
    <xf numFmtId="0" fontId="63" fillId="33" borderId="0" xfId="0" applyFont="1" applyFill="1" applyBorder="1" applyAlignment="1">
      <alignment horizontal="left" vertical="center" wrapText="1" readingOrder="1"/>
    </xf>
    <xf numFmtId="0" fontId="63" fillId="33" borderId="14" xfId="0" applyFont="1" applyFill="1" applyBorder="1" applyAlignment="1">
      <alignment horizontal="left" vertical="center" wrapText="1" readingOrder="1"/>
    </xf>
    <xf numFmtId="4" fontId="61" fillId="33" borderId="13" xfId="51" applyNumberFormat="1" applyFont="1" applyFill="1" applyBorder="1" applyAlignment="1">
      <alignment vertical="center"/>
      <protection/>
    </xf>
    <xf numFmtId="4" fontId="61" fillId="33" borderId="0" xfId="51" applyNumberFormat="1" applyFont="1" applyFill="1" applyBorder="1" applyAlignment="1">
      <alignment vertical="center"/>
      <protection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5" fillId="33" borderId="17" xfId="51" applyFont="1" applyFill="1" applyBorder="1">
      <alignment/>
      <protection/>
    </xf>
    <xf numFmtId="171" fontId="6" fillId="33" borderId="17" xfId="59" applyNumberFormat="1" applyFont="1" applyFill="1" applyBorder="1" applyAlignment="1">
      <alignment horizontal="center"/>
    </xf>
    <xf numFmtId="0" fontId="5" fillId="33" borderId="17" xfId="53" applyFont="1" applyFill="1" applyBorder="1">
      <alignment/>
      <protection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justify" vertical="center" wrapText="1"/>
    </xf>
    <xf numFmtId="4" fontId="65" fillId="33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8" fillId="34" borderId="17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>
      <alignment/>
      <protection/>
    </xf>
    <xf numFmtId="0" fontId="58" fillId="34" borderId="17" xfId="0" applyFont="1" applyFill="1" applyBorder="1" applyAlignment="1">
      <alignment horizontal="center"/>
    </xf>
    <xf numFmtId="0" fontId="58" fillId="34" borderId="17" xfId="0" applyFont="1" applyFill="1" applyBorder="1" applyAlignment="1">
      <alignment/>
    </xf>
    <xf numFmtId="4" fontId="58" fillId="34" borderId="17" xfId="0" applyNumberFormat="1" applyFont="1" applyFill="1" applyBorder="1" applyAlignment="1">
      <alignment/>
    </xf>
    <xf numFmtId="0" fontId="57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6" fillId="0" borderId="17" xfId="55" applyFont="1" applyFill="1" applyBorder="1" applyAlignment="1">
      <alignment horizontal="left" vertical="center" wrapText="1"/>
      <protection/>
    </xf>
    <xf numFmtId="0" fontId="6" fillId="0" borderId="17" xfId="55" applyFont="1" applyFill="1" applyBorder="1" applyAlignment="1">
      <alignment horizontal="center" vertical="center"/>
      <protection/>
    </xf>
    <xf numFmtId="4" fontId="7" fillId="34" borderId="17" xfId="0" applyNumberFormat="1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4" fontId="62" fillId="33" borderId="0" xfId="56" applyNumberFormat="1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4" fontId="66" fillId="0" borderId="0" xfId="51" applyNumberFormat="1" applyFont="1" applyFill="1" applyBorder="1" applyAlignment="1">
      <alignment horizontal="center" vertical="center" wrapText="1"/>
      <protection/>
    </xf>
    <xf numFmtId="169" fontId="2" fillId="0" borderId="11" xfId="51" applyNumberFormat="1" applyFont="1" applyBorder="1" applyAlignment="1">
      <alignment horizontal="center" vertical="center" wrapText="1" readingOrder="1"/>
      <protection/>
    </xf>
    <xf numFmtId="4" fontId="66" fillId="0" borderId="0" xfId="56" applyNumberFormat="1" applyFont="1" applyFill="1" applyBorder="1" applyAlignment="1">
      <alignment horizontal="center" vertical="center" wrapText="1"/>
      <protection/>
    </xf>
    <xf numFmtId="4" fontId="66" fillId="0" borderId="16" xfId="56" applyNumberFormat="1" applyFont="1" applyFill="1" applyBorder="1" applyAlignment="1">
      <alignment horizontal="center" vertical="center" wrapText="1"/>
      <protection/>
    </xf>
    <xf numFmtId="169" fontId="2" fillId="0" borderId="0" xfId="51" applyNumberFormat="1" applyFont="1" applyBorder="1" applyAlignment="1">
      <alignment horizontal="center" vertical="center" wrapText="1" readingOrder="1"/>
      <protection/>
    </xf>
    <xf numFmtId="4" fontId="5" fillId="0" borderId="0" xfId="51" applyNumberFormat="1" applyFont="1" applyFill="1" applyBorder="1" applyAlignment="1">
      <alignment horizontal="center" vertical="center" wrapText="1" readingOrder="1"/>
      <protection/>
    </xf>
    <xf numFmtId="0" fontId="4" fillId="35" borderId="1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4" fontId="4" fillId="35" borderId="17" xfId="0" applyNumberFormat="1" applyFont="1" applyFill="1" applyBorder="1" applyAlignment="1">
      <alignment horizontal="right" vertical="center"/>
    </xf>
    <xf numFmtId="4" fontId="4" fillId="35" borderId="17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4" fontId="4" fillId="36" borderId="17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horizontal="center" vertical="center"/>
    </xf>
    <xf numFmtId="0" fontId="58" fillId="36" borderId="17" xfId="0" applyFont="1" applyFill="1" applyBorder="1" applyAlignment="1">
      <alignment horizontal="justify" vertical="center" wrapText="1"/>
    </xf>
    <xf numFmtId="0" fontId="58" fillId="35" borderId="17" xfId="0" applyFont="1" applyFill="1" applyBorder="1" applyAlignment="1">
      <alignment horizontal="justify" vertical="center" wrapText="1"/>
    </xf>
    <xf numFmtId="0" fontId="7" fillId="36" borderId="17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7" fillId="35" borderId="17" xfId="0" applyNumberFormat="1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right" vertical="center" wrapText="1"/>
    </xf>
    <xf numFmtId="0" fontId="7" fillId="35" borderId="17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/>
    </xf>
    <xf numFmtId="0" fontId="15" fillId="34" borderId="22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justify" vertical="justify" wrapText="1"/>
    </xf>
    <xf numFmtId="4" fontId="15" fillId="34" borderId="22" xfId="0" applyNumberFormat="1" applyFont="1" applyFill="1" applyBorder="1" applyAlignment="1">
      <alignment horizontal="right" vertical="center"/>
    </xf>
    <xf numFmtId="4" fontId="15" fillId="34" borderId="22" xfId="0" applyNumberFormat="1" applyFont="1" applyFill="1" applyBorder="1" applyAlignment="1">
      <alignment horizontal="center" vertical="center"/>
    </xf>
    <xf numFmtId="4" fontId="58" fillId="34" borderId="22" xfId="0" applyNumberFormat="1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right" vertical="center"/>
    </xf>
    <xf numFmtId="4" fontId="7" fillId="36" borderId="17" xfId="0" applyNumberFormat="1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/>
    </xf>
    <xf numFmtId="0" fontId="6" fillId="0" borderId="17" xfId="55" applyFont="1" applyBorder="1" applyAlignment="1">
      <alignment horizontal="left" vertical="top"/>
      <protection/>
    </xf>
    <xf numFmtId="0" fontId="6" fillId="0" borderId="17" xfId="55" applyFont="1" applyBorder="1" applyAlignment="1">
      <alignment horizontal="center" vertical="top"/>
      <protection/>
    </xf>
    <xf numFmtId="0" fontId="4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justify" vertical="center" wrapText="1"/>
    </xf>
    <xf numFmtId="4" fontId="4" fillId="33" borderId="17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64" fillId="33" borderId="17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/>
    </xf>
    <xf numFmtId="0" fontId="16" fillId="33" borderId="22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justify" vertical="justify" wrapText="1"/>
    </xf>
    <xf numFmtId="4" fontId="16" fillId="33" borderId="22" xfId="0" applyNumberFormat="1" applyFont="1" applyFill="1" applyBorder="1" applyAlignment="1">
      <alignment horizontal="right" vertical="center"/>
    </xf>
    <xf numFmtId="4" fontId="16" fillId="33" borderId="22" xfId="0" applyNumberFormat="1" applyFont="1" applyFill="1" applyBorder="1" applyAlignment="1">
      <alignment horizontal="center" vertical="center"/>
    </xf>
    <xf numFmtId="4" fontId="64" fillId="33" borderId="22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4" fontId="4" fillId="33" borderId="0" xfId="51" applyNumberFormat="1" applyFont="1" applyFill="1" applyBorder="1" applyAlignment="1">
      <alignment vertical="center" wrapText="1" readingOrder="1"/>
      <protection/>
    </xf>
    <xf numFmtId="4" fontId="6" fillId="34" borderId="17" xfId="51" applyNumberFormat="1" applyFont="1" applyFill="1" applyBorder="1">
      <alignment/>
      <protection/>
    </xf>
    <xf numFmtId="10" fontId="6" fillId="0" borderId="17" xfId="59" applyNumberFormat="1" applyFont="1" applyFill="1" applyBorder="1" applyAlignment="1">
      <alignment/>
    </xf>
    <xf numFmtId="4" fontId="6" fillId="0" borderId="17" xfId="53" applyNumberFormat="1" applyFont="1" applyFill="1" applyBorder="1" applyAlignment="1">
      <alignment/>
      <protection/>
    </xf>
    <xf numFmtId="0" fontId="7" fillId="34" borderId="17" xfId="53" applyFont="1" applyFill="1" applyBorder="1" applyAlignment="1">
      <alignment horizont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6" fillId="0" borderId="0" xfId="53" applyFont="1">
      <alignment/>
      <protection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62" fillId="33" borderId="13" xfId="56" applyNumberFormat="1" applyFont="1" applyFill="1" applyBorder="1" applyAlignment="1">
      <alignment horizontal="left" vertical="center"/>
      <protection/>
    </xf>
    <xf numFmtId="4" fontId="62" fillId="33" borderId="0" xfId="56" applyNumberFormat="1" applyFont="1" applyFill="1" applyBorder="1" applyAlignment="1">
      <alignment horizontal="left" vertical="center"/>
      <protection/>
    </xf>
    <xf numFmtId="4" fontId="4" fillId="33" borderId="13" xfId="56" applyNumberFormat="1" applyFont="1" applyFill="1" applyBorder="1" applyAlignment="1">
      <alignment horizontal="left" vertical="center"/>
      <protection/>
    </xf>
    <xf numFmtId="4" fontId="4" fillId="33" borderId="0" xfId="56" applyNumberFormat="1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4" fontId="4" fillId="33" borderId="13" xfId="51" applyNumberFormat="1" applyFont="1" applyFill="1" applyBorder="1" applyAlignment="1">
      <alignment horizontal="left" vertical="center" wrapText="1"/>
      <protection/>
    </xf>
    <xf numFmtId="4" fontId="4" fillId="33" borderId="0" xfId="51" applyNumberFormat="1" applyFont="1" applyFill="1" applyBorder="1" applyAlignment="1">
      <alignment horizontal="left" vertical="center" wrapText="1"/>
      <protection/>
    </xf>
    <xf numFmtId="4" fontId="4" fillId="33" borderId="14" xfId="51" applyNumberFormat="1" applyFont="1" applyFill="1" applyBorder="1" applyAlignment="1">
      <alignment horizontal="left" vertical="center" wrapText="1"/>
      <protection/>
    </xf>
    <xf numFmtId="0" fontId="4" fillId="33" borderId="15" xfId="56" applyFont="1" applyFill="1" applyBorder="1" applyAlignment="1">
      <alignment horizontal="left"/>
      <protection/>
    </xf>
    <xf numFmtId="0" fontId="4" fillId="33" borderId="16" xfId="56" applyFont="1" applyFill="1" applyBorder="1" applyAlignment="1">
      <alignment horizontal="left"/>
      <protection/>
    </xf>
    <xf numFmtId="49" fontId="7" fillId="33" borderId="17" xfId="55" applyNumberFormat="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right"/>
    </xf>
    <xf numFmtId="0" fontId="58" fillId="34" borderId="23" xfId="0" applyFont="1" applyFill="1" applyBorder="1" applyAlignment="1">
      <alignment horizontal="right"/>
    </xf>
    <xf numFmtId="0" fontId="58" fillId="34" borderId="2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justify" wrapText="1"/>
    </xf>
    <xf numFmtId="4" fontId="7" fillId="0" borderId="17" xfId="0" applyNumberFormat="1" applyFont="1" applyFill="1" applyBorder="1" applyAlignment="1">
      <alignment horizontal="center" vertical="center"/>
    </xf>
    <xf numFmtId="10" fontId="6" fillId="0" borderId="21" xfId="59" applyNumberFormat="1" applyFont="1" applyBorder="1" applyAlignment="1">
      <alignment horizontal="center"/>
    </xf>
    <xf numFmtId="10" fontId="6" fillId="0" borderId="24" xfId="59" applyNumberFormat="1" applyFont="1" applyBorder="1" applyAlignment="1">
      <alignment horizontal="center"/>
    </xf>
    <xf numFmtId="0" fontId="6" fillId="0" borderId="21" xfId="53" applyFont="1" applyBorder="1" applyAlignment="1">
      <alignment horizontal="left" vertical="top"/>
      <protection/>
    </xf>
    <xf numFmtId="0" fontId="6" fillId="0" borderId="24" xfId="53" applyFont="1" applyBorder="1" applyAlignment="1">
      <alignment horizontal="left" vertical="top"/>
      <protection/>
    </xf>
    <xf numFmtId="39" fontId="6" fillId="0" borderId="21" xfId="53" applyNumberFormat="1" applyFont="1" applyBorder="1" applyAlignment="1">
      <alignment horizontal="center"/>
      <protection/>
    </xf>
    <xf numFmtId="39" fontId="6" fillId="0" borderId="24" xfId="53" applyNumberFormat="1" applyFont="1" applyBorder="1" applyAlignment="1">
      <alignment horizontal="center"/>
      <protection/>
    </xf>
    <xf numFmtId="1" fontId="6" fillId="0" borderId="21" xfId="53" applyNumberFormat="1" applyFont="1" applyBorder="1" applyAlignment="1">
      <alignment horizontal="left" vertical="top"/>
      <protection/>
    </xf>
    <xf numFmtId="1" fontId="6" fillId="0" borderId="24" xfId="53" applyNumberFormat="1" applyFont="1" applyBorder="1" applyAlignment="1">
      <alignment horizontal="left" vertical="top"/>
      <protection/>
    </xf>
    <xf numFmtId="169" fontId="2" fillId="0" borderId="10" xfId="51" applyNumberFormat="1" applyFont="1" applyBorder="1" applyAlignment="1">
      <alignment horizontal="center" vertical="center" wrapText="1" readingOrder="1"/>
      <protection/>
    </xf>
    <xf numFmtId="169" fontId="2" fillId="0" borderId="11" xfId="51" applyNumberFormat="1" applyFont="1" applyBorder="1" applyAlignment="1">
      <alignment horizontal="center" vertical="center" wrapText="1" readingOrder="1"/>
      <protection/>
    </xf>
    <xf numFmtId="0" fontId="11" fillId="0" borderId="21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0" fontId="11" fillId="0" borderId="24" xfId="56" applyFont="1" applyFill="1" applyBorder="1" applyAlignment="1">
      <alignment horizontal="center" vertical="center" wrapText="1"/>
      <protection/>
    </xf>
    <xf numFmtId="4" fontId="66" fillId="0" borderId="13" xfId="56" applyNumberFormat="1" applyFont="1" applyFill="1" applyBorder="1" applyAlignment="1">
      <alignment horizontal="center" vertical="center" wrapText="1"/>
      <protection/>
    </xf>
    <xf numFmtId="4" fontId="66" fillId="0" borderId="0" xfId="56" applyNumberFormat="1" applyFont="1" applyFill="1" applyBorder="1" applyAlignment="1">
      <alignment horizontal="center" vertical="center" wrapText="1"/>
      <protection/>
    </xf>
    <xf numFmtId="4" fontId="66" fillId="0" borderId="15" xfId="56" applyNumberFormat="1" applyFont="1" applyFill="1" applyBorder="1" applyAlignment="1">
      <alignment horizontal="center" vertical="center" wrapText="1"/>
      <protection/>
    </xf>
    <xf numFmtId="4" fontId="66" fillId="0" borderId="16" xfId="56" applyNumberFormat="1" applyFont="1" applyFill="1" applyBorder="1" applyAlignment="1">
      <alignment horizontal="center" vertical="center" wrapText="1"/>
      <protection/>
    </xf>
    <xf numFmtId="169" fontId="2" fillId="0" borderId="13" xfId="51" applyNumberFormat="1" applyFont="1" applyBorder="1" applyAlignment="1">
      <alignment horizontal="center" vertical="center" wrapText="1" readingOrder="1"/>
      <protection/>
    </xf>
    <xf numFmtId="169" fontId="2" fillId="0" borderId="0" xfId="51" applyNumberFormat="1" applyFont="1" applyBorder="1" applyAlignment="1">
      <alignment horizontal="center" vertical="center" wrapText="1" readingOrder="1"/>
      <protection/>
    </xf>
    <xf numFmtId="4" fontId="5" fillId="0" borderId="13" xfId="51" applyNumberFormat="1" applyFont="1" applyFill="1" applyBorder="1" applyAlignment="1">
      <alignment horizontal="center" vertical="center" wrapText="1" readingOrder="1"/>
      <protection/>
    </xf>
    <xf numFmtId="4" fontId="5" fillId="0" borderId="0" xfId="51" applyNumberFormat="1" applyFont="1" applyFill="1" applyBorder="1" applyAlignment="1">
      <alignment horizontal="center" vertical="center" wrapText="1" readingOrder="1"/>
      <protection/>
    </xf>
    <xf numFmtId="4" fontId="6" fillId="0" borderId="21" xfId="54" applyNumberFormat="1" applyFont="1" applyBorder="1" applyAlignment="1">
      <alignment horizontal="center"/>
      <protection/>
    </xf>
    <xf numFmtId="4" fontId="6" fillId="0" borderId="24" xfId="54" applyNumberFormat="1" applyFont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4" fontId="5" fillId="0" borderId="13" xfId="51" applyNumberFormat="1" applyFont="1" applyFill="1" applyBorder="1" applyAlignment="1">
      <alignment horizontal="center" vertical="center" wrapText="1"/>
      <protection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2" fillId="0" borderId="22" xfId="53" applyFont="1" applyBorder="1" applyAlignment="1">
      <alignment horizontal="center" wrapText="1"/>
      <protection/>
    </xf>
    <xf numFmtId="0" fontId="12" fillId="0" borderId="21" xfId="53" applyFont="1" applyBorder="1" applyAlignment="1">
      <alignment horizontal="center"/>
      <protection/>
    </xf>
    <xf numFmtId="0" fontId="12" fillId="0" borderId="24" xfId="53" applyFont="1" applyBorder="1" applyAlignment="1">
      <alignment horizontal="center"/>
      <protection/>
    </xf>
    <xf numFmtId="4" fontId="6" fillId="0" borderId="0" xfId="54" applyNumberFormat="1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3" xfId="51"/>
    <cellStyle name="Normal 3" xfId="52"/>
    <cellStyle name="Normal_CRONOGRAMA" xfId="53"/>
    <cellStyle name="Normal_Orçamento nº057-2003- Esc. Munic. AMPARO revisão" xfId="54"/>
    <cellStyle name="Normal_P_Getulio Vargas" xfId="55"/>
    <cellStyle name="Normal_P_Getulio Vargas 2" xfId="56"/>
    <cellStyle name="Nota" xfId="57"/>
    <cellStyle name="Percent" xfId="58"/>
    <cellStyle name="Porcentagem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85725</xdr:rowOff>
    </xdr:from>
    <xdr:to>
      <xdr:col>6</xdr:col>
      <xdr:colOff>2381250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85725"/>
          <a:ext cx="2257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="71" zoomScaleNormal="60" zoomScaleSheetLayoutView="71" zoomScalePageLayoutView="0" workbookViewId="0" topLeftCell="A113">
      <selection activeCell="I77" sqref="I77"/>
    </sheetView>
  </sheetViews>
  <sheetFormatPr defaultColWidth="9.140625" defaultRowHeight="15"/>
  <cols>
    <col min="1" max="1" width="9.140625" style="2" customWidth="1"/>
    <col min="2" max="2" width="20.57421875" style="0" customWidth="1"/>
    <col min="3" max="3" width="129.140625" style="0" customWidth="1"/>
    <col min="5" max="5" width="12.140625" style="0" customWidth="1"/>
    <col min="6" max="6" width="16.140625" style="0" customWidth="1"/>
    <col min="7" max="7" width="16.8515625" style="0" customWidth="1"/>
    <col min="8" max="8" width="18.57421875" style="0" customWidth="1"/>
    <col min="9" max="9" width="19.00390625" style="0" customWidth="1"/>
  </cols>
  <sheetData>
    <row r="1" spans="1:9" s="10" customFormat="1" ht="23.25">
      <c r="A1" s="3"/>
      <c r="B1" s="4"/>
      <c r="C1" s="5" t="s">
        <v>8</v>
      </c>
      <c r="D1" s="6"/>
      <c r="E1" s="7"/>
      <c r="F1" s="8"/>
      <c r="G1" s="8"/>
      <c r="H1" s="8"/>
      <c r="I1" s="9"/>
    </row>
    <row r="2" spans="1:9" s="10" customFormat="1" ht="23.25">
      <c r="A2" s="11"/>
      <c r="B2" s="12"/>
      <c r="C2" s="13" t="s">
        <v>9</v>
      </c>
      <c r="D2" s="14"/>
      <c r="E2" s="15"/>
      <c r="F2" s="16"/>
      <c r="G2" s="16"/>
      <c r="H2" s="16"/>
      <c r="I2" s="17"/>
    </row>
    <row r="3" spans="1:9" s="10" customFormat="1" ht="23.25">
      <c r="A3" s="11"/>
      <c r="B3" s="12"/>
      <c r="C3" s="13" t="s">
        <v>10</v>
      </c>
      <c r="D3" s="167"/>
      <c r="E3" s="168"/>
      <c r="F3" s="168"/>
      <c r="G3" s="168"/>
      <c r="H3" s="87"/>
      <c r="I3" s="46"/>
    </row>
    <row r="4" spans="1:9" s="10" customFormat="1" ht="18.75" customHeight="1">
      <c r="A4" s="11"/>
      <c r="B4" s="12"/>
      <c r="C4" s="139" t="s">
        <v>191</v>
      </c>
      <c r="D4" s="169" t="s">
        <v>194</v>
      </c>
      <c r="E4" s="170"/>
      <c r="F4" s="170"/>
      <c r="G4" s="170"/>
      <c r="H4" s="47"/>
      <c r="I4" s="48"/>
    </row>
    <row r="5" spans="1:9" s="10" customFormat="1" ht="18.75" customHeight="1">
      <c r="A5" s="11"/>
      <c r="B5" s="12"/>
      <c r="C5" s="139" t="s">
        <v>190</v>
      </c>
      <c r="D5" s="171" t="s">
        <v>182</v>
      </c>
      <c r="E5" s="172"/>
      <c r="F5" s="172"/>
      <c r="G5" s="172"/>
      <c r="H5" s="41"/>
      <c r="I5" s="42"/>
    </row>
    <row r="6" spans="1:9" s="10" customFormat="1" ht="18.75">
      <c r="A6" s="11"/>
      <c r="B6" s="12"/>
      <c r="C6" s="76" t="s">
        <v>183</v>
      </c>
      <c r="D6" s="173" t="s">
        <v>181</v>
      </c>
      <c r="E6" s="174"/>
      <c r="F6" s="174"/>
      <c r="G6" s="174"/>
      <c r="H6" s="174"/>
      <c r="I6" s="175"/>
    </row>
    <row r="7" spans="1:9" s="10" customFormat="1" ht="18.75">
      <c r="A7" s="11"/>
      <c r="B7" s="12"/>
      <c r="C7" s="18"/>
      <c r="D7" s="49" t="s">
        <v>36</v>
      </c>
      <c r="E7" s="50"/>
      <c r="F7" s="50"/>
      <c r="G7" s="50"/>
      <c r="H7" s="43"/>
      <c r="I7" s="44"/>
    </row>
    <row r="8" spans="1:9" s="10" customFormat="1" ht="18.75">
      <c r="A8" s="19"/>
      <c r="B8" s="20"/>
      <c r="C8" s="21"/>
      <c r="D8" s="176" t="s">
        <v>11</v>
      </c>
      <c r="E8" s="177"/>
      <c r="F8" s="177"/>
      <c r="G8" s="177"/>
      <c r="H8" s="88"/>
      <c r="I8" s="45"/>
    </row>
    <row r="9" spans="1:9" s="10" customFormat="1" ht="18.75">
      <c r="A9" s="178" t="s">
        <v>171</v>
      </c>
      <c r="B9" s="179"/>
      <c r="C9" s="179"/>
      <c r="D9" s="180"/>
      <c r="E9" s="180"/>
      <c r="F9" s="180"/>
      <c r="G9" s="180"/>
      <c r="H9" s="51"/>
      <c r="I9" s="52"/>
    </row>
    <row r="10" spans="1:9" s="10" customFormat="1" ht="18.75">
      <c r="A10" s="184" t="s">
        <v>5</v>
      </c>
      <c r="B10" s="185" t="s">
        <v>12</v>
      </c>
      <c r="C10" s="185" t="s">
        <v>13</v>
      </c>
      <c r="D10" s="184" t="s">
        <v>3</v>
      </c>
      <c r="E10" s="186" t="s">
        <v>7</v>
      </c>
      <c r="F10" s="164" t="s">
        <v>14</v>
      </c>
      <c r="G10" s="165"/>
      <c r="H10" s="165"/>
      <c r="I10" s="166"/>
    </row>
    <row r="11" spans="1:9" s="10" customFormat="1" ht="18.75">
      <c r="A11" s="184"/>
      <c r="B11" s="185"/>
      <c r="C11" s="185"/>
      <c r="D11" s="184"/>
      <c r="E11" s="186"/>
      <c r="F11" s="22" t="s">
        <v>32</v>
      </c>
      <c r="G11" s="23" t="s">
        <v>18</v>
      </c>
      <c r="H11" s="23" t="s">
        <v>33</v>
      </c>
      <c r="I11" s="23" t="s">
        <v>19</v>
      </c>
    </row>
    <row r="12" spans="1:9" s="10" customFormat="1" ht="18.75" customHeight="1">
      <c r="A12" s="24" t="s">
        <v>34</v>
      </c>
      <c r="B12" s="56"/>
      <c r="C12" s="57" t="s">
        <v>165</v>
      </c>
      <c r="D12" s="22"/>
      <c r="E12" s="23"/>
      <c r="F12" s="22"/>
      <c r="G12" s="23"/>
      <c r="H12" s="23"/>
      <c r="I12" s="23"/>
    </row>
    <row r="13" spans="1:9" s="123" customFormat="1" ht="18.75">
      <c r="A13" s="106" t="s">
        <v>4</v>
      </c>
      <c r="B13" s="106"/>
      <c r="C13" s="104" t="s">
        <v>187</v>
      </c>
      <c r="D13" s="106"/>
      <c r="E13" s="121"/>
      <c r="F13" s="106"/>
      <c r="G13" s="122"/>
      <c r="H13" s="122"/>
      <c r="I13" s="122"/>
    </row>
    <row r="14" spans="1:9" s="10" customFormat="1" ht="49.5" customHeight="1">
      <c r="A14" s="116" t="s">
        <v>15</v>
      </c>
      <c r="B14" s="116" t="s">
        <v>38</v>
      </c>
      <c r="C14" s="117" t="s">
        <v>39</v>
      </c>
      <c r="D14" s="116" t="s">
        <v>0</v>
      </c>
      <c r="E14" s="118">
        <v>1409.1</v>
      </c>
      <c r="F14" s="119">
        <f>TRUNC(F15,2)</f>
        <v>128.6</v>
      </c>
      <c r="G14" s="120">
        <f>TRUNC(F14*1.2247,2)</f>
        <v>157.49</v>
      </c>
      <c r="H14" s="120">
        <f>TRUNC((E14*F14),2)</f>
        <v>181210.26</v>
      </c>
      <c r="I14" s="120">
        <f>TRUNC((E14*G14),2)</f>
        <v>221919.15</v>
      </c>
    </row>
    <row r="15" spans="1:9" s="10" customFormat="1" ht="45">
      <c r="A15" s="86"/>
      <c r="B15" s="66" t="s">
        <v>38</v>
      </c>
      <c r="C15" s="67" t="s">
        <v>39</v>
      </c>
      <c r="D15" s="63" t="s">
        <v>0</v>
      </c>
      <c r="E15" s="75">
        <v>1</v>
      </c>
      <c r="F15" s="64">
        <f>G25</f>
        <v>128.6</v>
      </c>
      <c r="G15" s="64">
        <f aca="true" t="shared" si="0" ref="G15:G24">TRUNC(E15*F15,2)</f>
        <v>128.6</v>
      </c>
      <c r="H15" s="64"/>
      <c r="I15" s="65"/>
    </row>
    <row r="16" spans="1:9" s="10" customFormat="1" ht="18.75">
      <c r="A16" s="86"/>
      <c r="B16" s="66" t="s">
        <v>40</v>
      </c>
      <c r="C16" s="67" t="s">
        <v>41</v>
      </c>
      <c r="D16" s="63" t="s">
        <v>0</v>
      </c>
      <c r="E16" s="75">
        <v>1</v>
      </c>
      <c r="F16" s="64">
        <f>TRUNC(108.35,2)</f>
        <v>108.35</v>
      </c>
      <c r="G16" s="64">
        <f t="shared" si="0"/>
        <v>108.35</v>
      </c>
      <c r="H16" s="64"/>
      <c r="I16" s="65"/>
    </row>
    <row r="17" spans="1:9" s="10" customFormat="1" ht="18.75">
      <c r="A17" s="86"/>
      <c r="B17" s="66" t="s">
        <v>42</v>
      </c>
      <c r="C17" s="67" t="s">
        <v>43</v>
      </c>
      <c r="D17" s="63" t="s">
        <v>3</v>
      </c>
      <c r="E17" s="75">
        <v>0.008</v>
      </c>
      <c r="F17" s="64">
        <f>TRUNC(30.55,2)</f>
        <v>30.55</v>
      </c>
      <c r="G17" s="64">
        <f t="shared" si="0"/>
        <v>0.24</v>
      </c>
      <c r="H17" s="64"/>
      <c r="I17" s="65"/>
    </row>
    <row r="18" spans="1:9" s="10" customFormat="1" ht="18.75">
      <c r="A18" s="86"/>
      <c r="B18" s="66" t="s">
        <v>44</v>
      </c>
      <c r="C18" s="67" t="s">
        <v>45</v>
      </c>
      <c r="D18" s="63" t="s">
        <v>3</v>
      </c>
      <c r="E18" s="75">
        <v>1.987</v>
      </c>
      <c r="F18" s="64">
        <f>TRUNC(1.55,2)</f>
        <v>1.55</v>
      </c>
      <c r="G18" s="64">
        <f t="shared" si="0"/>
        <v>3.07</v>
      </c>
      <c r="H18" s="64"/>
      <c r="I18" s="65"/>
    </row>
    <row r="19" spans="1:9" s="10" customFormat="1" ht="18.75">
      <c r="A19" s="86"/>
      <c r="B19" s="66" t="s">
        <v>46</v>
      </c>
      <c r="C19" s="67" t="s">
        <v>47</v>
      </c>
      <c r="D19" s="63" t="s">
        <v>3</v>
      </c>
      <c r="E19" s="75">
        <v>1.987</v>
      </c>
      <c r="F19" s="64">
        <f>TRUNC(0.52,2)</f>
        <v>0.52</v>
      </c>
      <c r="G19" s="64">
        <f t="shared" si="0"/>
        <v>1.03</v>
      </c>
      <c r="H19" s="64"/>
      <c r="I19" s="65"/>
    </row>
    <row r="20" spans="1:9" s="10" customFormat="1" ht="18.75">
      <c r="A20" s="86"/>
      <c r="B20" s="66" t="s">
        <v>48</v>
      </c>
      <c r="C20" s="67" t="s">
        <v>49</v>
      </c>
      <c r="D20" s="63" t="s">
        <v>3</v>
      </c>
      <c r="E20" s="75">
        <v>0.606</v>
      </c>
      <c r="F20" s="64">
        <f>TRUNC(1.03,2)</f>
        <v>1.03</v>
      </c>
      <c r="G20" s="64">
        <f t="shared" si="0"/>
        <v>0.62</v>
      </c>
      <c r="H20" s="64"/>
      <c r="I20" s="65"/>
    </row>
    <row r="21" spans="1:9" s="10" customFormat="1" ht="30">
      <c r="A21" s="86"/>
      <c r="B21" s="66" t="s">
        <v>50</v>
      </c>
      <c r="C21" s="67" t="s">
        <v>51</v>
      </c>
      <c r="D21" s="63" t="s">
        <v>52</v>
      </c>
      <c r="E21" s="75">
        <v>0.075</v>
      </c>
      <c r="F21" s="64">
        <f>TRUNC(101.82,2)</f>
        <v>101.82</v>
      </c>
      <c r="G21" s="64">
        <f t="shared" si="0"/>
        <v>7.63</v>
      </c>
      <c r="H21" s="64"/>
      <c r="I21" s="65"/>
    </row>
    <row r="22" spans="1:9" s="10" customFormat="1" ht="30">
      <c r="A22" s="86"/>
      <c r="B22" s="66" t="s">
        <v>53</v>
      </c>
      <c r="C22" s="67" t="s">
        <v>54</v>
      </c>
      <c r="D22" s="63" t="s">
        <v>52</v>
      </c>
      <c r="E22" s="75">
        <v>0.06</v>
      </c>
      <c r="F22" s="64">
        <f>TRUNC(43.97,2)</f>
        <v>43.97</v>
      </c>
      <c r="G22" s="64">
        <f t="shared" si="0"/>
        <v>2.63</v>
      </c>
      <c r="H22" s="64"/>
      <c r="I22" s="65"/>
    </row>
    <row r="23" spans="1:9" s="10" customFormat="1" ht="18.75">
      <c r="A23" s="86"/>
      <c r="B23" s="66" t="s">
        <v>55</v>
      </c>
      <c r="C23" s="67" t="s">
        <v>56</v>
      </c>
      <c r="D23" s="63" t="s">
        <v>1</v>
      </c>
      <c r="E23" s="75">
        <v>0.12875</v>
      </c>
      <c r="F23" s="64">
        <f>TRUNC(24.61,2)</f>
        <v>24.61</v>
      </c>
      <c r="G23" s="64">
        <f t="shared" si="0"/>
        <v>3.16</v>
      </c>
      <c r="H23" s="64"/>
      <c r="I23" s="65"/>
    </row>
    <row r="24" spans="1:9" s="10" customFormat="1" ht="18.75">
      <c r="A24" s="86"/>
      <c r="B24" s="66" t="s">
        <v>57</v>
      </c>
      <c r="C24" s="67" t="s">
        <v>58</v>
      </c>
      <c r="D24" s="63" t="s">
        <v>1</v>
      </c>
      <c r="E24" s="75">
        <v>0.1133</v>
      </c>
      <c r="F24" s="64">
        <f>TRUNC(16.55,2)</f>
        <v>16.55</v>
      </c>
      <c r="G24" s="64">
        <f t="shared" si="0"/>
        <v>1.87</v>
      </c>
      <c r="H24" s="64"/>
      <c r="I24" s="65"/>
    </row>
    <row r="25" spans="1:9" s="10" customFormat="1" ht="18.75">
      <c r="A25" s="86"/>
      <c r="B25" s="66"/>
      <c r="C25" s="67"/>
      <c r="D25" s="63"/>
      <c r="E25" s="59" t="s">
        <v>2</v>
      </c>
      <c r="F25" s="60"/>
      <c r="G25" s="60">
        <f>TRUNC(SUM(G16:G24),2)</f>
        <v>128.6</v>
      </c>
      <c r="H25" s="64"/>
      <c r="I25" s="65"/>
    </row>
    <row r="26" spans="1:9" s="10" customFormat="1" ht="47.25">
      <c r="A26" s="73" t="s">
        <v>16</v>
      </c>
      <c r="B26" s="71" t="s">
        <v>204</v>
      </c>
      <c r="C26" s="85" t="s">
        <v>199</v>
      </c>
      <c r="D26" s="73" t="s">
        <v>63</v>
      </c>
      <c r="E26" s="74">
        <f>3946.62+1108.9+2444.75</f>
        <v>7500.27</v>
      </c>
      <c r="F26" s="84">
        <f>TRUNC(F27,2)</f>
        <v>13.22</v>
      </c>
      <c r="G26" s="70">
        <f>TRUNC(F26*1.2247,2)</f>
        <v>16.19</v>
      </c>
      <c r="H26" s="70">
        <f>TRUNC((E26*F26),2)</f>
        <v>99153.56</v>
      </c>
      <c r="I26" s="70">
        <f>TRUNC((E26*G26),2)</f>
        <v>121429.37</v>
      </c>
    </row>
    <row r="27" spans="1:9" s="10" customFormat="1" ht="39.75" customHeight="1">
      <c r="A27" s="86"/>
      <c r="B27" s="66" t="s">
        <v>198</v>
      </c>
      <c r="C27" s="67" t="s">
        <v>199</v>
      </c>
      <c r="D27" s="63" t="s">
        <v>63</v>
      </c>
      <c r="E27" s="75">
        <v>1</v>
      </c>
      <c r="F27" s="64">
        <f>G34</f>
        <v>13.22</v>
      </c>
      <c r="G27" s="64">
        <f aca="true" t="shared" si="1" ref="G27:G33">TRUNC(E27*F27,2)</f>
        <v>13.22</v>
      </c>
      <c r="H27" s="64"/>
      <c r="I27" s="65"/>
    </row>
    <row r="28" spans="1:9" s="10" customFormat="1" ht="18.75">
      <c r="A28" s="86"/>
      <c r="B28" s="66" t="s">
        <v>64</v>
      </c>
      <c r="C28" s="67" t="s">
        <v>65</v>
      </c>
      <c r="D28" s="63" t="s">
        <v>63</v>
      </c>
      <c r="E28" s="75">
        <v>1.05</v>
      </c>
      <c r="F28" s="64">
        <f>TRUNC(10.3694,2)</f>
        <v>10.36</v>
      </c>
      <c r="G28" s="64">
        <f t="shared" si="1"/>
        <v>10.87</v>
      </c>
      <c r="H28" s="64"/>
      <c r="I28" s="65"/>
    </row>
    <row r="29" spans="1:9" s="10" customFormat="1" ht="21.75" customHeight="1">
      <c r="A29" s="86"/>
      <c r="B29" s="66" t="s">
        <v>68</v>
      </c>
      <c r="C29" s="67" t="s">
        <v>69</v>
      </c>
      <c r="D29" s="63" t="s">
        <v>63</v>
      </c>
      <c r="E29" s="75">
        <f>183/7500.27</f>
        <v>0.02439912163162126</v>
      </c>
      <c r="F29" s="64">
        <v>11.7989</v>
      </c>
      <c r="G29" s="64">
        <f t="shared" si="1"/>
        <v>0.28</v>
      </c>
      <c r="H29" s="64"/>
      <c r="I29" s="65"/>
    </row>
    <row r="30" spans="1:9" s="10" customFormat="1" ht="20.25" customHeight="1">
      <c r="A30" s="86"/>
      <c r="B30" s="66" t="s">
        <v>70</v>
      </c>
      <c r="C30" s="67" t="s">
        <v>71</v>
      </c>
      <c r="D30" s="63" t="s">
        <v>3</v>
      </c>
      <c r="E30" s="75">
        <f>128/7500.27</f>
        <v>0.01706605228878427</v>
      </c>
      <c r="F30" s="64">
        <v>9.36</v>
      </c>
      <c r="G30" s="64">
        <f t="shared" si="1"/>
        <v>0.15</v>
      </c>
      <c r="H30" s="64"/>
      <c r="I30" s="65"/>
    </row>
    <row r="31" spans="1:9" s="10" customFormat="1" ht="18.75">
      <c r="A31" s="86"/>
      <c r="B31" s="66" t="s">
        <v>200</v>
      </c>
      <c r="C31" s="67" t="s">
        <v>201</v>
      </c>
      <c r="D31" s="63" t="s">
        <v>1</v>
      </c>
      <c r="E31" s="75">
        <v>0.0412</v>
      </c>
      <c r="F31" s="64">
        <f>TRUNC(24.61,2)</f>
        <v>24.61</v>
      </c>
      <c r="G31" s="64">
        <f t="shared" si="1"/>
        <v>1.01</v>
      </c>
      <c r="H31" s="64"/>
      <c r="I31" s="65"/>
    </row>
    <row r="32" spans="1:9" s="10" customFormat="1" ht="18.75">
      <c r="A32" s="86"/>
      <c r="B32" s="66" t="s">
        <v>57</v>
      </c>
      <c r="C32" s="67" t="s">
        <v>58</v>
      </c>
      <c r="D32" s="63" t="s">
        <v>1</v>
      </c>
      <c r="E32" s="75">
        <v>0.0412</v>
      </c>
      <c r="F32" s="64">
        <f>TRUNC(16.55,2)</f>
        <v>16.55</v>
      </c>
      <c r="G32" s="64">
        <f t="shared" si="1"/>
        <v>0.68</v>
      </c>
      <c r="H32" s="64"/>
      <c r="I32" s="65"/>
    </row>
    <row r="33" spans="1:9" s="10" customFormat="1" ht="18.75">
      <c r="A33" s="86"/>
      <c r="B33" s="66" t="s">
        <v>202</v>
      </c>
      <c r="C33" s="67" t="s">
        <v>203</v>
      </c>
      <c r="D33" s="63" t="s">
        <v>52</v>
      </c>
      <c r="E33" s="75">
        <v>0.006</v>
      </c>
      <c r="F33" s="64">
        <f>TRUNC(38.691,2)</f>
        <v>38.69</v>
      </c>
      <c r="G33" s="64">
        <f t="shared" si="1"/>
        <v>0.23</v>
      </c>
      <c r="H33" s="64"/>
      <c r="I33" s="65"/>
    </row>
    <row r="34" spans="1:9" s="10" customFormat="1" ht="18.75">
      <c r="A34" s="86"/>
      <c r="B34" s="66"/>
      <c r="C34" s="67"/>
      <c r="D34" s="63"/>
      <c r="E34" s="75" t="s">
        <v>2</v>
      </c>
      <c r="F34" s="64"/>
      <c r="G34" s="64">
        <f>TRUNC(SUM(G28:G33),2)</f>
        <v>13.22</v>
      </c>
      <c r="H34" s="64"/>
      <c r="I34" s="65"/>
    </row>
    <row r="35" spans="1:9" s="10" customFormat="1" ht="37.5" customHeight="1">
      <c r="A35" s="73" t="s">
        <v>17</v>
      </c>
      <c r="B35" s="85" t="s">
        <v>72</v>
      </c>
      <c r="C35" s="85" t="s">
        <v>73</v>
      </c>
      <c r="D35" s="73" t="s">
        <v>52</v>
      </c>
      <c r="E35" s="74">
        <v>61.6</v>
      </c>
      <c r="F35" s="84">
        <f>TRUNC(F36,2)</f>
        <v>66.27</v>
      </c>
      <c r="G35" s="70">
        <f>TRUNC(F35*1.2247,2)</f>
        <v>81.16</v>
      </c>
      <c r="H35" s="70">
        <f>TRUNC((E35*F35),2)</f>
        <v>4082.23</v>
      </c>
      <c r="I35" s="70">
        <f>TRUNC((E35*G35),2)</f>
        <v>4999.45</v>
      </c>
    </row>
    <row r="36" spans="1:9" s="10" customFormat="1" ht="30">
      <c r="A36" s="108"/>
      <c r="B36" s="66" t="s">
        <v>72</v>
      </c>
      <c r="C36" s="67" t="s">
        <v>73</v>
      </c>
      <c r="D36" s="63" t="s">
        <v>52</v>
      </c>
      <c r="E36" s="75">
        <v>1</v>
      </c>
      <c r="F36" s="64">
        <f>G41</f>
        <v>66.27</v>
      </c>
      <c r="G36" s="64">
        <f>TRUNC(E36*F36,2)</f>
        <v>66.27</v>
      </c>
      <c r="H36" s="64"/>
      <c r="I36" s="65"/>
    </row>
    <row r="37" spans="1:9" s="10" customFormat="1" ht="18.75">
      <c r="A37" s="108"/>
      <c r="B37" s="66" t="s">
        <v>74</v>
      </c>
      <c r="C37" s="67" t="s">
        <v>75</v>
      </c>
      <c r="D37" s="63" t="s">
        <v>52</v>
      </c>
      <c r="E37" s="75">
        <v>1.1</v>
      </c>
      <c r="F37" s="64">
        <f>TRUNC(41.47,2)</f>
        <v>41.47</v>
      </c>
      <c r="G37" s="64">
        <f>TRUNC(E37*F37,2)</f>
        <v>45.61</v>
      </c>
      <c r="H37" s="64"/>
      <c r="I37" s="65"/>
    </row>
    <row r="38" spans="1:9" s="10" customFormat="1" ht="18.75">
      <c r="A38" s="108"/>
      <c r="B38" s="66" t="s">
        <v>59</v>
      </c>
      <c r="C38" s="67" t="s">
        <v>60</v>
      </c>
      <c r="D38" s="63" t="s">
        <v>3</v>
      </c>
      <c r="E38" s="75">
        <v>3</v>
      </c>
      <c r="F38" s="64">
        <f>TRUNC(3.4,2)</f>
        <v>3.4</v>
      </c>
      <c r="G38" s="64">
        <f>TRUNC(E38*F38,2)</f>
        <v>10.2</v>
      </c>
      <c r="H38" s="64"/>
      <c r="I38" s="65"/>
    </row>
    <row r="39" spans="1:9" s="10" customFormat="1" ht="18.75">
      <c r="A39" s="108"/>
      <c r="B39" s="66" t="s">
        <v>61</v>
      </c>
      <c r="C39" s="67" t="s">
        <v>62</v>
      </c>
      <c r="D39" s="63" t="s">
        <v>1</v>
      </c>
      <c r="E39" s="75">
        <v>0.20600000000000002</v>
      </c>
      <c r="F39" s="64">
        <f>TRUNC(16.55,2)</f>
        <v>16.55</v>
      </c>
      <c r="G39" s="64">
        <f>TRUNC(E39*F39,2)</f>
        <v>3.4</v>
      </c>
      <c r="H39" s="64"/>
      <c r="I39" s="65"/>
    </row>
    <row r="40" spans="1:9" s="10" customFormat="1" ht="18.75">
      <c r="A40" s="108"/>
      <c r="B40" s="66" t="s">
        <v>76</v>
      </c>
      <c r="C40" s="67" t="s">
        <v>77</v>
      </c>
      <c r="D40" s="63" t="s">
        <v>1</v>
      </c>
      <c r="E40" s="75">
        <v>0.309</v>
      </c>
      <c r="F40" s="64">
        <f>TRUNC(22.86,2)</f>
        <v>22.86</v>
      </c>
      <c r="G40" s="64">
        <f>TRUNC(E40*F40,2)</f>
        <v>7.06</v>
      </c>
      <c r="H40" s="64"/>
      <c r="I40" s="65"/>
    </row>
    <row r="41" spans="1:9" s="10" customFormat="1" ht="18.75">
      <c r="A41" s="108"/>
      <c r="B41" s="66"/>
      <c r="C41" s="67"/>
      <c r="D41" s="63"/>
      <c r="E41" s="59" t="s">
        <v>2</v>
      </c>
      <c r="F41" s="60"/>
      <c r="G41" s="60">
        <f>TRUNC(SUM(G37:G40),2)</f>
        <v>66.27</v>
      </c>
      <c r="H41" s="64"/>
      <c r="I41" s="65"/>
    </row>
    <row r="42" spans="1:9" s="10" customFormat="1" ht="31.5">
      <c r="A42" s="73" t="s">
        <v>166</v>
      </c>
      <c r="B42" s="71" t="s">
        <v>78</v>
      </c>
      <c r="C42" s="85" t="s">
        <v>79</v>
      </c>
      <c r="D42" s="73" t="s">
        <v>52</v>
      </c>
      <c r="E42" s="74">
        <v>154</v>
      </c>
      <c r="F42" s="84">
        <f>TRUNC(F43,2)</f>
        <v>155.03</v>
      </c>
      <c r="G42" s="70">
        <f>TRUNC(F42*1.2247,2)</f>
        <v>189.86</v>
      </c>
      <c r="H42" s="70">
        <f>TRUNC((E42*F42),2)</f>
        <v>23874.62</v>
      </c>
      <c r="I42" s="70">
        <f>TRUNC((E42*G42),2)</f>
        <v>29238.44</v>
      </c>
    </row>
    <row r="43" spans="1:9" s="10" customFormat="1" ht="30">
      <c r="A43" s="108"/>
      <c r="B43" s="66" t="s">
        <v>78</v>
      </c>
      <c r="C43" s="67" t="s">
        <v>79</v>
      </c>
      <c r="D43" s="63" t="s">
        <v>52</v>
      </c>
      <c r="E43" s="75">
        <v>1</v>
      </c>
      <c r="F43" s="64">
        <f>G53</f>
        <v>155.03</v>
      </c>
      <c r="G43" s="64">
        <f aca="true" t="shared" si="2" ref="G43:G52">TRUNC(E43*F43,2)</f>
        <v>155.03</v>
      </c>
      <c r="H43" s="64"/>
      <c r="I43" s="65"/>
    </row>
    <row r="44" spans="1:9" s="10" customFormat="1" ht="18.75">
      <c r="A44" s="108"/>
      <c r="B44" s="66" t="s">
        <v>80</v>
      </c>
      <c r="C44" s="67" t="s">
        <v>81</v>
      </c>
      <c r="D44" s="63" t="s">
        <v>3</v>
      </c>
      <c r="E44" s="75">
        <v>5</v>
      </c>
      <c r="F44" s="64">
        <f>TRUNC(0.05,2)</f>
        <v>0.05</v>
      </c>
      <c r="G44" s="64">
        <f t="shared" si="2"/>
        <v>0.25</v>
      </c>
      <c r="H44" s="64"/>
      <c r="I44" s="65"/>
    </row>
    <row r="45" spans="1:9" s="10" customFormat="1" ht="18.75">
      <c r="A45" s="108"/>
      <c r="B45" s="66" t="s">
        <v>82</v>
      </c>
      <c r="C45" s="67" t="s">
        <v>83</v>
      </c>
      <c r="D45" s="63" t="s">
        <v>3</v>
      </c>
      <c r="E45" s="75">
        <v>2</v>
      </c>
      <c r="F45" s="64">
        <f>TRUNC(0.0518,2)</f>
        <v>0.05</v>
      </c>
      <c r="G45" s="64">
        <f t="shared" si="2"/>
        <v>0.1</v>
      </c>
      <c r="H45" s="64"/>
      <c r="I45" s="65"/>
    </row>
    <row r="46" spans="1:9" s="10" customFormat="1" ht="18.75">
      <c r="A46" s="108"/>
      <c r="B46" s="66" t="s">
        <v>84</v>
      </c>
      <c r="C46" s="67" t="s">
        <v>85</v>
      </c>
      <c r="D46" s="63" t="s">
        <v>3</v>
      </c>
      <c r="E46" s="75">
        <v>1</v>
      </c>
      <c r="F46" s="64">
        <f>TRUNC(9.57,2)</f>
        <v>9.57</v>
      </c>
      <c r="G46" s="64">
        <f t="shared" si="2"/>
        <v>9.57</v>
      </c>
      <c r="H46" s="64"/>
      <c r="I46" s="65"/>
    </row>
    <row r="47" spans="1:9" s="10" customFormat="1" ht="18.75">
      <c r="A47" s="108"/>
      <c r="B47" s="66" t="s">
        <v>86</v>
      </c>
      <c r="C47" s="67" t="s">
        <v>87</v>
      </c>
      <c r="D47" s="63" t="s">
        <v>63</v>
      </c>
      <c r="E47" s="75">
        <v>0.1</v>
      </c>
      <c r="F47" s="64">
        <f>TRUNC(15.94,2)</f>
        <v>15.94</v>
      </c>
      <c r="G47" s="64">
        <f t="shared" si="2"/>
        <v>1.59</v>
      </c>
      <c r="H47" s="64"/>
      <c r="I47" s="65"/>
    </row>
    <row r="48" spans="1:9" s="10" customFormat="1" ht="18.75">
      <c r="A48" s="108"/>
      <c r="B48" s="66" t="s">
        <v>88</v>
      </c>
      <c r="C48" s="67" t="s">
        <v>89</v>
      </c>
      <c r="D48" s="63" t="s">
        <v>63</v>
      </c>
      <c r="E48" s="75">
        <v>0.09</v>
      </c>
      <c r="F48" s="64">
        <f>TRUNC(58.17,2)</f>
        <v>58.17</v>
      </c>
      <c r="G48" s="64">
        <f t="shared" si="2"/>
        <v>5.23</v>
      </c>
      <c r="H48" s="64"/>
      <c r="I48" s="65"/>
    </row>
    <row r="49" spans="1:9" s="10" customFormat="1" ht="30">
      <c r="A49" s="108"/>
      <c r="B49" s="66" t="s">
        <v>90</v>
      </c>
      <c r="C49" s="67" t="s">
        <v>91</v>
      </c>
      <c r="D49" s="63" t="s">
        <v>63</v>
      </c>
      <c r="E49" s="75">
        <v>3.1</v>
      </c>
      <c r="F49" s="64">
        <f>TRUNC(20.0865,2)</f>
        <v>20.08</v>
      </c>
      <c r="G49" s="64">
        <f t="shared" si="2"/>
        <v>62.24</v>
      </c>
      <c r="H49" s="64"/>
      <c r="I49" s="65"/>
    </row>
    <row r="50" spans="1:9" s="10" customFormat="1" ht="18.75">
      <c r="A50" s="108"/>
      <c r="B50" s="66" t="s">
        <v>61</v>
      </c>
      <c r="C50" s="67" t="s">
        <v>62</v>
      </c>
      <c r="D50" s="63" t="s">
        <v>1</v>
      </c>
      <c r="E50" s="75">
        <v>1.751</v>
      </c>
      <c r="F50" s="64">
        <f>TRUNC(16.55,2)</f>
        <v>16.55</v>
      </c>
      <c r="G50" s="64">
        <f t="shared" si="2"/>
        <v>28.97</v>
      </c>
      <c r="H50" s="64"/>
      <c r="I50" s="65"/>
    </row>
    <row r="51" spans="1:9" s="10" customFormat="1" ht="18.75">
      <c r="A51" s="108"/>
      <c r="B51" s="66" t="s">
        <v>92</v>
      </c>
      <c r="C51" s="67" t="s">
        <v>93</v>
      </c>
      <c r="D51" s="63" t="s">
        <v>1</v>
      </c>
      <c r="E51" s="75">
        <v>1.03</v>
      </c>
      <c r="F51" s="64">
        <f>TRUNC(22.86,2)</f>
        <v>22.86</v>
      </c>
      <c r="G51" s="64">
        <f t="shared" si="2"/>
        <v>23.54</v>
      </c>
      <c r="H51" s="64"/>
      <c r="I51" s="65"/>
    </row>
    <row r="52" spans="1:9" s="10" customFormat="1" ht="18.75">
      <c r="A52" s="108"/>
      <c r="B52" s="66" t="s">
        <v>94</v>
      </c>
      <c r="C52" s="67" t="s">
        <v>95</v>
      </c>
      <c r="D52" s="63" t="s">
        <v>1</v>
      </c>
      <c r="E52" s="75">
        <v>1.03</v>
      </c>
      <c r="F52" s="64">
        <f>TRUNC(22.86,2)</f>
        <v>22.86</v>
      </c>
      <c r="G52" s="64">
        <f t="shared" si="2"/>
        <v>23.54</v>
      </c>
      <c r="H52" s="64"/>
      <c r="I52" s="65"/>
    </row>
    <row r="53" spans="1:9" s="10" customFormat="1" ht="18.75">
      <c r="A53" s="108"/>
      <c r="B53" s="66"/>
      <c r="C53" s="67"/>
      <c r="D53" s="63"/>
      <c r="E53" s="59" t="s">
        <v>2</v>
      </c>
      <c r="F53" s="60"/>
      <c r="G53" s="60">
        <f>TRUNC(SUM(G44:G52),2)</f>
        <v>155.03</v>
      </c>
      <c r="H53" s="64"/>
      <c r="I53" s="65"/>
    </row>
    <row r="54" spans="1:9" s="10" customFormat="1" ht="31.5">
      <c r="A54" s="73" t="s">
        <v>167</v>
      </c>
      <c r="B54" s="71" t="s">
        <v>96</v>
      </c>
      <c r="C54" s="85" t="s">
        <v>97</v>
      </c>
      <c r="D54" s="73" t="s">
        <v>52</v>
      </c>
      <c r="E54" s="74">
        <v>114</v>
      </c>
      <c r="F54" s="84">
        <f>TRUNC(F55,2)</f>
        <v>85.77</v>
      </c>
      <c r="G54" s="70">
        <f>TRUNC(F54*1.2247,2)</f>
        <v>105.04</v>
      </c>
      <c r="H54" s="70">
        <f>TRUNC((E54*F54),2)</f>
        <v>9777.78</v>
      </c>
      <c r="I54" s="70">
        <f>TRUNC((E54*G54),2)</f>
        <v>11974.56</v>
      </c>
    </row>
    <row r="55" spans="1:9" s="10" customFormat="1" ht="30">
      <c r="A55" s="108"/>
      <c r="B55" s="66" t="s">
        <v>96</v>
      </c>
      <c r="C55" s="67" t="s">
        <v>97</v>
      </c>
      <c r="D55" s="63" t="s">
        <v>52</v>
      </c>
      <c r="E55" s="75">
        <v>1</v>
      </c>
      <c r="F55" s="64">
        <f>G62</f>
        <v>85.77</v>
      </c>
      <c r="G55" s="64">
        <f aca="true" t="shared" si="3" ref="G55:G61">TRUNC(E55*F55,2)</f>
        <v>85.77</v>
      </c>
      <c r="H55" s="64"/>
      <c r="I55" s="65"/>
    </row>
    <row r="56" spans="1:9" s="10" customFormat="1" ht="18.75">
      <c r="A56" s="108"/>
      <c r="B56" s="66" t="s">
        <v>98</v>
      </c>
      <c r="C56" s="67" t="s">
        <v>99</v>
      </c>
      <c r="D56" s="63" t="s">
        <v>3</v>
      </c>
      <c r="E56" s="75">
        <v>0.037</v>
      </c>
      <c r="F56" s="64">
        <f>TRUNC(1.72,2)</f>
        <v>1.72</v>
      </c>
      <c r="G56" s="64">
        <f t="shared" si="3"/>
        <v>0.06</v>
      </c>
      <c r="H56" s="64"/>
      <c r="I56" s="65"/>
    </row>
    <row r="57" spans="1:9" s="10" customFormat="1" ht="18.75">
      <c r="A57" s="108"/>
      <c r="B57" s="66" t="s">
        <v>104</v>
      </c>
      <c r="C57" s="67" t="s">
        <v>105</v>
      </c>
      <c r="D57" s="63" t="s">
        <v>3</v>
      </c>
      <c r="E57" s="75">
        <v>0.0102</v>
      </c>
      <c r="F57" s="64">
        <f>TRUNC(60.64,2)</f>
        <v>60.64</v>
      </c>
      <c r="G57" s="64">
        <f t="shared" si="3"/>
        <v>0.61</v>
      </c>
      <c r="H57" s="64"/>
      <c r="I57" s="65"/>
    </row>
    <row r="58" spans="1:9" s="10" customFormat="1" ht="18.75">
      <c r="A58" s="108"/>
      <c r="B58" s="66" t="s">
        <v>100</v>
      </c>
      <c r="C58" s="67" t="s">
        <v>101</v>
      </c>
      <c r="D58" s="63" t="s">
        <v>52</v>
      </c>
      <c r="E58" s="75">
        <v>1.04</v>
      </c>
      <c r="F58" s="64">
        <f>TRUNC(72.43,2)</f>
        <v>72.43</v>
      </c>
      <c r="G58" s="64">
        <f t="shared" si="3"/>
        <v>75.32</v>
      </c>
      <c r="H58" s="64"/>
      <c r="I58" s="65"/>
    </row>
    <row r="59" spans="1:9" s="10" customFormat="1" ht="18.75">
      <c r="A59" s="108"/>
      <c r="B59" s="66" t="s">
        <v>102</v>
      </c>
      <c r="C59" s="67" t="s">
        <v>103</v>
      </c>
      <c r="D59" s="63" t="s">
        <v>3</v>
      </c>
      <c r="E59" s="75">
        <v>0.0062</v>
      </c>
      <c r="F59" s="64">
        <f>TRUNC(69.83,2)</f>
        <v>69.83</v>
      </c>
      <c r="G59" s="64">
        <f t="shared" si="3"/>
        <v>0.43</v>
      </c>
      <c r="H59" s="64"/>
      <c r="I59" s="65"/>
    </row>
    <row r="60" spans="1:9" s="10" customFormat="1" ht="18.75">
      <c r="A60" s="108"/>
      <c r="B60" s="66" t="s">
        <v>106</v>
      </c>
      <c r="C60" s="67" t="s">
        <v>107</v>
      </c>
      <c r="D60" s="63" t="s">
        <v>1</v>
      </c>
      <c r="E60" s="75">
        <v>0.18</v>
      </c>
      <c r="F60" s="64">
        <f>TRUNC(29.32,2)</f>
        <v>29.32</v>
      </c>
      <c r="G60" s="64">
        <f t="shared" si="3"/>
        <v>5.27</v>
      </c>
      <c r="H60" s="64"/>
      <c r="I60" s="65"/>
    </row>
    <row r="61" spans="1:9" s="10" customFormat="1" ht="18.75">
      <c r="A61" s="108"/>
      <c r="B61" s="66" t="s">
        <v>108</v>
      </c>
      <c r="C61" s="67" t="s">
        <v>109</v>
      </c>
      <c r="D61" s="63" t="s">
        <v>1</v>
      </c>
      <c r="E61" s="75">
        <v>0.18</v>
      </c>
      <c r="F61" s="64">
        <f>TRUNC(22.69,2)</f>
        <v>22.69</v>
      </c>
      <c r="G61" s="64">
        <f t="shared" si="3"/>
        <v>4.08</v>
      </c>
      <c r="H61" s="64"/>
      <c r="I61" s="65"/>
    </row>
    <row r="62" spans="1:9" s="10" customFormat="1" ht="18.75">
      <c r="A62" s="108"/>
      <c r="B62" s="66"/>
      <c r="C62" s="67"/>
      <c r="D62" s="63"/>
      <c r="E62" s="59" t="s">
        <v>2</v>
      </c>
      <c r="F62" s="60"/>
      <c r="G62" s="60">
        <f>TRUNC(SUM(G56:G61),2)</f>
        <v>85.77</v>
      </c>
      <c r="H62" s="64"/>
      <c r="I62" s="65"/>
    </row>
    <row r="63" spans="1:9" s="10" customFormat="1" ht="31.5">
      <c r="A63" s="73" t="s">
        <v>169</v>
      </c>
      <c r="B63" s="107" t="s">
        <v>164</v>
      </c>
      <c r="C63" s="85" t="s">
        <v>157</v>
      </c>
      <c r="D63" s="73" t="s">
        <v>3</v>
      </c>
      <c r="E63" s="74">
        <v>16</v>
      </c>
      <c r="F63" s="84">
        <f>TRUNC(F64,2)</f>
        <v>58.61</v>
      </c>
      <c r="G63" s="70">
        <f>TRUNC(F63*1.2247,2)</f>
        <v>71.77</v>
      </c>
      <c r="H63" s="70">
        <f>TRUNC((E63*F63),2)</f>
        <v>937.76</v>
      </c>
      <c r="I63" s="70">
        <f>TRUNC((E63*G63),2)</f>
        <v>1148.32</v>
      </c>
    </row>
    <row r="64" spans="1:9" s="10" customFormat="1" ht="30">
      <c r="A64" s="86"/>
      <c r="B64" s="66" t="s">
        <v>156</v>
      </c>
      <c r="C64" s="67" t="s">
        <v>157</v>
      </c>
      <c r="D64" s="63" t="s">
        <v>3</v>
      </c>
      <c r="E64" s="75">
        <v>1</v>
      </c>
      <c r="F64" s="64">
        <f>G70</f>
        <v>58.61</v>
      </c>
      <c r="G64" s="64">
        <f aca="true" t="shared" si="4" ref="G64:G69">TRUNC(E64*F64,2)</f>
        <v>58.61</v>
      </c>
      <c r="H64" s="64"/>
      <c r="I64" s="65"/>
    </row>
    <row r="65" spans="1:9" s="10" customFormat="1" ht="18.75">
      <c r="A65" s="86"/>
      <c r="B65" s="66" t="s">
        <v>162</v>
      </c>
      <c r="C65" s="67" t="s">
        <v>163</v>
      </c>
      <c r="D65" s="63" t="s">
        <v>3</v>
      </c>
      <c r="E65" s="75">
        <v>1</v>
      </c>
      <c r="F65" s="64">
        <v>47.19</v>
      </c>
      <c r="G65" s="64">
        <f t="shared" si="4"/>
        <v>47.19</v>
      </c>
      <c r="H65" s="64"/>
      <c r="I65" s="65"/>
    </row>
    <row r="66" spans="1:9" s="10" customFormat="1" ht="30">
      <c r="A66" s="86"/>
      <c r="B66" s="66" t="s">
        <v>158</v>
      </c>
      <c r="C66" s="67" t="s">
        <v>159</v>
      </c>
      <c r="D66" s="63" t="s">
        <v>3</v>
      </c>
      <c r="E66" s="75">
        <v>0.046</v>
      </c>
      <c r="F66" s="64">
        <f>TRUNC(25.56,2)</f>
        <v>25.56</v>
      </c>
      <c r="G66" s="64">
        <f t="shared" si="4"/>
        <v>1.17</v>
      </c>
      <c r="H66" s="64"/>
      <c r="I66" s="65"/>
    </row>
    <row r="67" spans="1:9" s="10" customFormat="1" ht="18.75">
      <c r="A67" s="86"/>
      <c r="B67" s="66" t="s">
        <v>160</v>
      </c>
      <c r="C67" s="67" t="s">
        <v>161</v>
      </c>
      <c r="D67" s="63" t="s">
        <v>3</v>
      </c>
      <c r="E67" s="75">
        <v>1</v>
      </c>
      <c r="F67" s="64">
        <f>TRUNC(2.98,2)</f>
        <v>2.98</v>
      </c>
      <c r="G67" s="64">
        <f t="shared" si="4"/>
        <v>2.98</v>
      </c>
      <c r="H67" s="64"/>
      <c r="I67" s="65"/>
    </row>
    <row r="68" spans="1:9" s="10" customFormat="1" ht="18.75">
      <c r="A68" s="86"/>
      <c r="B68" s="66" t="s">
        <v>106</v>
      </c>
      <c r="C68" s="67" t="s">
        <v>107</v>
      </c>
      <c r="D68" s="63" t="s">
        <v>1</v>
      </c>
      <c r="E68" s="75">
        <v>0.14</v>
      </c>
      <c r="F68" s="64">
        <f>TRUNC(29.32,2)</f>
        <v>29.32</v>
      </c>
      <c r="G68" s="64">
        <f t="shared" si="4"/>
        <v>4.1</v>
      </c>
      <c r="H68" s="64"/>
      <c r="I68" s="65"/>
    </row>
    <row r="69" spans="1:9" s="10" customFormat="1" ht="18.75">
      <c r="A69" s="86"/>
      <c r="B69" s="66" t="s">
        <v>108</v>
      </c>
      <c r="C69" s="67" t="s">
        <v>109</v>
      </c>
      <c r="D69" s="63" t="s">
        <v>1</v>
      </c>
      <c r="E69" s="75">
        <v>0.14</v>
      </c>
      <c r="F69" s="64">
        <f>TRUNC(22.69,2)</f>
        <v>22.69</v>
      </c>
      <c r="G69" s="64">
        <f t="shared" si="4"/>
        <v>3.17</v>
      </c>
      <c r="H69" s="64"/>
      <c r="I69" s="65"/>
    </row>
    <row r="70" spans="1:9" s="10" customFormat="1" ht="18.75">
      <c r="A70" s="86"/>
      <c r="B70" s="66"/>
      <c r="C70" s="67"/>
      <c r="D70" s="63"/>
      <c r="E70" s="59" t="s">
        <v>2</v>
      </c>
      <c r="F70" s="60"/>
      <c r="G70" s="60">
        <f>TRUNC(SUM(G65:G69),2)</f>
        <v>58.61</v>
      </c>
      <c r="H70" s="64"/>
      <c r="I70" s="65"/>
    </row>
    <row r="71" spans="1:9" s="10" customFormat="1" ht="18.75">
      <c r="A71" s="73" t="s">
        <v>170</v>
      </c>
      <c r="B71" s="71" t="s">
        <v>205</v>
      </c>
      <c r="C71" s="85" t="s">
        <v>209</v>
      </c>
      <c r="D71" s="73" t="s">
        <v>0</v>
      </c>
      <c r="E71" s="74">
        <v>167.2</v>
      </c>
      <c r="F71" s="84">
        <f>TRUNC(F72,2)</f>
        <v>70.36</v>
      </c>
      <c r="G71" s="70">
        <f>TRUNC(F71*1.2247,2)</f>
        <v>86.16</v>
      </c>
      <c r="H71" s="70">
        <f>TRUNC((E71*F71),2)</f>
        <v>11764.19</v>
      </c>
      <c r="I71" s="70">
        <f>TRUNC((E71*G71),2)</f>
        <v>14405.95</v>
      </c>
    </row>
    <row r="72" spans="1:9" s="10" customFormat="1" ht="18.75">
      <c r="A72" s="86"/>
      <c r="B72" s="66" t="s">
        <v>205</v>
      </c>
      <c r="C72" s="67" t="s">
        <v>206</v>
      </c>
      <c r="D72" s="63" t="s">
        <v>0</v>
      </c>
      <c r="E72" s="75">
        <v>1</v>
      </c>
      <c r="F72" s="64">
        <f>G75</f>
        <v>70.36</v>
      </c>
      <c r="G72" s="64">
        <f>TRUNC(E72*F72,2)</f>
        <v>70.36</v>
      </c>
      <c r="H72" s="64"/>
      <c r="I72" s="65"/>
    </row>
    <row r="73" spans="1:9" s="10" customFormat="1" ht="18.75">
      <c r="A73" s="86"/>
      <c r="B73" s="66" t="s">
        <v>207</v>
      </c>
      <c r="C73" s="67" t="s">
        <v>208</v>
      </c>
      <c r="D73" s="63" t="s">
        <v>0</v>
      </c>
      <c r="E73" s="75">
        <v>1</v>
      </c>
      <c r="F73" s="64">
        <v>29.78</v>
      </c>
      <c r="G73" s="64">
        <f>TRUNC(E73*F73,2)</f>
        <v>29.78</v>
      </c>
      <c r="H73" s="64"/>
      <c r="I73" s="65"/>
    </row>
    <row r="74" spans="1:9" s="10" customFormat="1" ht="18.75">
      <c r="A74" s="86"/>
      <c r="B74" s="66" t="s">
        <v>184</v>
      </c>
      <c r="C74" s="67" t="s">
        <v>185</v>
      </c>
      <c r="D74" s="63" t="s">
        <v>1</v>
      </c>
      <c r="E74" s="75">
        <v>2.83</v>
      </c>
      <c r="F74" s="64">
        <v>14.34</v>
      </c>
      <c r="G74" s="64">
        <f>TRUNC(E74*F74,2)</f>
        <v>40.58</v>
      </c>
      <c r="H74" s="64"/>
      <c r="I74" s="65"/>
    </row>
    <row r="75" spans="1:9" s="10" customFormat="1" ht="18.75">
      <c r="A75" s="86"/>
      <c r="B75" s="66"/>
      <c r="C75" s="67"/>
      <c r="D75" s="63"/>
      <c r="E75" s="59" t="s">
        <v>2</v>
      </c>
      <c r="F75" s="60"/>
      <c r="G75" s="60">
        <f>TRUNC(SUM(G73:G74),2)</f>
        <v>70.36</v>
      </c>
      <c r="H75" s="64"/>
      <c r="I75" s="65"/>
    </row>
    <row r="76" spans="1:9" s="10" customFormat="1" ht="18.75">
      <c r="A76" s="96" t="s">
        <v>189</v>
      </c>
      <c r="B76" s="97"/>
      <c r="C76" s="111" t="s">
        <v>168</v>
      </c>
      <c r="D76" s="96"/>
      <c r="E76" s="109"/>
      <c r="F76" s="110"/>
      <c r="G76" s="110"/>
      <c r="H76" s="110">
        <f>H63+H54+H42+H35+H26+H14</f>
        <v>319036.21</v>
      </c>
      <c r="I76" s="110">
        <f>I63+I54+I42+I35+I26+I14+I71</f>
        <v>405115.24</v>
      </c>
    </row>
    <row r="77" spans="1:9" s="10" customFormat="1" ht="18.75">
      <c r="A77" s="106" t="s">
        <v>172</v>
      </c>
      <c r="B77" s="101"/>
      <c r="C77" s="104" t="s">
        <v>110</v>
      </c>
      <c r="D77" s="100"/>
      <c r="E77" s="102"/>
      <c r="F77" s="103"/>
      <c r="G77" s="103"/>
      <c r="H77" s="103"/>
      <c r="I77" s="103"/>
    </row>
    <row r="78" spans="1:9" s="10" customFormat="1" ht="31.5">
      <c r="A78" s="73" t="s">
        <v>173</v>
      </c>
      <c r="B78" s="71" t="s">
        <v>119</v>
      </c>
      <c r="C78" s="85" t="s">
        <v>120</v>
      </c>
      <c r="D78" s="73" t="s">
        <v>52</v>
      </c>
      <c r="E78" s="74">
        <v>45</v>
      </c>
      <c r="F78" s="84">
        <f>TRUNC(F79,2)</f>
        <v>7.43</v>
      </c>
      <c r="G78" s="70">
        <f>TRUNC(F78*1.2247,2)</f>
        <v>9.09</v>
      </c>
      <c r="H78" s="70">
        <f>TRUNC((E78*F78),2)</f>
        <v>334.35</v>
      </c>
      <c r="I78" s="70">
        <f>TRUNC((E78*G78),2)</f>
        <v>409.05</v>
      </c>
    </row>
    <row r="79" spans="1:9" s="10" customFormat="1" ht="30">
      <c r="A79" s="86"/>
      <c r="B79" s="66" t="s">
        <v>119</v>
      </c>
      <c r="C79" s="67" t="s">
        <v>120</v>
      </c>
      <c r="D79" s="63" t="s">
        <v>52</v>
      </c>
      <c r="E79" s="75">
        <v>1</v>
      </c>
      <c r="F79" s="64">
        <f>G84</f>
        <v>7.43</v>
      </c>
      <c r="G79" s="64">
        <f>TRUNC(E79*F79,2)</f>
        <v>7.43</v>
      </c>
      <c r="H79" s="64"/>
      <c r="I79" s="65"/>
    </row>
    <row r="80" spans="1:9" s="10" customFormat="1" ht="18.75">
      <c r="A80" s="86"/>
      <c r="B80" s="66" t="s">
        <v>121</v>
      </c>
      <c r="C80" s="67" t="s">
        <v>67</v>
      </c>
      <c r="D80" s="63" t="s">
        <v>63</v>
      </c>
      <c r="E80" s="75">
        <v>0.0016</v>
      </c>
      <c r="F80" s="64">
        <f>TRUNC(18.6,2)</f>
        <v>18.6</v>
      </c>
      <c r="G80" s="64">
        <f>TRUNC(E80*F80,2)</f>
        <v>0.02</v>
      </c>
      <c r="H80" s="64"/>
      <c r="I80" s="65"/>
    </row>
    <row r="81" spans="1:9" s="10" customFormat="1" ht="18.75">
      <c r="A81" s="86"/>
      <c r="B81" s="66" t="s">
        <v>122</v>
      </c>
      <c r="C81" s="67" t="s">
        <v>123</v>
      </c>
      <c r="D81" s="63" t="s">
        <v>52</v>
      </c>
      <c r="E81" s="75">
        <v>1.017</v>
      </c>
      <c r="F81" s="64">
        <f>TRUNC(2.85,2)</f>
        <v>2.85</v>
      </c>
      <c r="G81" s="64">
        <f>TRUNC(E81*F81,2)</f>
        <v>2.89</v>
      </c>
      <c r="H81" s="64"/>
      <c r="I81" s="65"/>
    </row>
    <row r="82" spans="1:9" s="10" customFormat="1" ht="18.75">
      <c r="A82" s="86"/>
      <c r="B82" s="66" t="s">
        <v>124</v>
      </c>
      <c r="C82" s="67" t="s">
        <v>125</v>
      </c>
      <c r="D82" s="63" t="s">
        <v>1</v>
      </c>
      <c r="E82" s="75">
        <v>0.085</v>
      </c>
      <c r="F82" s="64">
        <f>TRUNC(30.08,2)</f>
        <v>30.08</v>
      </c>
      <c r="G82" s="64">
        <f>TRUNC(E82*F82,2)</f>
        <v>2.55</v>
      </c>
      <c r="H82" s="64"/>
      <c r="I82" s="65"/>
    </row>
    <row r="83" spans="1:9" s="10" customFormat="1" ht="18.75">
      <c r="A83" s="86"/>
      <c r="B83" s="66" t="s">
        <v>126</v>
      </c>
      <c r="C83" s="67" t="s">
        <v>127</v>
      </c>
      <c r="D83" s="63" t="s">
        <v>1</v>
      </c>
      <c r="E83" s="75">
        <v>0.085</v>
      </c>
      <c r="F83" s="64">
        <f>TRUNC(23.24,2)</f>
        <v>23.24</v>
      </c>
      <c r="G83" s="64">
        <f>TRUNC(E83*F83,2)</f>
        <v>1.97</v>
      </c>
      <c r="H83" s="64"/>
      <c r="I83" s="65"/>
    </row>
    <row r="84" spans="1:9" s="10" customFormat="1" ht="18.75">
      <c r="A84" s="86"/>
      <c r="B84" s="66"/>
      <c r="C84" s="67"/>
      <c r="D84" s="63"/>
      <c r="E84" s="59" t="s">
        <v>2</v>
      </c>
      <c r="F84" s="60"/>
      <c r="G84" s="60">
        <f>TRUNC(SUM(G80:G83),2)</f>
        <v>7.43</v>
      </c>
      <c r="H84" s="64"/>
      <c r="I84" s="65"/>
    </row>
    <row r="85" spans="1:9" s="10" customFormat="1" ht="47.25">
      <c r="A85" s="73" t="s">
        <v>174</v>
      </c>
      <c r="B85" s="71" t="s">
        <v>111</v>
      </c>
      <c r="C85" s="85" t="s">
        <v>112</v>
      </c>
      <c r="D85" s="73" t="s">
        <v>52</v>
      </c>
      <c r="E85" s="74">
        <v>150</v>
      </c>
      <c r="F85" s="84">
        <f>TRUNC(F86,2)</f>
        <v>3.61</v>
      </c>
      <c r="G85" s="70">
        <f>TRUNC(F85*1.2247,2)</f>
        <v>4.42</v>
      </c>
      <c r="H85" s="70">
        <f>TRUNC((E85*F85),2)</f>
        <v>541.5</v>
      </c>
      <c r="I85" s="70">
        <f>TRUNC((E85*G85),2)</f>
        <v>663</v>
      </c>
    </row>
    <row r="86" spans="1:9" s="10" customFormat="1" ht="45">
      <c r="A86" s="86"/>
      <c r="B86" s="66" t="s">
        <v>111</v>
      </c>
      <c r="C86" s="67" t="s">
        <v>112</v>
      </c>
      <c r="D86" s="63" t="s">
        <v>52</v>
      </c>
      <c r="E86" s="75">
        <v>1</v>
      </c>
      <c r="F86" s="64">
        <f>G91</f>
        <v>3.61</v>
      </c>
      <c r="G86" s="64">
        <f>TRUNC(E86*F86,2)</f>
        <v>3.61</v>
      </c>
      <c r="H86" s="64"/>
      <c r="I86" s="65"/>
    </row>
    <row r="87" spans="1:9" s="10" customFormat="1" ht="18.75">
      <c r="A87" s="86"/>
      <c r="B87" s="66" t="s">
        <v>113</v>
      </c>
      <c r="C87" s="67" t="s">
        <v>114</v>
      </c>
      <c r="D87" s="63" t="s">
        <v>52</v>
      </c>
      <c r="E87" s="75">
        <v>1</v>
      </c>
      <c r="F87" s="64">
        <f>TRUNC(1.5962,2)</f>
        <v>1.59</v>
      </c>
      <c r="G87" s="64">
        <f>TRUNC(E87*F87,2)</f>
        <v>1.59</v>
      </c>
      <c r="H87" s="64"/>
      <c r="I87" s="65"/>
    </row>
    <row r="88" spans="1:9" s="10" customFormat="1" ht="18.75">
      <c r="A88" s="86"/>
      <c r="B88" s="66" t="s">
        <v>115</v>
      </c>
      <c r="C88" s="67" t="s">
        <v>116</v>
      </c>
      <c r="D88" s="63" t="s">
        <v>3</v>
      </c>
      <c r="E88" s="75">
        <v>0.0014</v>
      </c>
      <c r="F88" s="64">
        <f>TRUNC(4.22,2)</f>
        <v>4.22</v>
      </c>
      <c r="G88" s="64">
        <f>TRUNC(E88*F88,2)</f>
        <v>0</v>
      </c>
      <c r="H88" s="64"/>
      <c r="I88" s="65"/>
    </row>
    <row r="89" spans="1:9" s="10" customFormat="1" ht="18.75">
      <c r="A89" s="86"/>
      <c r="B89" s="66" t="s">
        <v>61</v>
      </c>
      <c r="C89" s="67" t="s">
        <v>62</v>
      </c>
      <c r="D89" s="63" t="s">
        <v>1</v>
      </c>
      <c r="E89" s="75">
        <v>0.051500000000000004</v>
      </c>
      <c r="F89" s="64">
        <f>TRUNC(16.55,2)</f>
        <v>16.55</v>
      </c>
      <c r="G89" s="64">
        <f>TRUNC(E89*F89,2)</f>
        <v>0.85</v>
      </c>
      <c r="H89" s="64"/>
      <c r="I89" s="65"/>
    </row>
    <row r="90" spans="1:9" s="10" customFormat="1" ht="18.75">
      <c r="A90" s="86"/>
      <c r="B90" s="66" t="s">
        <v>117</v>
      </c>
      <c r="C90" s="67" t="s">
        <v>118</v>
      </c>
      <c r="D90" s="63" t="s">
        <v>1</v>
      </c>
      <c r="E90" s="75">
        <v>0.051500000000000004</v>
      </c>
      <c r="F90" s="64">
        <f>TRUNC(22.86,2)</f>
        <v>22.86</v>
      </c>
      <c r="G90" s="64">
        <f>TRUNC(E90*F90,2)</f>
        <v>1.17</v>
      </c>
      <c r="H90" s="64"/>
      <c r="I90" s="65"/>
    </row>
    <row r="91" spans="1:9" s="10" customFormat="1" ht="18.75">
      <c r="A91" s="86"/>
      <c r="B91" s="66"/>
      <c r="C91" s="67"/>
      <c r="D91" s="63"/>
      <c r="E91" s="59" t="s">
        <v>2</v>
      </c>
      <c r="F91" s="60"/>
      <c r="G91" s="60">
        <f>TRUNC(SUM(G87:G90),2)</f>
        <v>3.61</v>
      </c>
      <c r="H91" s="64"/>
      <c r="I91" s="65"/>
    </row>
    <row r="92" spans="1:9" s="10" customFormat="1" ht="18.75">
      <c r="A92" s="96" t="s">
        <v>189</v>
      </c>
      <c r="B92" s="97"/>
      <c r="C92" s="111" t="s">
        <v>175</v>
      </c>
      <c r="D92" s="96"/>
      <c r="E92" s="109"/>
      <c r="F92" s="110"/>
      <c r="G92" s="110"/>
      <c r="H92" s="110">
        <f>H85+H78</f>
        <v>875.85</v>
      </c>
      <c r="I92" s="110">
        <f>I85+I78</f>
        <v>1072.05</v>
      </c>
    </row>
    <row r="93" spans="1:9" s="10" customFormat="1" ht="16.5" customHeight="1">
      <c r="A93" s="112" t="s">
        <v>176</v>
      </c>
      <c r="B93" s="97"/>
      <c r="C93" s="105" t="s">
        <v>128</v>
      </c>
      <c r="D93" s="96"/>
      <c r="E93" s="98"/>
      <c r="F93" s="99"/>
      <c r="G93" s="99"/>
      <c r="H93" s="99"/>
      <c r="I93" s="99"/>
    </row>
    <row r="94" spans="1:9" s="10" customFormat="1" ht="47.25">
      <c r="A94" s="73" t="s">
        <v>177</v>
      </c>
      <c r="B94" s="71" t="s">
        <v>129</v>
      </c>
      <c r="C94" s="85" t="s">
        <v>130</v>
      </c>
      <c r="D94" s="73" t="s">
        <v>131</v>
      </c>
      <c r="E94" s="74">
        <f>135.51</f>
        <v>135.51</v>
      </c>
      <c r="F94" s="84">
        <f>TRUNC(F95,2)</f>
        <v>353.64</v>
      </c>
      <c r="G94" s="70">
        <f>TRUNC(F94*1.2302,2)</f>
        <v>435.04</v>
      </c>
      <c r="H94" s="70">
        <f>TRUNC((E94*F94),2)</f>
        <v>47921.75</v>
      </c>
      <c r="I94" s="70">
        <f>TRUNC((E94*G94),2)</f>
        <v>58952.27</v>
      </c>
    </row>
    <row r="95" spans="1:9" s="10" customFormat="1" ht="45">
      <c r="A95" s="86"/>
      <c r="B95" s="66" t="s">
        <v>129</v>
      </c>
      <c r="C95" s="67" t="s">
        <v>130</v>
      </c>
      <c r="D95" s="63" t="s">
        <v>131</v>
      </c>
      <c r="E95" s="75">
        <v>1</v>
      </c>
      <c r="F95" s="64">
        <f>G103</f>
        <v>353.64</v>
      </c>
      <c r="G95" s="64">
        <f aca="true" t="shared" si="5" ref="G95:G102">TRUNC(E95*F95,2)</f>
        <v>353.64</v>
      </c>
      <c r="H95" s="64"/>
      <c r="I95" s="65"/>
    </row>
    <row r="96" spans="1:9" s="10" customFormat="1" ht="18.75">
      <c r="A96" s="86"/>
      <c r="B96" s="66" t="s">
        <v>61</v>
      </c>
      <c r="C96" s="67" t="s">
        <v>62</v>
      </c>
      <c r="D96" s="63" t="s">
        <v>1</v>
      </c>
      <c r="E96" s="75">
        <v>4.12</v>
      </c>
      <c r="F96" s="64">
        <f>TRUNC(16.55,2)</f>
        <v>16.55</v>
      </c>
      <c r="G96" s="64">
        <f t="shared" si="5"/>
        <v>68.18</v>
      </c>
      <c r="H96" s="64"/>
      <c r="I96" s="65"/>
    </row>
    <row r="97" spans="1:9" s="10" customFormat="1" ht="18.75">
      <c r="A97" s="86"/>
      <c r="B97" s="66" t="s">
        <v>132</v>
      </c>
      <c r="C97" s="67" t="s">
        <v>133</v>
      </c>
      <c r="D97" s="63" t="s">
        <v>1</v>
      </c>
      <c r="E97" s="75">
        <v>4.12</v>
      </c>
      <c r="F97" s="64">
        <f>TRUNC(22.86,2)</f>
        <v>22.86</v>
      </c>
      <c r="G97" s="64">
        <f t="shared" si="5"/>
        <v>94.18</v>
      </c>
      <c r="H97" s="64"/>
      <c r="I97" s="65"/>
    </row>
    <row r="98" spans="1:9" s="10" customFormat="1" ht="18.75">
      <c r="A98" s="86"/>
      <c r="B98" s="66" t="s">
        <v>134</v>
      </c>
      <c r="C98" s="67" t="s">
        <v>135</v>
      </c>
      <c r="D98" s="63" t="s">
        <v>1</v>
      </c>
      <c r="E98" s="75">
        <v>2.1630000000000003</v>
      </c>
      <c r="F98" s="64">
        <f>TRUNC(25.68,2)</f>
        <v>25.68</v>
      </c>
      <c r="G98" s="64">
        <f t="shared" si="5"/>
        <v>55.54</v>
      </c>
      <c r="H98" s="64"/>
      <c r="I98" s="65"/>
    </row>
    <row r="99" spans="1:9" s="10" customFormat="1" ht="30">
      <c r="A99" s="86"/>
      <c r="B99" s="66" t="s">
        <v>136</v>
      </c>
      <c r="C99" s="67" t="s">
        <v>137</v>
      </c>
      <c r="D99" s="63" t="s">
        <v>1</v>
      </c>
      <c r="E99" s="75">
        <v>1</v>
      </c>
      <c r="F99" s="64">
        <f>TRUNC(0.7719,2)</f>
        <v>0.77</v>
      </c>
      <c r="G99" s="64">
        <f t="shared" si="5"/>
        <v>0.77</v>
      </c>
      <c r="H99" s="64"/>
      <c r="I99" s="65"/>
    </row>
    <row r="100" spans="1:9" s="10" customFormat="1" ht="30">
      <c r="A100" s="86"/>
      <c r="B100" s="66" t="s">
        <v>138</v>
      </c>
      <c r="C100" s="67" t="s">
        <v>139</v>
      </c>
      <c r="D100" s="63" t="s">
        <v>1</v>
      </c>
      <c r="E100" s="75">
        <v>3.2</v>
      </c>
      <c r="F100" s="64">
        <f>TRUNC(1.1578,2)</f>
        <v>1.15</v>
      </c>
      <c r="G100" s="64">
        <f t="shared" si="5"/>
        <v>3.68</v>
      </c>
      <c r="H100" s="64"/>
      <c r="I100" s="65"/>
    </row>
    <row r="101" spans="1:9" s="10" customFormat="1" ht="18.75">
      <c r="A101" s="86"/>
      <c r="B101" s="66" t="s">
        <v>140</v>
      </c>
      <c r="C101" s="67" t="s">
        <v>141</v>
      </c>
      <c r="D101" s="63" t="s">
        <v>1</v>
      </c>
      <c r="E101" s="75">
        <v>0.5</v>
      </c>
      <c r="F101" s="64">
        <f>TRUNC(13.8837,2)</f>
        <v>13.88</v>
      </c>
      <c r="G101" s="64">
        <f t="shared" si="5"/>
        <v>6.94</v>
      </c>
      <c r="H101" s="64"/>
      <c r="I101" s="65"/>
    </row>
    <row r="102" spans="1:9" s="10" customFormat="1" ht="18.75">
      <c r="A102" s="86"/>
      <c r="B102" s="66" t="s">
        <v>142</v>
      </c>
      <c r="C102" s="67" t="s">
        <v>143</v>
      </c>
      <c r="D102" s="63" t="s">
        <v>1</v>
      </c>
      <c r="E102" s="75">
        <v>1.6</v>
      </c>
      <c r="F102" s="64">
        <f>TRUNC(77.7274,2)</f>
        <v>77.72</v>
      </c>
      <c r="G102" s="64">
        <f t="shared" si="5"/>
        <v>124.35</v>
      </c>
      <c r="H102" s="64"/>
      <c r="I102" s="65"/>
    </row>
    <row r="103" spans="1:9" s="10" customFormat="1" ht="18.75">
      <c r="A103" s="86"/>
      <c r="B103" s="66"/>
      <c r="C103" s="67"/>
      <c r="D103" s="63"/>
      <c r="E103" s="59" t="s">
        <v>2</v>
      </c>
      <c r="F103" s="60"/>
      <c r="G103" s="60">
        <f>TRUNC(SUM(G96:G102),2)</f>
        <v>353.64</v>
      </c>
      <c r="H103" s="64"/>
      <c r="I103" s="65"/>
    </row>
    <row r="104" spans="1:9" s="10" customFormat="1" ht="31.5">
      <c r="A104" s="73" t="s">
        <v>178</v>
      </c>
      <c r="B104" s="71" t="s">
        <v>144</v>
      </c>
      <c r="C104" s="85" t="s">
        <v>145</v>
      </c>
      <c r="D104" s="73" t="s">
        <v>0</v>
      </c>
      <c r="E104" s="74">
        <v>1238.8</v>
      </c>
      <c r="F104" s="84">
        <f>TRUNC(F105,2)</f>
        <v>47.87</v>
      </c>
      <c r="G104" s="70">
        <f>TRUNC(F104*1.2302,2)</f>
        <v>58.88</v>
      </c>
      <c r="H104" s="70">
        <f>TRUNC((E104*F104),2)</f>
        <v>59301.35</v>
      </c>
      <c r="I104" s="70">
        <f>TRUNC((E104*G104),2)</f>
        <v>72940.54</v>
      </c>
    </row>
    <row r="105" spans="1:9" s="10" customFormat="1" ht="30">
      <c r="A105" s="86"/>
      <c r="B105" s="66" t="s">
        <v>144</v>
      </c>
      <c r="C105" s="67" t="s">
        <v>145</v>
      </c>
      <c r="D105" s="63" t="s">
        <v>0</v>
      </c>
      <c r="E105" s="75">
        <v>1</v>
      </c>
      <c r="F105" s="64">
        <f>G109</f>
        <v>47.87</v>
      </c>
      <c r="G105" s="64">
        <f>TRUNC(E105*F105,2)</f>
        <v>47.87</v>
      </c>
      <c r="H105" s="64"/>
      <c r="I105" s="65"/>
    </row>
    <row r="106" spans="1:9" s="10" customFormat="1" ht="18.75">
      <c r="A106" s="86"/>
      <c r="B106" s="66" t="s">
        <v>61</v>
      </c>
      <c r="C106" s="67" t="s">
        <v>62</v>
      </c>
      <c r="D106" s="63" t="s">
        <v>1</v>
      </c>
      <c r="E106" s="75">
        <v>0.7725</v>
      </c>
      <c r="F106" s="64">
        <f>TRUNC(16.55,2)</f>
        <v>16.55</v>
      </c>
      <c r="G106" s="64">
        <f>TRUNC(E106*F106,2)</f>
        <v>12.78</v>
      </c>
      <c r="H106" s="64"/>
      <c r="I106" s="65"/>
    </row>
    <row r="107" spans="1:9" s="10" customFormat="1" ht="18.75">
      <c r="A107" s="86"/>
      <c r="B107" s="66" t="s">
        <v>94</v>
      </c>
      <c r="C107" s="67" t="s">
        <v>95</v>
      </c>
      <c r="D107" s="63" t="s">
        <v>1</v>
      </c>
      <c r="E107" s="75">
        <v>0.7725</v>
      </c>
      <c r="F107" s="64">
        <f>TRUNC(22.86,2)</f>
        <v>22.86</v>
      </c>
      <c r="G107" s="64">
        <f>TRUNC(E107*F107,2)</f>
        <v>17.65</v>
      </c>
      <c r="H107" s="64"/>
      <c r="I107" s="65"/>
    </row>
    <row r="108" spans="1:9" s="10" customFormat="1" ht="18.75">
      <c r="A108" s="86"/>
      <c r="B108" s="66" t="s">
        <v>146</v>
      </c>
      <c r="C108" s="67" t="s">
        <v>147</v>
      </c>
      <c r="D108" s="63" t="s">
        <v>131</v>
      </c>
      <c r="E108" s="75">
        <v>0.05</v>
      </c>
      <c r="F108" s="64">
        <f>TRUNC(348.842,2)</f>
        <v>348.84</v>
      </c>
      <c r="G108" s="64">
        <f>TRUNC(E108*F108,2)</f>
        <v>17.44</v>
      </c>
      <c r="H108" s="64"/>
      <c r="I108" s="65"/>
    </row>
    <row r="109" spans="1:9" s="10" customFormat="1" ht="18.75">
      <c r="A109" s="86"/>
      <c r="B109" s="66"/>
      <c r="C109" s="67"/>
      <c r="D109" s="63"/>
      <c r="E109" s="59" t="s">
        <v>2</v>
      </c>
      <c r="F109" s="60"/>
      <c r="G109" s="60">
        <f>TRUNC(SUM(G106:G108),2)</f>
        <v>47.87</v>
      </c>
      <c r="H109" s="64"/>
      <c r="I109" s="65"/>
    </row>
    <row r="110" spans="1:9" s="10" customFormat="1" ht="18.75">
      <c r="A110" s="73" t="s">
        <v>179</v>
      </c>
      <c r="B110" s="71" t="s">
        <v>148</v>
      </c>
      <c r="C110" s="85" t="s">
        <v>149</v>
      </c>
      <c r="D110" s="73" t="s">
        <v>0</v>
      </c>
      <c r="E110" s="74">
        <v>1238.8</v>
      </c>
      <c r="F110" s="84">
        <f>TRUNC(F111,2)</f>
        <v>32.42</v>
      </c>
      <c r="G110" s="70">
        <f>TRUNC(F110*1.2302,2)</f>
        <v>39.88</v>
      </c>
      <c r="H110" s="70">
        <f>TRUNC((E110*F110),2)</f>
        <v>40161.89</v>
      </c>
      <c r="I110" s="70">
        <f>TRUNC((E110*G110),2)</f>
        <v>49403.34</v>
      </c>
    </row>
    <row r="111" spans="1:9" s="10" customFormat="1" ht="18.75">
      <c r="A111" s="86"/>
      <c r="B111" s="66" t="s">
        <v>148</v>
      </c>
      <c r="C111" s="67" t="s">
        <v>149</v>
      </c>
      <c r="D111" s="63" t="s">
        <v>0</v>
      </c>
      <c r="E111" s="75">
        <v>1</v>
      </c>
      <c r="F111" s="64">
        <f>G115</f>
        <v>32.42</v>
      </c>
      <c r="G111" s="64">
        <f>TRUNC(E111*F111,2)</f>
        <v>32.42</v>
      </c>
      <c r="H111" s="64"/>
      <c r="I111" s="65"/>
    </row>
    <row r="112" spans="1:9" s="10" customFormat="1" ht="18.75">
      <c r="A112" s="86"/>
      <c r="B112" s="66" t="s">
        <v>150</v>
      </c>
      <c r="C112" s="67" t="s">
        <v>151</v>
      </c>
      <c r="D112" s="63" t="s">
        <v>63</v>
      </c>
      <c r="E112" s="75">
        <v>4</v>
      </c>
      <c r="F112" s="64">
        <f>TRUNC(7.43,2)</f>
        <v>7.43</v>
      </c>
      <c r="G112" s="64">
        <f>TRUNC(E112*F112,2)</f>
        <v>29.72</v>
      </c>
      <c r="H112" s="64"/>
      <c r="I112" s="65"/>
    </row>
    <row r="113" spans="1:9" s="10" customFormat="1" ht="18.75">
      <c r="A113" s="86"/>
      <c r="B113" s="66" t="s">
        <v>152</v>
      </c>
      <c r="C113" s="67" t="s">
        <v>153</v>
      </c>
      <c r="D113" s="63" t="s">
        <v>1</v>
      </c>
      <c r="E113" s="75">
        <v>0.088</v>
      </c>
      <c r="F113" s="64">
        <f>TRUNC(29.96,2)</f>
        <v>29.96</v>
      </c>
      <c r="G113" s="64">
        <f>TRUNC(E113*F113,2)</f>
        <v>2.63</v>
      </c>
      <c r="H113" s="64"/>
      <c r="I113" s="65"/>
    </row>
    <row r="114" spans="1:9" s="10" customFormat="1" ht="30">
      <c r="A114" s="86"/>
      <c r="B114" s="66" t="s">
        <v>154</v>
      </c>
      <c r="C114" s="67" t="s">
        <v>155</v>
      </c>
      <c r="D114" s="63" t="s">
        <v>66</v>
      </c>
      <c r="E114" s="75">
        <v>0.007</v>
      </c>
      <c r="F114" s="64">
        <f>TRUNC(10.04,2)</f>
        <v>10.04</v>
      </c>
      <c r="G114" s="64">
        <f>TRUNC(E114*F114,2)</f>
        <v>0.07</v>
      </c>
      <c r="H114" s="64"/>
      <c r="I114" s="65"/>
    </row>
    <row r="115" spans="1:9" s="10" customFormat="1" ht="18.75">
      <c r="A115" s="86"/>
      <c r="B115" s="66"/>
      <c r="C115" s="67"/>
      <c r="D115" s="63"/>
      <c r="E115" s="113" t="s">
        <v>2</v>
      </c>
      <c r="F115" s="114"/>
      <c r="G115" s="114">
        <f>TRUNC(SUM(G112:G114),2)</f>
        <v>32.42</v>
      </c>
      <c r="H115" s="64"/>
      <c r="I115" s="65"/>
    </row>
    <row r="116" spans="1:9" s="10" customFormat="1" ht="18.75">
      <c r="A116" s="96" t="s">
        <v>189</v>
      </c>
      <c r="B116" s="97"/>
      <c r="C116" s="111" t="s">
        <v>180</v>
      </c>
      <c r="D116" s="96"/>
      <c r="E116" s="109"/>
      <c r="F116" s="110"/>
      <c r="G116" s="110"/>
      <c r="H116" s="110">
        <f>H110+H104+H94</f>
        <v>147384.99</v>
      </c>
      <c r="I116" s="110">
        <f>I110+I104+I94</f>
        <v>181296.15</v>
      </c>
    </row>
    <row r="117" spans="1:9" s="1" customFormat="1" ht="15.75">
      <c r="A117" s="77" t="s">
        <v>34</v>
      </c>
      <c r="B117" s="78"/>
      <c r="C117" s="181"/>
      <c r="D117" s="182"/>
      <c r="E117" s="183"/>
      <c r="F117" s="78"/>
      <c r="G117" s="68" t="s">
        <v>19</v>
      </c>
      <c r="H117" s="79"/>
      <c r="I117" s="25">
        <f>I116+I92+I76</f>
        <v>587483.44</v>
      </c>
    </row>
    <row r="118" spans="1:9" ht="15.75">
      <c r="A118" s="80" t="s">
        <v>34</v>
      </c>
      <c r="B118" s="81"/>
      <c r="C118" s="81"/>
      <c r="D118" s="81"/>
      <c r="E118" s="81"/>
      <c r="F118" s="81"/>
      <c r="G118" s="72" t="s">
        <v>33</v>
      </c>
      <c r="H118" s="25">
        <f>H116+H92+H76</f>
        <v>467297.05000000005</v>
      </c>
      <c r="I118" s="115"/>
    </row>
    <row r="119" spans="1:9" s="10" customFormat="1" ht="18.75">
      <c r="A119" s="24"/>
      <c r="B119" s="146"/>
      <c r="C119" s="147"/>
      <c r="D119" s="148"/>
      <c r="E119" s="149"/>
      <c r="F119" s="150"/>
      <c r="G119" s="151"/>
      <c r="H119" s="152"/>
      <c r="I119" s="153"/>
    </row>
    <row r="120" spans="1:9" s="10" customFormat="1" ht="18.75">
      <c r="A120" s="58"/>
      <c r="B120" s="61"/>
      <c r="C120" s="62"/>
      <c r="D120" s="63"/>
      <c r="E120" s="59"/>
      <c r="F120" s="69"/>
      <c r="G120" s="60"/>
      <c r="H120" s="64"/>
      <c r="I120" s="65"/>
    </row>
    <row r="121" spans="1:9" s="10" customFormat="1" ht="18.75">
      <c r="A121" s="58"/>
      <c r="B121" s="61"/>
      <c r="C121" s="62"/>
      <c r="D121" s="63"/>
      <c r="E121" s="59"/>
      <c r="F121" s="69"/>
      <c r="G121" s="60"/>
      <c r="H121" s="64"/>
      <c r="I121" s="65"/>
    </row>
    <row r="122" spans="1:9" s="10" customFormat="1" ht="18.75">
      <c r="A122" s="58"/>
      <c r="B122" s="61"/>
      <c r="C122" s="62" t="s">
        <v>195</v>
      </c>
      <c r="D122" s="63"/>
      <c r="E122" s="59"/>
      <c r="F122" s="69"/>
      <c r="G122" s="60"/>
      <c r="H122" s="64"/>
      <c r="I122" s="65"/>
    </row>
    <row r="123" spans="1:9" s="10" customFormat="1" ht="18.75">
      <c r="A123" s="58"/>
      <c r="B123" s="61"/>
      <c r="C123" s="62" t="s">
        <v>196</v>
      </c>
      <c r="D123" s="63"/>
      <c r="E123" s="59"/>
      <c r="F123" s="69"/>
      <c r="G123" s="60"/>
      <c r="H123" s="64"/>
      <c r="I123" s="65"/>
    </row>
    <row r="124" spans="1:9" s="10" customFormat="1" ht="18.75">
      <c r="A124" s="58"/>
      <c r="B124" s="61"/>
      <c r="C124" s="62" t="s">
        <v>197</v>
      </c>
      <c r="D124" s="63"/>
      <c r="E124" s="59"/>
      <c r="F124" s="69"/>
      <c r="G124" s="60"/>
      <c r="H124" s="64"/>
      <c r="I124" s="65"/>
    </row>
    <row r="125" spans="1:9" s="10" customFormat="1" ht="18.75">
      <c r="A125" s="154"/>
      <c r="B125" s="155"/>
      <c r="C125" s="156"/>
      <c r="D125" s="157"/>
      <c r="E125" s="158"/>
      <c r="F125" s="159"/>
      <c r="G125" s="160"/>
      <c r="H125" s="161"/>
      <c r="I125" s="162"/>
    </row>
    <row r="126" spans="1:9" s="10" customFormat="1" ht="18.75">
      <c r="A126" s="58"/>
      <c r="B126" s="61"/>
      <c r="C126" s="62"/>
      <c r="D126" s="63"/>
      <c r="E126" s="59"/>
      <c r="F126" s="69"/>
      <c r="G126" s="60"/>
      <c r="H126" s="64"/>
      <c r="I126" s="65"/>
    </row>
    <row r="127" spans="1:9" s="10" customFormat="1" ht="18.75">
      <c r="A127" s="58"/>
      <c r="B127" s="61"/>
      <c r="C127" s="62"/>
      <c r="D127" s="63"/>
      <c r="E127" s="59"/>
      <c r="F127" s="69"/>
      <c r="G127" s="60"/>
      <c r="H127" s="64"/>
      <c r="I127" s="65"/>
    </row>
    <row r="128" spans="1:9" s="10" customFormat="1" ht="18.75">
      <c r="A128" s="58"/>
      <c r="B128" s="61"/>
      <c r="C128" s="62"/>
      <c r="D128" s="63"/>
      <c r="E128" s="59"/>
      <c r="F128" s="69"/>
      <c r="G128" s="60"/>
      <c r="H128" s="64"/>
      <c r="I128" s="65"/>
    </row>
    <row r="129" spans="1:9" s="10" customFormat="1" ht="18.75">
      <c r="A129" s="58"/>
      <c r="B129" s="61"/>
      <c r="C129" s="62"/>
      <c r="D129" s="63"/>
      <c r="E129" s="59"/>
      <c r="F129" s="69"/>
      <c r="G129" s="60"/>
      <c r="H129" s="64"/>
      <c r="I129" s="65"/>
    </row>
    <row r="130" spans="1:9" s="10" customFormat="1" ht="18.75">
      <c r="A130" s="58"/>
      <c r="B130" s="61"/>
      <c r="C130" s="62"/>
      <c r="D130" s="63"/>
      <c r="E130" s="59"/>
      <c r="F130" s="69"/>
      <c r="G130" s="60"/>
      <c r="H130" s="64"/>
      <c r="I130" s="65"/>
    </row>
    <row r="131" spans="1:9" s="10" customFormat="1" ht="18.75">
      <c r="A131" s="58"/>
      <c r="B131" s="61"/>
      <c r="C131" s="62"/>
      <c r="D131" s="63"/>
      <c r="E131" s="59"/>
      <c r="F131" s="69"/>
      <c r="G131" s="60"/>
      <c r="H131" s="64"/>
      <c r="I131" s="65"/>
    </row>
    <row r="132" spans="1:9" s="10" customFormat="1" ht="18.75">
      <c r="A132" s="58"/>
      <c r="B132" s="61"/>
      <c r="C132" s="62"/>
      <c r="D132" s="63"/>
      <c r="E132" s="59"/>
      <c r="F132" s="69"/>
      <c r="G132" s="60"/>
      <c r="H132" s="64"/>
      <c r="I132" s="65"/>
    </row>
    <row r="133" spans="1:9" s="10" customFormat="1" ht="18.75">
      <c r="A133" s="58"/>
      <c r="B133" s="61"/>
      <c r="C133" s="62"/>
      <c r="D133" s="63"/>
      <c r="E133" s="59"/>
      <c r="F133" s="69"/>
      <c r="G133" s="60"/>
      <c r="H133" s="64"/>
      <c r="I133" s="65"/>
    </row>
    <row r="134" spans="1:9" s="10" customFormat="1" ht="18.75">
      <c r="A134" s="58"/>
      <c r="B134" s="61"/>
      <c r="C134" s="62"/>
      <c r="D134" s="63"/>
      <c r="E134" s="59"/>
      <c r="F134" s="69"/>
      <c r="G134" s="60"/>
      <c r="H134" s="64"/>
      <c r="I134" s="65"/>
    </row>
    <row r="135" spans="1:9" s="10" customFormat="1" ht="18.75">
      <c r="A135" s="58"/>
      <c r="B135" s="61"/>
      <c r="C135" s="62"/>
      <c r="D135" s="63"/>
      <c r="E135" s="59"/>
      <c r="F135" s="69"/>
      <c r="G135" s="60"/>
      <c r="H135" s="64"/>
      <c r="I135" s="65"/>
    </row>
    <row r="136" spans="1:9" s="10" customFormat="1" ht="18.75">
      <c r="A136" s="58"/>
      <c r="B136" s="61"/>
      <c r="C136" s="62"/>
      <c r="D136" s="63"/>
      <c r="E136" s="59"/>
      <c r="F136" s="69"/>
      <c r="G136" s="60"/>
      <c r="H136" s="64"/>
      <c r="I136" s="65"/>
    </row>
    <row r="137" spans="1:9" s="10" customFormat="1" ht="18.75">
      <c r="A137" s="58"/>
      <c r="B137" s="61"/>
      <c r="C137" s="62"/>
      <c r="D137" s="63"/>
      <c r="E137" s="59"/>
      <c r="F137" s="69"/>
      <c r="G137" s="60"/>
      <c r="H137" s="64"/>
      <c r="I137" s="65"/>
    </row>
    <row r="138" spans="1:9" s="10" customFormat="1" ht="18.75">
      <c r="A138" s="58"/>
      <c r="B138" s="61"/>
      <c r="C138" s="62"/>
      <c r="D138" s="63"/>
      <c r="E138" s="59"/>
      <c r="F138" s="69"/>
      <c r="G138" s="60"/>
      <c r="H138" s="64"/>
      <c r="I138" s="65"/>
    </row>
    <row r="139" spans="1:9" s="10" customFormat="1" ht="18.75">
      <c r="A139" s="58"/>
      <c r="B139" s="61"/>
      <c r="C139" s="62"/>
      <c r="D139" s="63"/>
      <c r="E139" s="59"/>
      <c r="F139" s="69"/>
      <c r="G139" s="60"/>
      <c r="H139" s="64"/>
      <c r="I139" s="65"/>
    </row>
    <row r="140" spans="1:9" s="10" customFormat="1" ht="18.75">
      <c r="A140" s="58"/>
      <c r="B140" s="61"/>
      <c r="C140" s="62"/>
      <c r="D140" s="63"/>
      <c r="E140" s="59"/>
      <c r="F140" s="69"/>
      <c r="G140" s="60"/>
      <c r="H140" s="64"/>
      <c r="I140" s="65"/>
    </row>
    <row r="141" spans="1:9" s="10" customFormat="1" ht="18.75">
      <c r="A141" s="58"/>
      <c r="B141" s="61"/>
      <c r="C141" s="62"/>
      <c r="D141" s="63"/>
      <c r="E141" s="59"/>
      <c r="F141" s="69"/>
      <c r="G141" s="60"/>
      <c r="H141" s="64"/>
      <c r="I141" s="65"/>
    </row>
  </sheetData>
  <sheetProtection/>
  <mergeCells count="13">
    <mergeCell ref="C117:E117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I6"/>
    <mergeCell ref="D8:G8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71" zoomScaleNormal="60" zoomScaleSheetLayoutView="71" zoomScalePageLayoutView="0" workbookViewId="0" topLeftCell="A22">
      <selection activeCell="C17" sqref="C17"/>
    </sheetView>
  </sheetViews>
  <sheetFormatPr defaultColWidth="9.140625" defaultRowHeight="15"/>
  <cols>
    <col min="1" max="1" width="9.140625" style="2" customWidth="1"/>
    <col min="2" max="2" width="20.57421875" style="0" customWidth="1"/>
    <col min="3" max="3" width="129.140625" style="0" customWidth="1"/>
    <col min="5" max="5" width="12.140625" style="0" customWidth="1"/>
    <col min="6" max="6" width="16.140625" style="0" customWidth="1"/>
    <col min="7" max="7" width="16.8515625" style="0" customWidth="1"/>
    <col min="8" max="8" width="18.57421875" style="0" customWidth="1"/>
    <col min="9" max="9" width="19.00390625" style="0" customWidth="1"/>
  </cols>
  <sheetData>
    <row r="1" spans="1:9" s="10" customFormat="1" ht="23.25">
      <c r="A1" s="3"/>
      <c r="B1" s="4"/>
      <c r="C1" s="5" t="s">
        <v>8</v>
      </c>
      <c r="D1" s="6"/>
      <c r="E1" s="7"/>
      <c r="F1" s="8"/>
      <c r="G1" s="8"/>
      <c r="H1" s="8"/>
      <c r="I1" s="9"/>
    </row>
    <row r="2" spans="1:9" s="10" customFormat="1" ht="23.25">
      <c r="A2" s="11"/>
      <c r="B2" s="12"/>
      <c r="C2" s="13" t="s">
        <v>9</v>
      </c>
      <c r="D2" s="14"/>
      <c r="E2" s="15"/>
      <c r="F2" s="16"/>
      <c r="G2" s="16"/>
      <c r="H2" s="16"/>
      <c r="I2" s="17"/>
    </row>
    <row r="3" spans="1:9" s="10" customFormat="1" ht="23.25">
      <c r="A3" s="11"/>
      <c r="B3" s="12"/>
      <c r="C3" s="13" t="s">
        <v>10</v>
      </c>
      <c r="D3" s="167"/>
      <c r="E3" s="168"/>
      <c r="F3" s="168"/>
      <c r="G3" s="168"/>
      <c r="H3" s="87"/>
      <c r="I3" s="46"/>
    </row>
    <row r="4" spans="1:9" s="10" customFormat="1" ht="18.75" customHeight="1">
      <c r="A4" s="11"/>
      <c r="B4" s="12"/>
      <c r="C4" s="139" t="s">
        <v>191</v>
      </c>
      <c r="D4" s="167" t="s">
        <v>35</v>
      </c>
      <c r="E4" s="168"/>
      <c r="F4" s="168"/>
      <c r="G4" s="168"/>
      <c r="H4" s="47"/>
      <c r="I4" s="48"/>
    </row>
    <row r="5" spans="1:9" s="10" customFormat="1" ht="18.75" customHeight="1">
      <c r="A5" s="11"/>
      <c r="B5" s="12"/>
      <c r="C5" s="139" t="s">
        <v>190</v>
      </c>
      <c r="D5" s="171" t="s">
        <v>182</v>
      </c>
      <c r="E5" s="172"/>
      <c r="F5" s="172"/>
      <c r="G5" s="172"/>
      <c r="H5" s="41"/>
      <c r="I5" s="42"/>
    </row>
    <row r="6" spans="1:9" s="10" customFormat="1" ht="18.75">
      <c r="A6" s="11"/>
      <c r="B6" s="12"/>
      <c r="C6" s="76" t="s">
        <v>183</v>
      </c>
      <c r="D6" s="173" t="s">
        <v>181</v>
      </c>
      <c r="E6" s="174"/>
      <c r="F6" s="174"/>
      <c r="G6" s="174"/>
      <c r="H6" s="174"/>
      <c r="I6" s="175"/>
    </row>
    <row r="7" spans="1:9" s="10" customFormat="1" ht="18.75">
      <c r="A7" s="11"/>
      <c r="B7" s="12"/>
      <c r="C7" s="18"/>
      <c r="D7" s="49" t="s">
        <v>36</v>
      </c>
      <c r="E7" s="50"/>
      <c r="F7" s="50"/>
      <c r="G7" s="50"/>
      <c r="H7" s="43"/>
      <c r="I7" s="44"/>
    </row>
    <row r="8" spans="1:9" s="10" customFormat="1" ht="18.75">
      <c r="A8" s="19"/>
      <c r="B8" s="20"/>
      <c r="C8" s="21"/>
      <c r="D8" s="176" t="s">
        <v>11</v>
      </c>
      <c r="E8" s="177"/>
      <c r="F8" s="177"/>
      <c r="G8" s="177"/>
      <c r="H8" s="88"/>
      <c r="I8" s="45"/>
    </row>
    <row r="9" spans="1:9" s="10" customFormat="1" ht="18.75">
      <c r="A9" s="178" t="s">
        <v>171</v>
      </c>
      <c r="B9" s="179"/>
      <c r="C9" s="179"/>
      <c r="D9" s="180"/>
      <c r="E9" s="180"/>
      <c r="F9" s="180"/>
      <c r="G9" s="180"/>
      <c r="H9" s="51"/>
      <c r="I9" s="52"/>
    </row>
    <row r="10" spans="1:9" s="10" customFormat="1" ht="18.75">
      <c r="A10" s="184" t="s">
        <v>5</v>
      </c>
      <c r="B10" s="185" t="s">
        <v>12</v>
      </c>
      <c r="C10" s="185" t="s">
        <v>13</v>
      </c>
      <c r="D10" s="184" t="s">
        <v>3</v>
      </c>
      <c r="E10" s="186" t="s">
        <v>7</v>
      </c>
      <c r="F10" s="164" t="s">
        <v>14</v>
      </c>
      <c r="G10" s="165"/>
      <c r="H10" s="165"/>
      <c r="I10" s="166"/>
    </row>
    <row r="11" spans="1:9" s="10" customFormat="1" ht="18.75">
      <c r="A11" s="184"/>
      <c r="B11" s="185"/>
      <c r="C11" s="185"/>
      <c r="D11" s="184"/>
      <c r="E11" s="186"/>
      <c r="F11" s="22" t="s">
        <v>32</v>
      </c>
      <c r="G11" s="23" t="s">
        <v>18</v>
      </c>
      <c r="H11" s="23" t="s">
        <v>33</v>
      </c>
      <c r="I11" s="23" t="s">
        <v>19</v>
      </c>
    </row>
    <row r="12" spans="1:9" s="10" customFormat="1" ht="18.75" customHeight="1">
      <c r="A12" s="24" t="s">
        <v>34</v>
      </c>
      <c r="B12" s="56"/>
      <c r="C12" s="57" t="s">
        <v>165</v>
      </c>
      <c r="D12" s="22"/>
      <c r="E12" s="23"/>
      <c r="F12" s="22"/>
      <c r="G12" s="23"/>
      <c r="H12" s="23"/>
      <c r="I12" s="23"/>
    </row>
    <row r="13" spans="1:9" s="123" customFormat="1" ht="18.75">
      <c r="A13" s="106" t="s">
        <v>4</v>
      </c>
      <c r="B13" s="106"/>
      <c r="C13" s="104" t="s">
        <v>187</v>
      </c>
      <c r="D13" s="106"/>
      <c r="E13" s="121"/>
      <c r="F13" s="106"/>
      <c r="G13" s="122"/>
      <c r="H13" s="122"/>
      <c r="I13" s="122"/>
    </row>
    <row r="14" spans="1:9" s="132" customFormat="1" ht="49.5" customHeight="1">
      <c r="A14" s="133" t="s">
        <v>15</v>
      </c>
      <c r="B14" s="133" t="s">
        <v>38</v>
      </c>
      <c r="C14" s="134" t="s">
        <v>39</v>
      </c>
      <c r="D14" s="133" t="s">
        <v>0</v>
      </c>
      <c r="E14" s="135">
        <f>'MEMÓRIA ONERADA'!E14</f>
        <v>1409.1</v>
      </c>
      <c r="F14" s="136">
        <f>TRUNC('MEMÓRIA ONERADA'!F14,2)</f>
        <v>128.6</v>
      </c>
      <c r="G14" s="137">
        <f aca="true" t="shared" si="0" ref="G14:G19">TRUNC(F14*1.2247,2)</f>
        <v>157.49</v>
      </c>
      <c r="H14" s="137">
        <f aca="true" t="shared" si="1" ref="H14:H19">TRUNC((E14*F14),2)</f>
        <v>181210.26</v>
      </c>
      <c r="I14" s="137">
        <f aca="true" t="shared" si="2" ref="I14:I19">TRUNC((E14*G14),2)</f>
        <v>221919.15</v>
      </c>
    </row>
    <row r="15" spans="1:9" s="132" customFormat="1" ht="45.75" customHeight="1">
      <c r="A15" s="126" t="s">
        <v>16</v>
      </c>
      <c r="B15" s="127" t="s">
        <v>204</v>
      </c>
      <c r="C15" s="128" t="s">
        <v>199</v>
      </c>
      <c r="D15" s="126" t="s">
        <v>63</v>
      </c>
      <c r="E15" s="129">
        <f>'MEMÓRIA ONERADA'!E26</f>
        <v>7500.27</v>
      </c>
      <c r="F15" s="130">
        <f>'MEMÓRIA ONERADA'!F26</f>
        <v>13.22</v>
      </c>
      <c r="G15" s="131">
        <f t="shared" si="0"/>
        <v>16.19</v>
      </c>
      <c r="H15" s="131">
        <f t="shared" si="1"/>
        <v>99153.56</v>
      </c>
      <c r="I15" s="131">
        <f t="shared" si="2"/>
        <v>121429.37</v>
      </c>
    </row>
    <row r="16" spans="1:9" s="132" customFormat="1" ht="37.5" customHeight="1">
      <c r="A16" s="126" t="s">
        <v>17</v>
      </c>
      <c r="B16" s="128" t="s">
        <v>72</v>
      </c>
      <c r="C16" s="128" t="s">
        <v>73</v>
      </c>
      <c r="D16" s="126" t="s">
        <v>52</v>
      </c>
      <c r="E16" s="129">
        <f>'MEMÓRIA ONERADA'!E35</f>
        <v>61.6</v>
      </c>
      <c r="F16" s="130">
        <f>TRUNC('MEMÓRIA ONERADA'!F35,2)</f>
        <v>66.27</v>
      </c>
      <c r="G16" s="131">
        <f t="shared" si="0"/>
        <v>81.16</v>
      </c>
      <c r="H16" s="131">
        <f t="shared" si="1"/>
        <v>4082.23</v>
      </c>
      <c r="I16" s="131">
        <f t="shared" si="2"/>
        <v>4999.45</v>
      </c>
    </row>
    <row r="17" spans="1:9" s="132" customFormat="1" ht="30">
      <c r="A17" s="126" t="s">
        <v>166</v>
      </c>
      <c r="B17" s="127" t="s">
        <v>78</v>
      </c>
      <c r="C17" s="128" t="s">
        <v>79</v>
      </c>
      <c r="D17" s="126" t="s">
        <v>52</v>
      </c>
      <c r="E17" s="129">
        <f>'MEMÓRIA ONERADA'!E42</f>
        <v>154</v>
      </c>
      <c r="F17" s="130">
        <f>TRUNC('MEMÓRIA ONERADA'!F42,2)</f>
        <v>155.03</v>
      </c>
      <c r="G17" s="131">
        <f t="shared" si="0"/>
        <v>189.86</v>
      </c>
      <c r="H17" s="131">
        <f t="shared" si="1"/>
        <v>23874.62</v>
      </c>
      <c r="I17" s="131">
        <f t="shared" si="2"/>
        <v>29238.44</v>
      </c>
    </row>
    <row r="18" spans="1:9" s="132" customFormat="1" ht="30">
      <c r="A18" s="126" t="s">
        <v>167</v>
      </c>
      <c r="B18" s="127" t="s">
        <v>96</v>
      </c>
      <c r="C18" s="128" t="s">
        <v>97</v>
      </c>
      <c r="D18" s="126" t="s">
        <v>52</v>
      </c>
      <c r="E18" s="129">
        <f>'MEMÓRIA ONERADA'!E54</f>
        <v>114</v>
      </c>
      <c r="F18" s="130">
        <f>TRUNC('MEMÓRIA ONERADA'!F54,2)</f>
        <v>85.77</v>
      </c>
      <c r="G18" s="131">
        <f t="shared" si="0"/>
        <v>105.04</v>
      </c>
      <c r="H18" s="131">
        <f t="shared" si="1"/>
        <v>9777.78</v>
      </c>
      <c r="I18" s="131">
        <f t="shared" si="2"/>
        <v>11974.56</v>
      </c>
    </row>
    <row r="19" spans="1:9" s="132" customFormat="1" ht="30">
      <c r="A19" s="126" t="s">
        <v>169</v>
      </c>
      <c r="B19" s="138" t="s">
        <v>164</v>
      </c>
      <c r="C19" s="128" t="s">
        <v>157</v>
      </c>
      <c r="D19" s="126" t="s">
        <v>3</v>
      </c>
      <c r="E19" s="129">
        <f>'MEMÓRIA ONERADA'!E63</f>
        <v>16</v>
      </c>
      <c r="F19" s="130">
        <f>TRUNC('MEMÓRIA ONERADA'!F63,2)</f>
        <v>58.61</v>
      </c>
      <c r="G19" s="131">
        <f t="shared" si="0"/>
        <v>71.77</v>
      </c>
      <c r="H19" s="131">
        <f t="shared" si="1"/>
        <v>937.76</v>
      </c>
      <c r="I19" s="131">
        <f t="shared" si="2"/>
        <v>1148.32</v>
      </c>
    </row>
    <row r="20" spans="1:9" s="132" customFormat="1" ht="18.75">
      <c r="A20" s="126" t="s">
        <v>170</v>
      </c>
      <c r="B20" s="127" t="s">
        <v>205</v>
      </c>
      <c r="C20" s="128" t="s">
        <v>209</v>
      </c>
      <c r="D20" s="126" t="s">
        <v>0</v>
      </c>
      <c r="E20" s="129">
        <f>'MEMÓRIA ONERADA'!E71</f>
        <v>167.2</v>
      </c>
      <c r="F20" s="130">
        <f>'MEMÓRIA ONERADA'!F71</f>
        <v>70.36</v>
      </c>
      <c r="G20" s="131">
        <f>TRUNC(F20*1.2247,2)</f>
        <v>86.16</v>
      </c>
      <c r="H20" s="131">
        <f>TRUNC((E20*F20),2)</f>
        <v>11764.19</v>
      </c>
      <c r="I20" s="131">
        <f>TRUNC((E20*G20),2)</f>
        <v>14405.95</v>
      </c>
    </row>
    <row r="21" spans="1:9" s="10" customFormat="1" ht="18.75">
      <c r="A21" s="96" t="s">
        <v>189</v>
      </c>
      <c r="B21" s="97"/>
      <c r="C21" s="111" t="s">
        <v>168</v>
      </c>
      <c r="D21" s="96"/>
      <c r="E21" s="109"/>
      <c r="F21" s="110"/>
      <c r="G21" s="110"/>
      <c r="H21" s="110">
        <f>H19+H18+H17+H16+H15+H14</f>
        <v>319036.21</v>
      </c>
      <c r="I21" s="110">
        <f>I19+I18+I17+I16+I15+I14+I20</f>
        <v>405115.24</v>
      </c>
    </row>
    <row r="22" spans="1:9" s="10" customFormat="1" ht="18.75">
      <c r="A22" s="106" t="s">
        <v>172</v>
      </c>
      <c r="B22" s="101"/>
      <c r="C22" s="104" t="s">
        <v>110</v>
      </c>
      <c r="D22" s="100"/>
      <c r="E22" s="102"/>
      <c r="F22" s="103"/>
      <c r="G22" s="103"/>
      <c r="H22" s="103"/>
      <c r="I22" s="103"/>
    </row>
    <row r="23" spans="1:9" s="132" customFormat="1" ht="30">
      <c r="A23" s="126" t="s">
        <v>173</v>
      </c>
      <c r="B23" s="127" t="s">
        <v>119</v>
      </c>
      <c r="C23" s="128" t="s">
        <v>120</v>
      </c>
      <c r="D23" s="126" t="s">
        <v>52</v>
      </c>
      <c r="E23" s="129">
        <f>'MEMÓRIA ONERADA'!E78</f>
        <v>45</v>
      </c>
      <c r="F23" s="130">
        <f>TRUNC('MEMÓRIA ONERADA'!F78,2)</f>
        <v>7.43</v>
      </c>
      <c r="G23" s="131">
        <f>TRUNC(F23*1.2247,2)</f>
        <v>9.09</v>
      </c>
      <c r="H23" s="131">
        <f>TRUNC((E23*F23),2)</f>
        <v>334.35</v>
      </c>
      <c r="I23" s="131">
        <f>TRUNC((E23*G23),2)</f>
        <v>409.05</v>
      </c>
    </row>
    <row r="24" spans="1:9" s="132" customFormat="1" ht="45">
      <c r="A24" s="126" t="s">
        <v>174</v>
      </c>
      <c r="B24" s="127" t="s">
        <v>111</v>
      </c>
      <c r="C24" s="128" t="s">
        <v>112</v>
      </c>
      <c r="D24" s="126" t="s">
        <v>52</v>
      </c>
      <c r="E24" s="129">
        <f>'MEMÓRIA ONERADA'!E85</f>
        <v>150</v>
      </c>
      <c r="F24" s="130">
        <f>TRUNC('MEMÓRIA ONERADA'!F85,2)</f>
        <v>3.61</v>
      </c>
      <c r="G24" s="131">
        <f>TRUNC(F24*1.2247,2)</f>
        <v>4.42</v>
      </c>
      <c r="H24" s="131">
        <f>TRUNC((E24*F24),2)</f>
        <v>541.5</v>
      </c>
      <c r="I24" s="131">
        <f>TRUNC((E24*G24),2)</f>
        <v>663</v>
      </c>
    </row>
    <row r="25" spans="1:9" s="10" customFormat="1" ht="18.75">
      <c r="A25" s="96" t="s">
        <v>189</v>
      </c>
      <c r="B25" s="97"/>
      <c r="C25" s="111" t="s">
        <v>175</v>
      </c>
      <c r="D25" s="96"/>
      <c r="E25" s="109"/>
      <c r="F25" s="110"/>
      <c r="G25" s="110"/>
      <c r="H25" s="110">
        <f>H24+H23</f>
        <v>875.85</v>
      </c>
      <c r="I25" s="110">
        <f>I24+I23</f>
        <v>1072.05</v>
      </c>
    </row>
    <row r="26" spans="1:9" s="10" customFormat="1" ht="16.5" customHeight="1">
      <c r="A26" s="112" t="s">
        <v>176</v>
      </c>
      <c r="B26" s="97"/>
      <c r="C26" s="105" t="s">
        <v>128</v>
      </c>
      <c r="D26" s="96"/>
      <c r="E26" s="98"/>
      <c r="F26" s="99"/>
      <c r="G26" s="99"/>
      <c r="H26" s="99"/>
      <c r="I26" s="99"/>
    </row>
    <row r="27" spans="1:9" s="132" customFormat="1" ht="45">
      <c r="A27" s="126" t="s">
        <v>177</v>
      </c>
      <c r="B27" s="127" t="s">
        <v>129</v>
      </c>
      <c r="C27" s="128" t="s">
        <v>130</v>
      </c>
      <c r="D27" s="126" t="s">
        <v>131</v>
      </c>
      <c r="E27" s="129">
        <f>'MEMÓRIA ONERADA'!E94</f>
        <v>135.51</v>
      </c>
      <c r="F27" s="130">
        <f>TRUNC('MEMÓRIA ONERADA'!F94,2)</f>
        <v>353.64</v>
      </c>
      <c r="G27" s="131">
        <f>TRUNC(F27*1.2302,2)</f>
        <v>435.04</v>
      </c>
      <c r="H27" s="131">
        <f>TRUNC((E27*F27),2)</f>
        <v>47921.75</v>
      </c>
      <c r="I27" s="131">
        <f>TRUNC((E27*G27),2)</f>
        <v>58952.27</v>
      </c>
    </row>
    <row r="28" spans="1:9" s="132" customFormat="1" ht="30">
      <c r="A28" s="126" t="s">
        <v>178</v>
      </c>
      <c r="B28" s="127" t="s">
        <v>144</v>
      </c>
      <c r="C28" s="128" t="s">
        <v>145</v>
      </c>
      <c r="D28" s="126" t="s">
        <v>0</v>
      </c>
      <c r="E28" s="129">
        <f>'MEMÓRIA ONERADA'!E104</f>
        <v>1238.8</v>
      </c>
      <c r="F28" s="130">
        <f>TRUNC('MEMÓRIA ONERADA'!F104,2)</f>
        <v>47.87</v>
      </c>
      <c r="G28" s="131">
        <f>TRUNC(F28*1.2302,2)</f>
        <v>58.88</v>
      </c>
      <c r="H28" s="131">
        <f>TRUNC((E28*F28),2)</f>
        <v>59301.35</v>
      </c>
      <c r="I28" s="131">
        <f>TRUNC((E28*G28),2)</f>
        <v>72940.54</v>
      </c>
    </row>
    <row r="29" spans="1:9" s="132" customFormat="1" ht="18.75">
      <c r="A29" s="126" t="s">
        <v>179</v>
      </c>
      <c r="B29" s="127" t="s">
        <v>148</v>
      </c>
      <c r="C29" s="128" t="s">
        <v>149</v>
      </c>
      <c r="D29" s="126" t="s">
        <v>0</v>
      </c>
      <c r="E29" s="129">
        <f>'MEMÓRIA ONERADA'!E110</f>
        <v>1238.8</v>
      </c>
      <c r="F29" s="130">
        <f>TRUNC('MEMÓRIA ONERADA'!F110,2)</f>
        <v>32.42</v>
      </c>
      <c r="G29" s="131">
        <f>TRUNC(F29*1.2302,2)</f>
        <v>39.88</v>
      </c>
      <c r="H29" s="131">
        <f>TRUNC((E29*F29),2)</f>
        <v>40161.89</v>
      </c>
      <c r="I29" s="131">
        <f>TRUNC((E29*G29),2)</f>
        <v>49403.34</v>
      </c>
    </row>
    <row r="30" spans="1:9" s="10" customFormat="1" ht="18.75">
      <c r="A30" s="96" t="s">
        <v>189</v>
      </c>
      <c r="B30" s="97"/>
      <c r="C30" s="111" t="s">
        <v>180</v>
      </c>
      <c r="D30" s="96"/>
      <c r="E30" s="109"/>
      <c r="F30" s="110"/>
      <c r="G30" s="110"/>
      <c r="H30" s="110">
        <f>H29+H28+H27</f>
        <v>147384.99</v>
      </c>
      <c r="I30" s="110">
        <f>I29+I28+I27</f>
        <v>181296.15</v>
      </c>
    </row>
    <row r="31" spans="1:9" s="1" customFormat="1" ht="15.75">
      <c r="A31" s="77" t="s">
        <v>34</v>
      </c>
      <c r="B31" s="78"/>
      <c r="C31" s="181"/>
      <c r="D31" s="182"/>
      <c r="E31" s="183"/>
      <c r="F31" s="78"/>
      <c r="G31" s="68" t="s">
        <v>19</v>
      </c>
      <c r="H31" s="79"/>
      <c r="I31" s="25">
        <f>I30+I25+I21</f>
        <v>587483.44</v>
      </c>
    </row>
    <row r="32" spans="1:9" ht="15.75">
      <c r="A32" s="80" t="s">
        <v>34</v>
      </c>
      <c r="B32" s="81"/>
      <c r="C32" s="81"/>
      <c r="D32" s="81"/>
      <c r="E32" s="81"/>
      <c r="F32" s="81"/>
      <c r="G32" s="72" t="s">
        <v>33</v>
      </c>
      <c r="H32" s="25">
        <f>H30+H25+H21</f>
        <v>467297.05000000005</v>
      </c>
      <c r="I32" s="115"/>
    </row>
    <row r="36" ht="18">
      <c r="C36" s="62" t="s">
        <v>195</v>
      </c>
    </row>
    <row r="37" ht="18">
      <c r="C37" s="62" t="s">
        <v>196</v>
      </c>
    </row>
    <row r="38" ht="18">
      <c r="C38" s="62" t="s">
        <v>197</v>
      </c>
    </row>
  </sheetData>
  <sheetProtection/>
  <mergeCells count="13">
    <mergeCell ref="C31:E31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I6"/>
    <mergeCell ref="D8:G8"/>
    <mergeCell ref="A9:G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view="pageBreakPreview" zoomScale="60" zoomScaleNormal="70" zoomScalePageLayoutView="0" workbookViewId="0" topLeftCell="A1">
      <selection activeCell="E7" sqref="E7"/>
    </sheetView>
  </sheetViews>
  <sheetFormatPr defaultColWidth="8.8515625" defaultRowHeight="15"/>
  <cols>
    <col min="1" max="1" width="15.28125" style="40" customWidth="1"/>
    <col min="2" max="2" width="51.7109375" style="40" customWidth="1"/>
    <col min="3" max="3" width="14.140625" style="40" bestFit="1" customWidth="1"/>
    <col min="4" max="6" width="22.57421875" style="40" customWidth="1"/>
    <col min="7" max="7" width="38.57421875" style="40" customWidth="1"/>
    <col min="8" max="8" width="17.8515625" style="28" bestFit="1" customWidth="1"/>
    <col min="9" max="9" width="24.28125" style="28" customWidth="1"/>
    <col min="10" max="16384" width="8.8515625" style="28" customWidth="1"/>
  </cols>
  <sheetData>
    <row r="1" spans="1:8" ht="23.25" customHeight="1">
      <c r="A1" s="195" t="s">
        <v>8</v>
      </c>
      <c r="B1" s="196"/>
      <c r="C1" s="196"/>
      <c r="D1" s="196"/>
      <c r="E1" s="91"/>
      <c r="F1" s="91"/>
      <c r="G1" s="26"/>
      <c r="H1" s="27"/>
    </row>
    <row r="2" spans="1:8" ht="23.25" customHeight="1">
      <c r="A2" s="204" t="s">
        <v>9</v>
      </c>
      <c r="B2" s="205"/>
      <c r="C2" s="205"/>
      <c r="D2" s="205"/>
      <c r="E2" s="94"/>
      <c r="F2" s="94"/>
      <c r="G2" s="29"/>
      <c r="H2" s="27"/>
    </row>
    <row r="3" spans="1:8" ht="23.25" customHeight="1">
      <c r="A3" s="204" t="s">
        <v>20</v>
      </c>
      <c r="B3" s="205"/>
      <c r="C3" s="205"/>
      <c r="D3" s="205"/>
      <c r="E3" s="94"/>
      <c r="F3" s="94"/>
      <c r="G3" s="29"/>
      <c r="H3" s="27"/>
    </row>
    <row r="4" spans="1:8" ht="25.5" customHeight="1">
      <c r="A4" s="206" t="s">
        <v>192</v>
      </c>
      <c r="B4" s="207"/>
      <c r="C4" s="207"/>
      <c r="D4" s="207"/>
      <c r="E4" s="95"/>
      <c r="F4" s="95"/>
      <c r="G4" s="29"/>
      <c r="H4" s="27"/>
    </row>
    <row r="5" spans="1:8" ht="20.25">
      <c r="A5" s="210" t="s">
        <v>193</v>
      </c>
      <c r="B5" s="211"/>
      <c r="C5" s="211"/>
      <c r="D5" s="211"/>
      <c r="E5" s="89"/>
      <c r="F5" s="89"/>
      <c r="G5" s="29"/>
      <c r="H5" s="27"/>
    </row>
    <row r="6" spans="1:8" ht="23.25" customHeight="1">
      <c r="A6" s="212" t="s">
        <v>37</v>
      </c>
      <c r="B6" s="213"/>
      <c r="C6" s="213"/>
      <c r="D6" s="213"/>
      <c r="E6" s="90"/>
      <c r="F6" s="90"/>
      <c r="G6" s="29"/>
      <c r="H6" s="27"/>
    </row>
    <row r="7" spans="1:8" ht="35.25" customHeight="1">
      <c r="A7" s="200" t="s">
        <v>188</v>
      </c>
      <c r="B7" s="201"/>
      <c r="C7" s="201"/>
      <c r="D7" s="201"/>
      <c r="E7" s="92"/>
      <c r="F7" s="92"/>
      <c r="G7" s="29"/>
      <c r="H7" s="27"/>
    </row>
    <row r="8" spans="1:8" ht="31.5" customHeight="1">
      <c r="A8" s="202"/>
      <c r="B8" s="203"/>
      <c r="C8" s="203"/>
      <c r="D8" s="203"/>
      <c r="E8" s="93"/>
      <c r="F8" s="93"/>
      <c r="G8" s="30"/>
      <c r="H8" s="27"/>
    </row>
    <row r="9" spans="1:8" ht="26.25" customHeight="1">
      <c r="A9" s="197" t="s">
        <v>31</v>
      </c>
      <c r="B9" s="198"/>
      <c r="C9" s="198"/>
      <c r="D9" s="198"/>
      <c r="E9" s="198"/>
      <c r="F9" s="198"/>
      <c r="G9" s="199"/>
      <c r="H9" s="27"/>
    </row>
    <row r="10" spans="1:9" s="34" customFormat="1" ht="27" customHeight="1">
      <c r="A10" s="214" t="s">
        <v>5</v>
      </c>
      <c r="B10" s="214" t="s">
        <v>6</v>
      </c>
      <c r="C10" s="217" t="s">
        <v>21</v>
      </c>
      <c r="D10" s="218"/>
      <c r="E10" s="217" t="s">
        <v>21</v>
      </c>
      <c r="F10" s="218"/>
      <c r="G10" s="31"/>
      <c r="H10" s="32"/>
      <c r="I10" s="33"/>
    </row>
    <row r="11" spans="1:9" s="34" customFormat="1" ht="27" customHeight="1">
      <c r="A11" s="215"/>
      <c r="B11" s="215"/>
      <c r="C11" s="217" t="s">
        <v>22</v>
      </c>
      <c r="D11" s="218"/>
      <c r="E11" s="217" t="s">
        <v>186</v>
      </c>
      <c r="F11" s="218"/>
      <c r="G11" s="31" t="s">
        <v>23</v>
      </c>
      <c r="H11" s="32"/>
      <c r="I11" s="33"/>
    </row>
    <row r="12" spans="1:8" s="34" customFormat="1" ht="27" customHeight="1">
      <c r="A12" s="216"/>
      <c r="B12" s="216"/>
      <c r="C12" s="144" t="s">
        <v>24</v>
      </c>
      <c r="D12" s="145" t="s">
        <v>25</v>
      </c>
      <c r="E12" s="144" t="s">
        <v>24</v>
      </c>
      <c r="F12" s="145" t="s">
        <v>25</v>
      </c>
      <c r="G12" s="143" t="s">
        <v>26</v>
      </c>
      <c r="H12" s="32"/>
    </row>
    <row r="13" spans="1:9" ht="40.5" customHeight="1">
      <c r="A13" s="83" t="s">
        <v>4</v>
      </c>
      <c r="B13" s="82" t="s">
        <v>187</v>
      </c>
      <c r="C13" s="141">
        <v>0.5</v>
      </c>
      <c r="D13" s="142">
        <f>C13*G13</f>
        <v>202557.62</v>
      </c>
      <c r="E13" s="141">
        <v>0.5</v>
      </c>
      <c r="F13" s="142">
        <f>C13*G13</f>
        <v>202557.62</v>
      </c>
      <c r="G13" s="36">
        <f>'MEMÓRIA ONERADA'!I76</f>
        <v>405115.24</v>
      </c>
      <c r="H13" s="37"/>
      <c r="I13" s="38"/>
    </row>
    <row r="14" spans="1:9" ht="40.5" customHeight="1">
      <c r="A14" s="83" t="s">
        <v>172</v>
      </c>
      <c r="B14" s="82" t="s">
        <v>110</v>
      </c>
      <c r="C14" s="141">
        <v>0.5</v>
      </c>
      <c r="D14" s="142">
        <f>C14*G14</f>
        <v>536.025</v>
      </c>
      <c r="E14" s="141">
        <v>0.5</v>
      </c>
      <c r="F14" s="142">
        <f>C14*G14</f>
        <v>536.025</v>
      </c>
      <c r="G14" s="36">
        <f>'MEMÓRIA ONERADA'!I92</f>
        <v>1072.05</v>
      </c>
      <c r="H14" s="37"/>
      <c r="I14" s="35">
        <f>F14*J14</f>
        <v>0</v>
      </c>
    </row>
    <row r="15" spans="1:9" ht="37.5" customHeight="1">
      <c r="A15" s="125" t="s">
        <v>176</v>
      </c>
      <c r="B15" s="124" t="s">
        <v>128</v>
      </c>
      <c r="C15" s="141">
        <v>0.5</v>
      </c>
      <c r="D15" s="142">
        <f>C15*G15</f>
        <v>90648.075</v>
      </c>
      <c r="E15" s="141">
        <v>0.5</v>
      </c>
      <c r="F15" s="142">
        <f>C15*G15</f>
        <v>90648.075</v>
      </c>
      <c r="G15" s="39">
        <f>'MEMÓRIA ONERADA'!I116</f>
        <v>181296.15</v>
      </c>
      <c r="H15" s="37"/>
      <c r="I15" s="35">
        <f>F15*J15</f>
        <v>0</v>
      </c>
    </row>
    <row r="16" spans="1:9" ht="40.5" customHeight="1">
      <c r="A16" s="193" t="s">
        <v>27</v>
      </c>
      <c r="B16" s="194"/>
      <c r="C16" s="208">
        <f>D13+D14+D15</f>
        <v>293741.72</v>
      </c>
      <c r="D16" s="209"/>
      <c r="E16" s="208">
        <f>F13+F14+F15</f>
        <v>293741.72</v>
      </c>
      <c r="F16" s="209"/>
      <c r="G16" s="140">
        <f>'MEMÓRIA ONERADA'!I117</f>
        <v>587483.44</v>
      </c>
      <c r="H16" s="27"/>
      <c r="I16" s="35">
        <f>F16*J16</f>
        <v>0</v>
      </c>
    </row>
    <row r="17" spans="1:8" ht="42" customHeight="1">
      <c r="A17" s="193" t="s">
        <v>28</v>
      </c>
      <c r="B17" s="194"/>
      <c r="C17" s="191">
        <f>C16</f>
        <v>293741.72</v>
      </c>
      <c r="D17" s="192"/>
      <c r="E17" s="191">
        <f>E16</f>
        <v>293741.72</v>
      </c>
      <c r="F17" s="192"/>
      <c r="G17" s="53"/>
      <c r="H17" s="27"/>
    </row>
    <row r="18" spans="1:8" ht="35.25" customHeight="1">
      <c r="A18" s="189" t="s">
        <v>29</v>
      </c>
      <c r="B18" s="190"/>
      <c r="C18" s="187">
        <f>C16/G16</f>
        <v>0.5</v>
      </c>
      <c r="D18" s="188"/>
      <c r="E18" s="187">
        <f>E17/G16</f>
        <v>0.5</v>
      </c>
      <c r="F18" s="188"/>
      <c r="G18" s="54"/>
      <c r="H18" s="27"/>
    </row>
    <row r="19" spans="1:8" ht="39" customHeight="1">
      <c r="A19" s="189" t="s">
        <v>30</v>
      </c>
      <c r="B19" s="190"/>
      <c r="C19" s="187">
        <f>C18</f>
        <v>0.5</v>
      </c>
      <c r="D19" s="188"/>
      <c r="E19" s="187">
        <f>C18+E18</f>
        <v>1</v>
      </c>
      <c r="F19" s="188"/>
      <c r="G19" s="55"/>
      <c r="H19" s="27"/>
    </row>
    <row r="20" ht="37.5" customHeight="1"/>
    <row r="21" spans="1:7" ht="20.25">
      <c r="A21" s="219">
        <f>SUM(F18:F18)</f>
        <v>0</v>
      </c>
      <c r="B21" s="219"/>
      <c r="C21" s="219"/>
      <c r="D21" s="219"/>
      <c r="E21" s="219"/>
      <c r="F21" s="219"/>
      <c r="G21" s="219"/>
    </row>
    <row r="22" spans="1:7" ht="18" customHeight="1">
      <c r="A22" s="220" t="s">
        <v>195</v>
      </c>
      <c r="B22" s="220"/>
      <c r="C22" s="220"/>
      <c r="D22" s="220"/>
      <c r="E22" s="220"/>
      <c r="F22" s="220"/>
      <c r="G22" s="220"/>
    </row>
    <row r="23" spans="1:7" ht="15">
      <c r="A23" s="220" t="s">
        <v>196</v>
      </c>
      <c r="B23" s="220"/>
      <c r="C23" s="220"/>
      <c r="D23" s="220"/>
      <c r="E23" s="220"/>
      <c r="F23" s="220"/>
      <c r="G23" s="220"/>
    </row>
    <row r="24" spans="1:7" ht="15">
      <c r="A24" s="220" t="s">
        <v>197</v>
      </c>
      <c r="B24" s="220"/>
      <c r="C24" s="220"/>
      <c r="D24" s="220"/>
      <c r="E24" s="220"/>
      <c r="F24" s="220"/>
      <c r="G24" s="220"/>
    </row>
    <row r="25" spans="1:7" ht="15">
      <c r="A25" s="163"/>
      <c r="B25" s="163"/>
      <c r="C25" s="163"/>
      <c r="D25" s="163"/>
      <c r="E25" s="163"/>
      <c r="F25" s="163"/>
      <c r="G25" s="163"/>
    </row>
    <row r="37" spans="6:7" ht="20.25">
      <c r="F37" s="208"/>
      <c r="G37" s="209"/>
    </row>
    <row r="38" spans="6:7" ht="20.25">
      <c r="F38" s="208"/>
      <c r="G38" s="209"/>
    </row>
  </sheetData>
  <sheetProtection/>
  <mergeCells count="33">
    <mergeCell ref="F37:G37"/>
    <mergeCell ref="F38:G38"/>
    <mergeCell ref="E10:F10"/>
    <mergeCell ref="C10:D10"/>
    <mergeCell ref="A21:G21"/>
    <mergeCell ref="A22:G22"/>
    <mergeCell ref="A23:G23"/>
    <mergeCell ref="A24:G24"/>
    <mergeCell ref="E11:F11"/>
    <mergeCell ref="E16:F16"/>
    <mergeCell ref="E17:F17"/>
    <mergeCell ref="E18:F18"/>
    <mergeCell ref="E19:F19"/>
    <mergeCell ref="C16:D16"/>
    <mergeCell ref="A5:D5"/>
    <mergeCell ref="A6:D6"/>
    <mergeCell ref="A16:B16"/>
    <mergeCell ref="A10:A12"/>
    <mergeCell ref="B10:B12"/>
    <mergeCell ref="C11:D11"/>
    <mergeCell ref="A1:D1"/>
    <mergeCell ref="A9:G9"/>
    <mergeCell ref="A7:D7"/>
    <mergeCell ref="A8:D8"/>
    <mergeCell ref="A2:D2"/>
    <mergeCell ref="A3:D3"/>
    <mergeCell ref="A4:D4"/>
    <mergeCell ref="C19:D19"/>
    <mergeCell ref="A19:B19"/>
    <mergeCell ref="C18:D18"/>
    <mergeCell ref="A18:B18"/>
    <mergeCell ref="C17:D17"/>
    <mergeCell ref="A17:B17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70" r:id="rId2"/>
  <headerFooter alignWithMargins="0"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cunha</dc:creator>
  <cp:keywords/>
  <dc:description/>
  <cp:lastModifiedBy>Thais da Silva Miranda</cp:lastModifiedBy>
  <cp:lastPrinted>2021-11-17T14:06:52Z</cp:lastPrinted>
  <dcterms:created xsi:type="dcterms:W3CDTF">2020-09-03T11:54:39Z</dcterms:created>
  <dcterms:modified xsi:type="dcterms:W3CDTF">2021-11-17T19:35:45Z</dcterms:modified>
  <cp:category/>
  <cp:version/>
  <cp:contentType/>
  <cp:contentStatus/>
</cp:coreProperties>
</file>