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20115" windowHeight="7215" activeTab="0"/>
  </bookViews>
  <sheets>
    <sheet name="MEMÓRIA ONERADA" sheetId="1" r:id="rId1"/>
    <sheet name="MEMÓRIA ONERADA resumida" sheetId="2" r:id="rId2"/>
    <sheet name="PLANILHA FINAL" sheetId="3" r:id="rId3"/>
    <sheet name="Cronograma 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shared_1_0_0" localSheetId="1">#REF!*#REF!</definedName>
    <definedName name="__shared_1_0_0" localSheetId="2">#REF!*#REF!</definedName>
    <definedName name="__shared_1_0_0">#REF!*#REF!</definedName>
    <definedName name="__shared_1_1_0" localSheetId="1">#REF!*#REF!</definedName>
    <definedName name="__shared_1_1_0" localSheetId="2">#REF!*#REF!</definedName>
    <definedName name="__shared_1_1_0">#REF!*#REF!</definedName>
    <definedName name="__shared_1_2_0" localSheetId="1">#REF!*#REF!</definedName>
    <definedName name="__shared_1_2_0" localSheetId="2">#REF!*#REF!</definedName>
    <definedName name="__shared_1_2_0">#REF!*#REF!</definedName>
    <definedName name="__shared_1_3_0" localSheetId="1">#REF!*#REF!</definedName>
    <definedName name="__shared_1_3_0" localSheetId="2">#REF!*#REF!</definedName>
    <definedName name="__shared_1_3_0">#REF!*#REF!</definedName>
    <definedName name="__shared_1_3_1" localSheetId="1">#REF!*#REF!</definedName>
    <definedName name="__shared_1_3_1" localSheetId="2">#REF!*#REF!</definedName>
    <definedName name="__shared_1_3_1">#REF!*#REF!</definedName>
    <definedName name="__shared_1_4_0" localSheetId="1">#REF!*#REF!</definedName>
    <definedName name="__shared_1_4_0" localSheetId="2">#REF!*#REF!</definedName>
    <definedName name="__shared_1_4_0">#REF!*#REF!</definedName>
    <definedName name="__shared_1_5_0" localSheetId="1">#REF!*#REF!</definedName>
    <definedName name="__shared_1_5_0" localSheetId="2">#REF!*#REF!</definedName>
    <definedName name="__shared_1_5_0">#REF!*#REF!</definedName>
    <definedName name="__shared_2_0_0" localSheetId="1">#REF!*#REF!</definedName>
    <definedName name="__shared_2_0_0" localSheetId="2">#REF!*#REF!</definedName>
    <definedName name="__shared_2_0_0">#REF!*#REF!</definedName>
    <definedName name="__shared_3_0_0" localSheetId="1">SUM(#REF!)</definedName>
    <definedName name="__shared_3_0_0" localSheetId="2">SUM(#REF!)</definedName>
    <definedName name="__shared_3_0_0">SUM(#REF!)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EXTRACT" localSheetId="3">'Cronograma '!#REF!</definedName>
    <definedName name="_xlnm.Print_Area" localSheetId="3">'Cronograma '!$A$1:$M$24</definedName>
    <definedName name="_xlnm.Print_Area" localSheetId="0">'MEMÓRIA ONERADA'!$A$1:$G$234</definedName>
    <definedName name="_xlnm.Print_Area" localSheetId="1">'MEMÓRIA ONERADA resumida'!$A$1:$G$50</definedName>
    <definedName name="_xlnm.Print_Area" localSheetId="2">'PLANILHA FINAL'!$A$1:$I$50</definedName>
    <definedName name="BDI" localSheetId="3">#REF!</definedName>
    <definedName name="BDI" localSheetId="0">#REF!</definedName>
    <definedName name="BDI" localSheetId="1">#REF!</definedName>
    <definedName name="BDI" localSheetId="2">#REF!</definedName>
    <definedName name="BDI">#REF!</definedName>
    <definedName name="CRITERIA" localSheetId="3">'Cronograma '!#REF!</definedName>
    <definedName name="cronog" localSheetId="1">#REF!</definedName>
    <definedName name="cronog" localSheetId="2">#REF!</definedName>
    <definedName name="cronog">#REF!</definedName>
    <definedName name="MEM_A" localSheetId="1">#REF!</definedName>
    <definedName name="MEM_A" localSheetId="2">#REF!</definedName>
    <definedName name="MEM_A">#REF!</definedName>
    <definedName name="MEN_B" localSheetId="1">#REF!</definedName>
    <definedName name="MEN_B" localSheetId="2">#REF!</definedName>
    <definedName name="MEN_B">#REF!</definedName>
    <definedName name="OnerADO" localSheetId="1">#REF!</definedName>
    <definedName name="OnerADO" localSheetId="2">#REF!</definedName>
    <definedName name="OnerADO">#REF!</definedName>
    <definedName name="ORÇ_A" localSheetId="1">#REF!</definedName>
    <definedName name="ORÇ_A" localSheetId="2">#REF!</definedName>
    <definedName name="ORÇ_A">#REF!</definedName>
    <definedName name="ORÇ_B" localSheetId="1">#REF!</definedName>
    <definedName name="ORÇ_B" localSheetId="2">#REF!</definedName>
    <definedName name="ORÇ_B">#REF!</definedName>
    <definedName name="ORÇ_D" localSheetId="1">#REF!</definedName>
    <definedName name="ORÇ_D" localSheetId="2">#REF!</definedName>
    <definedName name="ORÇ_D">#REF!</definedName>
    <definedName name="orcb" localSheetId="1">#REF!</definedName>
    <definedName name="orcb" localSheetId="2">#REF!</definedName>
    <definedName name="orcb">#REF!</definedName>
    <definedName name="pc" localSheetId="1">#REF!</definedName>
    <definedName name="pc" localSheetId="2">#REF!</definedName>
    <definedName name="pc">#REF!</definedName>
    <definedName name="_xlnm.Print_Titles" localSheetId="3">'Cronograma '!$10:$12</definedName>
    <definedName name="_xlnm.Print_Titles" localSheetId="0">'MEMÓRIA ONERADA'!$9:$11</definedName>
    <definedName name="_xlnm.Print_Titles" localSheetId="1">'MEMÓRIA ONERADA resumida'!$9:$11</definedName>
    <definedName name="_xlnm.Print_Titles" localSheetId="2">'PLANILHA FINAL'!$1:$11</definedName>
  </definedNames>
  <calcPr fullCalcOnLoad="1"/>
</workbook>
</file>

<file path=xl/sharedStrings.xml><?xml version="1.0" encoding="utf-8"?>
<sst xmlns="http://schemas.openxmlformats.org/spreadsheetml/2006/main" count="849" uniqueCount="307">
  <si>
    <t>H</t>
  </si>
  <si>
    <t>TOTAL</t>
  </si>
  <si>
    <t>1.1</t>
  </si>
  <si>
    <t>UN</t>
  </si>
  <si>
    <t>1.0</t>
  </si>
  <si>
    <t xml:space="preserve">Estado do Rio de Janeiro                                                        </t>
  </si>
  <si>
    <t>Prefeitura Municipal de Barra Mansa</t>
  </si>
  <si>
    <t xml:space="preserve">MEMÓRIA DE CÁLCULO </t>
  </si>
  <si>
    <t>ITEM</t>
  </si>
  <si>
    <t>CODIGO EMOP/ SINAPI</t>
  </si>
  <si>
    <t>DISCRIMINAÇÃO</t>
  </si>
  <si>
    <t>QUANT.</t>
  </si>
  <si>
    <t>PREÇOS (R$)</t>
  </si>
  <si>
    <t>UNIT</t>
  </si>
  <si>
    <t xml:space="preserve">CRONOGRAMA  FÍSICO-FINANCEIRO </t>
  </si>
  <si>
    <t>DESCRIÇÃO</t>
  </si>
  <si>
    <t>PERÍODO</t>
  </si>
  <si>
    <t>30 DIAS</t>
  </si>
  <si>
    <t>TOTAL DOS</t>
  </si>
  <si>
    <t>FÍSICO</t>
  </si>
  <si>
    <t>FINANCEIRO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</si>
  <si>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</si>
  <si>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</si>
  <si>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</si>
  <si>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</si>
  <si>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</si>
  <si>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t>x</t>
  </si>
  <si>
    <t>TOTAL GERAL =</t>
  </si>
  <si>
    <t>14.002.0199-0</t>
  </si>
  <si>
    <t>GRADIL ELETROFUNDIDO TIPO ORSOMETAL,NA MALHA 65X132MM E BARRA PORTANTE 25X2MM,FIO 5,MONTANTES 2120X76X8MM,PARAFUSOS,PINT URA ELETROSTATICA NAS CORES VERDE OU CINZA,INCLUSIVE MONTAGEM (OBS.:3%-DESGASTE DE FERRAMENTAS E EPI).</t>
  </si>
  <si>
    <t>M2</t>
  </si>
  <si>
    <t>06913</t>
  </si>
  <si>
    <t>MAO-DE-OBRA DE SERRALHEIRO DA CONSTRUCAOCIVIL, INCLUSIVE ENCARGOS SOCIAIS</t>
  </si>
  <si>
    <t>01999</t>
  </si>
  <si>
    <t>MAO-DE-OBRA DE SERVENTE DA CONSTRUCAO CIVIL, INCLUSIVE ENCARGOS SOCIAIS</t>
  </si>
  <si>
    <t>14.002.0199-5</t>
  </si>
  <si>
    <t>1.2</t>
  </si>
  <si>
    <t>Secretaria Municipal de Planejamento Urbano</t>
  </si>
  <si>
    <t>SERVIÇOS PRELIMINARES</t>
  </si>
  <si>
    <t>1.3</t>
  </si>
  <si>
    <t>1.4</t>
  </si>
  <si>
    <t>02.020.0001-0</t>
  </si>
  <si>
    <t>PLACA DE IDENTIFICACAO DE OBRA PUBLICA,INCLUSIVE PINTURA E SUPORTES DE MADEIRA.FORNECIMENTO E COLOCACAO (OBS.:3% - DESGASTE DE FERRAMENTAS E EPI).</t>
  </si>
  <si>
    <t>00453</t>
  </si>
  <si>
    <t>PREGO COM OU SEM CABECA, EM CAIXAS DE 50KG, OU QUANTIDADES EQUIVALENTES, N§12X12A 18X30</t>
  </si>
  <si>
    <t>KG</t>
  </si>
  <si>
    <t>00368</t>
  </si>
  <si>
    <t>PINUS, EM PECAS DE 7,50X7,50CM (3"X3")</t>
  </si>
  <si>
    <t>M</t>
  </si>
  <si>
    <t>00294</t>
  </si>
  <si>
    <t>TINTA A OLEO BRILHANTE, P/USO GERAL, EMINTERIORES E EXTERIORES</t>
  </si>
  <si>
    <t>GL</t>
  </si>
  <si>
    <t>00160</t>
  </si>
  <si>
    <t>CHAPA DE ACO CARBONO, GALVANIZADA, PARAUSOS GERAIS, TAMANHO PADRAO, PRECO DE REVENDEDOR, COM ESPESSURA DE 0,5MM</t>
  </si>
  <si>
    <t>01967</t>
  </si>
  <si>
    <t>MAO-DE-OBRA DE CARPINTEIRO DE ESQUADRIASDE MADEIRA INCLUSIVE ENCARGOS SOCIAIS</t>
  </si>
  <si>
    <t>01966</t>
  </si>
  <si>
    <t>MAO-DE-OBRA DE PINTOR, INCLUSIVE ENCARGOS SOCIAIS</t>
  </si>
  <si>
    <t>01001</t>
  </si>
  <si>
    <t>19.004.0001-2 CAMINHAO CARROC. FIXA, 3,5T (CP)</t>
  </si>
  <si>
    <t>1.5</t>
  </si>
  <si>
    <t>2.0</t>
  </si>
  <si>
    <t>05.001.0023-0</t>
  </si>
  <si>
    <t>DEMOLICAO MANUAL DE ALVENARIA DE TIJOLOS FURADOS,INCLUSIVE EMPILHAMENTO LATERAL DENTRO DO CANTEIRO DE SERVICO (OBS.:3%- DESGASTE DE FERRAMENTAS E EPI).</t>
  </si>
  <si>
    <t>M3</t>
  </si>
  <si>
    <t>01968</t>
  </si>
  <si>
    <t>MAO-DE-OBRA DE PEDREIRO, INCLUSIVE ENCARGOS SOCIAIS</t>
  </si>
  <si>
    <t>05.001.0002-1</t>
  </si>
  <si>
    <t>DEMOLICAO MANUAL DE CONCRETO ARMADO COMPREENDENDO PILARES,VIGAS E LAJES,EM ESTRUTURA APRESENTANDO POSICAO ESPECIAL,INCLU SIVE EMPILHAMENTO LATERAL DENTRO DO CANTEIRO DE SERVICO (OBS.:3%- DESGASTE DE FERRAMENTAS E EPI).</t>
  </si>
  <si>
    <t>05.001.0018-0</t>
  </si>
  <si>
    <t>DEMOLICAO MANUAL DE PISO CIMENTADO E DA RESPECTIVA BASE DE CONCRETO,OU PASSEIO DE CONCRETO,INCLUSIVE EMPILHAMENTO LATERA L DENTRO DO CANTEIRO DE SERVICO (OBS.:3%-DESGASTE DE FERRAMENTAS E EPI).</t>
  </si>
  <si>
    <t>2.1</t>
  </si>
  <si>
    <t>3.0</t>
  </si>
  <si>
    <t>CONCRETO ARMADO,FCK=25MPA,INCLUINDO MATERIAIS PARA 1,00M3 DE CONCRETO(IMPORTADO DE USINA)ADENSADO E COLOCADO,14,00M2 DE AREA MOLDADA,FORMAS E ESCORAMENTO CONFORME ITENS 11.004.0022E 11.004.0035,60KG DE ACO CA-50,INCLUSIVE MAO-DE-OBRA PARA CORTE,DOBRAGEM,MONTAGEM E COLOCACAO NAS FORMAS (OBS.:3%-DESGASTE DE FERRAMENTAS E EPI).</t>
  </si>
  <si>
    <t>05845</t>
  </si>
  <si>
    <t>ACO CA-50, ESTIRADO, PRECO DE REVENDEDOR, NO DIAMETRO DE 08,0MM</t>
  </si>
  <si>
    <t>05844</t>
  </si>
  <si>
    <t>ACO CA-50, ESTIRADO, PRECO DE REVENDEDOR, NO DIAMETRO DE 06,3MM</t>
  </si>
  <si>
    <t>00021</t>
  </si>
  <si>
    <t>ACO CA-50, ESTIRADO, PRECO DE REVENDEDOR, NO DIAMETRO, DE 25,0MM</t>
  </si>
  <si>
    <t>00019</t>
  </si>
  <si>
    <t>ACO CA-50, ESTIRADO, PRECO DE REVENDEDOR, NO DIAMETRO DE 16,0MM</t>
  </si>
  <si>
    <t>00018</t>
  </si>
  <si>
    <t>ACO CA-50, ESTIRADO, PRECO DE REVENDEDOR, NO DIAMETRO DE 12,5MM</t>
  </si>
  <si>
    <t>00017</t>
  </si>
  <si>
    <t>ACO CA-50, ESTIRADO, PRECO DE REVENDEDOR, NO DIAMETRO DE 10,0MM</t>
  </si>
  <si>
    <t>00004</t>
  </si>
  <si>
    <t>ARAME RECOZIDO N§ 18</t>
  </si>
  <si>
    <t>01998</t>
  </si>
  <si>
    <t>MAO-DE-OBRA DE ARMADOR DE CONCRETO ARMADO, INCLUSIVE ENCARGOS SOCIAIS</t>
  </si>
  <si>
    <t>01990</t>
  </si>
  <si>
    <t>MAO-DE-OBRA DE CARPINTEIRO DE FORMA DE CONCRETO, INCLUSIVE ENCARGOS SOCIAIS</t>
  </si>
  <si>
    <t>03000</t>
  </si>
  <si>
    <t>54.001.0100-1 FORMAS MADEIRA P/MOLDAGEM, INCL. ESCOR.</t>
  </si>
  <si>
    <t>01158</t>
  </si>
  <si>
    <t>19.007.0013-4 VIBRADOR IMERSAO ELETR. 2CV (CI)</t>
  </si>
  <si>
    <t>01157</t>
  </si>
  <si>
    <t>19.007.0013-2 VIBRADOR IMERSAO ELETR. 2CV (CP)</t>
  </si>
  <si>
    <t>11.013.0075-5</t>
  </si>
  <si>
    <t>4.0</t>
  </si>
  <si>
    <t>3.1</t>
  </si>
  <si>
    <t>3.2</t>
  </si>
  <si>
    <t>13.002.0011-1</t>
  </si>
  <si>
    <t>REVESTIMENTO EXTERNO,DE UMA VEZ,COM ARGAMASSA DE CIMENTO,SAIBRO MACIO E AREIA FINA,NO TRACO 1:3:3,COM ESPESSURA DE 2,5CM ,INCLUSIVE CHAPISCO DE CIMENTO E AREIA,NO TRACO 1:3 (OBS.:3%-DESGASTE DE FERRAMENTAS E EPI).</t>
  </si>
  <si>
    <t>03084</t>
  </si>
  <si>
    <t>13.001.0010-1 CHAPISCO SUPERF. CONCR./ALVEN.,COM ARGAMASSA DE CIMENTO E AREIA NO TRACO 1:3</t>
  </si>
  <si>
    <t>03081</t>
  </si>
  <si>
    <t>07.007.0020-1 ARGAMASSA CIM.,SAIBRO,AREIA 1:3:3,PREPARO MECANICO</t>
  </si>
  <si>
    <t>4.1</t>
  </si>
  <si>
    <t>4.2</t>
  </si>
  <si>
    <t>5.0</t>
  </si>
  <si>
    <t>PINTURA</t>
  </si>
  <si>
    <t>5.1</t>
  </si>
  <si>
    <t>So00000088316</t>
  </si>
  <si>
    <t>SERVENTE COM ENCARGOS COMPLEMENTARES</t>
  </si>
  <si>
    <t>6.0</t>
  </si>
  <si>
    <t>CALÇADA DE CONCRETO</t>
  </si>
  <si>
    <t>6.1</t>
  </si>
  <si>
    <t>6.2</t>
  </si>
  <si>
    <t>05.001.0142-0</t>
  </si>
  <si>
    <t>ARRANCAMENTO DE MEIOS-FIOS,DE GRANITO OU CONCRETO,RETOS OU CURVOS,INCLUSIVE EMPILHAMENTO LATERAL DENTRO DO CANTEIRO DE S ERVICO (OBS.:3%-DESGASTE DE FERRAMENTAS E EPI).</t>
  </si>
  <si>
    <t>08.027.0042-0</t>
  </si>
  <si>
    <t>MEIO-FIO RETO DE CONCRETO SIMPLES FCK=15MPA,PRE-MOLDADO,TIPO DER-RJ,MEDINDO 0,15M NA BASE E COM ALTURA DE 0,30M,REJUNTAM ENTO COM ARGAMASSA DE CIMENTO E AREIA NO TRACO 1:3,5,COM FORNECIMENTO DE TODOS OS MATERIAIS,ESCAVACAO E REATERRO (OBS.:3%- DESGASTE DE FERRAMENTAS E EPI).</t>
  </si>
  <si>
    <t>01991</t>
  </si>
  <si>
    <t>MAO-DE-OBRA DE CALCETEIRO, INCLUSIVE ENCARGOS SOCIAIS</t>
  </si>
  <si>
    <t>01763</t>
  </si>
  <si>
    <t>11.002.0034-1 LANCAMENTO CONC.S/ARM.3,5M3/H, HORIZ.</t>
  </si>
  <si>
    <t>01744</t>
  </si>
  <si>
    <t>11.002.0012-1 PREPARO CONCR. BETON. 600L; 3,5 M3/H</t>
  </si>
  <si>
    <t>01639</t>
  </si>
  <si>
    <t>11.004.0001-1 FORMAS MADEIRA, PINUS, 20 VEZES</t>
  </si>
  <si>
    <t>01635</t>
  </si>
  <si>
    <t>11.001.0005-1 CONCRETO FCK 15MPA</t>
  </si>
  <si>
    <t>01607</t>
  </si>
  <si>
    <t>07.002.0030-1 ARGAMASSA CIM.,AREIA TRACO 1:4,PREPAROMECANICO</t>
  </si>
  <si>
    <t>So00000094996</t>
  </si>
  <si>
    <t>EXECUÇÃO DE PASSEIO (CALÇADA) OU PISO DE CONCRETO COM CONCRETO MOLDADO IN LOCO, FEITO EM OBRA, ACABAMENTO CONVENCIONAL, ESPESSURA 10 CM, ARMADO. AF_07/2016</t>
  </si>
  <si>
    <t>So0007156</t>
  </si>
  <si>
    <t>TELA DE ACO SOLDADA NERVURADA, CA-60, Q-196, (3,11 KG/M2), DIAMETRO DO FIO = 5,0 MM, LARGURA = 2,45 M, ESPACAMENTO DA MALHA = 10 X 10 CM</t>
  </si>
  <si>
    <t>So0004460</t>
  </si>
  <si>
    <t>SARRAFO NAO APARELHADO *2,5 X 10* CM, EM MACARANDUBA, ANGELIM OU EQUIVALENTE DA REGIAO -  BRUTA</t>
  </si>
  <si>
    <t>So0003777</t>
  </si>
  <si>
    <t>LONA PLASTICA PESADA PRETA, E = 150 MICRA</t>
  </si>
  <si>
    <t>So0004517</t>
  </si>
  <si>
    <t>SARRAFO *2,5 X 7,5* CM EM PINUS, MISTA OU EQUIVALENTE DA REGIAO - BRUTA</t>
  </si>
  <si>
    <t>So00000088309</t>
  </si>
  <si>
    <t>PEDREIRO COM ENCARGOS COMPLEMENTARES</t>
  </si>
  <si>
    <t>So00000088262</t>
  </si>
  <si>
    <t>CARPINTEIRO DE FORMAS COM ENCARGOS COMPLEMENTARES</t>
  </si>
  <si>
    <t>So00000094964</t>
  </si>
  <si>
    <t>So00000094964 CONCRETO FCK = 20MPA, TRAÇO 1:2,7:3 (CIMENTO/ AREIA MÉDIA/ BRITA 1)  - PREPARO MECÂNICO COM BETONEIRA 400 L. AF_07/2016</t>
  </si>
  <si>
    <t>13.333.0010-0</t>
  </si>
  <si>
    <t>REVESTIMENTO DE PISO COM CERAMICA TATIL DIRECIONAL,(LADRILHO HIDRAULICO),PARA PESSOAS COM NECESSIDADES ESPECIFICAS,ASSEN TES SOBRE SUPERFICIE EM OSSO,CONFORME ITEM 13.330.0010 (OBS.:3%-DESGASTE DE FERRAMENTAS E EPI).</t>
  </si>
  <si>
    <t>11227</t>
  </si>
  <si>
    <t>PISO CERAMICO TATIL DIRECIONAL, AMARELO,PARA PORTADORES DE NECESSIDADES ESPECIFICAS</t>
  </si>
  <si>
    <t>05350</t>
  </si>
  <si>
    <t>00150</t>
  </si>
  <si>
    <t>CIMENTO BRANCO</t>
  </si>
  <si>
    <t>01978</t>
  </si>
  <si>
    <t>MAO-DE-OBRA DE LADRILHEIRO, INCLUSIVE ENCARGOS SOCIAIS</t>
  </si>
  <si>
    <t>03429</t>
  </si>
  <si>
    <t>07.001.0130-1 ARGAMASSA CIM.,SAIBRO,AREIA 1:3:3,PREPARO MANUAL</t>
  </si>
  <si>
    <t>03077</t>
  </si>
  <si>
    <t>07.001.0010-1 PASTA DE CIMENTO COMUM</t>
  </si>
  <si>
    <t>REVESTIMENTO DE PISO COM CERAMICA TATIL ALERTA E DIRECIONAL,(LADRILHO HIDRAULICO),PARA PESSOAS COM NECESSIDADES ESPECIFICAS,ASSEN TES SOBRE SUPERFICIE EM OSSO,CONFORME ITEM 13.330.0010 (OBS.:3%-DESGASTE DE FERRAMENTAS E EPI).</t>
  </si>
  <si>
    <t>13.333.0010-5</t>
  </si>
  <si>
    <t>TRANSPORTE E BOTA-FORA</t>
  </si>
  <si>
    <t>04.014.0095-0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</si>
  <si>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</si>
  <si>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</si>
  <si>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ALUGUEL CACAMBA DE ACO TIPO CONTAINER C/5M3 CAPAC.P/RETIRADA ENTULHO OBRA,INCL.CARREGA.,TRANSP.E DESCAR.LOCAIS AUTORIZ.</t>
  </si>
  <si>
    <t>UNIT C/ BDI</t>
  </si>
  <si>
    <t>TOTAL C/ BDI</t>
  </si>
  <si>
    <t>Orçamentista: Eng. Alfredo Cunha</t>
  </si>
  <si>
    <t>Serviço : Reforma da Calçada e do Muro da EM Eliete de O Ferreira</t>
  </si>
  <si>
    <t>ORÇAMENTO Nº 025-2021</t>
  </si>
  <si>
    <t>DATA:15/10/2021</t>
  </si>
  <si>
    <t>Projeto: Arqta Mariana Teixeira</t>
  </si>
  <si>
    <t>Levantamento: Arqta Mariana Teixeira</t>
  </si>
  <si>
    <t>Orçamento: Eng. Alfredo Antônio Nicolau M Cunha</t>
  </si>
  <si>
    <t>Aprovação: Eng. Eros dos Santos</t>
  </si>
  <si>
    <r>
      <t>Data-Base:   EMOP -  RJ / SINAPI -</t>
    </r>
    <r>
      <rPr>
        <b/>
        <sz val="12"/>
        <color indexed="8"/>
        <rFont val="Arial"/>
        <family val="2"/>
      </rPr>
      <t xml:space="preserve"> 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julho-2021</t>
    </r>
  </si>
  <si>
    <t>PIGMENTO EM PO A BASE DE OXIDO DE FERRO</t>
  </si>
  <si>
    <t>03.001.0001-1</t>
  </si>
  <si>
    <t>ESCAVACAO MANUAL DE VALA/CAVA EM MATERIAL DE 1¦ CATEGORIA (A(AREIA,ARGILA OU PICARRA),ATE 1,50M DE PROFUNDIDADE,EXCLUSIV E ESCORAMENTO E ESGOTAMENTO (OBS.:3% - DESGASTE DE FERRAMENTAS E EPI).</t>
  </si>
  <si>
    <t>03.011.0015-1</t>
  </si>
  <si>
    <t>REATERRO DE VALA/CAVA COM MATERIAL DE BOA QUALIDADE,UTILIZANDO VIBRO COMPACTADOR PORTATIL,EXCLUSIVE MATERIAL (OBS.:3%-DESGASTE DE FERRAMENTAS E EPI).</t>
  </si>
  <si>
    <t>01970</t>
  </si>
  <si>
    <t>MAO-DE-OBRA DE OPERADOR DE MAQUINA (TRATOR, ETC), INCLUSIVE ENCARGOS SOCIAIS</t>
  </si>
  <si>
    <t>02176</t>
  </si>
  <si>
    <t>19.006.0030-4 SOQUETE VIBRATORIO 78KG; 2,5CV (CI)</t>
  </si>
  <si>
    <t>02175</t>
  </si>
  <si>
    <t>19.006.0030-2 SOQUETE VIBRATORIO 78KG; 2,5CV (CP)</t>
  </si>
  <si>
    <t>So00000094966</t>
  </si>
  <si>
    <t>CONCRETO FCK = 30MPA, TRAÇO 1:2,1:2,5 (EM MASSA SECA DE CIMENTO/ AREIA MÉDIA/ BRITA 1) - PREPARO MECÂNICO COM BETONEIRA 400 L. AF_05/2021</t>
  </si>
  <si>
    <t>So0038877</t>
  </si>
  <si>
    <t>MASSA PARA TEXTURA LISA DE BASE ACRILICA, USO INTERNO E EXTERNO</t>
  </si>
  <si>
    <t>So00000088310</t>
  </si>
  <si>
    <t>PINTOR COM ENCARGOS COMPLEMENTARES</t>
  </si>
  <si>
    <t>2.2</t>
  </si>
  <si>
    <t>2.3</t>
  </si>
  <si>
    <t>2.4</t>
  </si>
  <si>
    <t>2.5</t>
  </si>
  <si>
    <t>MURO</t>
  </si>
  <si>
    <t>3.3</t>
  </si>
  <si>
    <t>SUB-TOTAL1.0=</t>
  </si>
  <si>
    <t>SUB-TOTAL 2.0=</t>
  </si>
  <si>
    <t>SUB-TOTAL 3.0=</t>
  </si>
  <si>
    <t>SUB-TOTAL 4.0=</t>
  </si>
  <si>
    <t>SUB-TOTAL 5.0=</t>
  </si>
  <si>
    <t>SUB-TOTAL 6.0=</t>
  </si>
  <si>
    <t>60 DIAS</t>
  </si>
  <si>
    <t>00014</t>
  </si>
  <si>
    <t>ACO CA-60, ESTIRADO, PRECO DE REVENDEDOR, NO DIAMETRO DE 05,0MM</t>
  </si>
  <si>
    <t>CONCRETO ARMADO,FCK=25MPA,INCLUINDO MATERIAIS PARA 1,00M3 DE CONCRETO  TRAÇO 1:2,3:2,7 (CIMENTO/ AREIA MÉDIA/ BRITA 1)  - PREPARO MECÂNICO COM BETONEIRA 400 L. AF_07/2016, ADENSADO E COLOCADO,7,00M2 DE AREA MOLDADA,FORMAS E ESCORAMENTO CONFORME ITENS 11.004.0022E 11.004.0035,31,5KG DE ACO CA-50,INCLUSIVE MAO-DE-OBRA PARA CORTE,DOBRAGEM,MONTAGEM E COLOCACAO NAS FORMAS..</t>
  </si>
  <si>
    <t>12.005.0030-0</t>
  </si>
  <si>
    <t>ALVENARIA DE BLOCOS DE CONCRETO 15X20X40CM,ASSENTES COM ARGAMASSA DE CIMENTO E AREIA,NO TRACO 1:8,EM PAREDES DE 0,15M DE ESPESSURA,DE SUPERFICIE CORRIDA,ATE 3,00M DE ALTURA E MEDIDA PELA AREA REAL (OBS.:3%-DESGASTE DE FERRAMENTAS E EPI).</t>
  </si>
  <si>
    <t>10768</t>
  </si>
  <si>
    <t>BLOCO CONCRETO PRENSADO, DE (15X20X40)CM</t>
  </si>
  <si>
    <t>01609</t>
  </si>
  <si>
    <t>07.002.0045-1 ARGAMASSA CIM.,AREIA TRACO 1:8,PREPAROMECANICO</t>
  </si>
  <si>
    <t>CHAPIM/SOLEIRA DE CONCRETO APARENTE COM ACABAMENTO DESEMPENADO,USANDO FORMA DE CHAPA COMPENSADA,MEDINDO 14X10CM,CONFORME PROJETO TIPO N§6062/EMOP,FUNDIDO NO LOCAL (OBS.:3%-DESGASTE DE FERRAMENTAS E EPI).</t>
  </si>
  <si>
    <t>01361</t>
  </si>
  <si>
    <t>CHAPA DE MADEIRA COMPENSADA, PLASTIFICADA, COM ESPESSURA DE 10MM</t>
  </si>
  <si>
    <t>00350</t>
  </si>
  <si>
    <t>54.001.0178-1 PINUS EM PECAS DE 2,50X22,50CM, (1"X9")</t>
  </si>
  <si>
    <t>00349</t>
  </si>
  <si>
    <t>PINUS, EM PECAS DE 2,50X30,00CM (1"X12")</t>
  </si>
  <si>
    <t>3.4</t>
  </si>
  <si>
    <t>CHAPIM DE CONCRETO APARENTE COM ACABAMENTO DESEMPENADO,USANDO FORMA DE CHAPA COMPENSADA,MEDINDO 25X3CM,CONFORME PROJETO TIPO N§6062/EMOP,FUNDIDO NO LOCAL (OBS.:3%-DESGASTE DE FERRAMENTAS E EPI).</t>
  </si>
  <si>
    <t>13.002.0011-5</t>
  </si>
  <si>
    <t>05.001.0171-0</t>
  </si>
  <si>
    <t>TRANSPORTE HORIZONTAL DE MATERIAL DE 1¦CATEGORIA OU ENTULHO,EM CARRINHOS,A 20,00M DE DISTANCIA,INCLUSIVE CARGA A PA (OBS.:3%- DESGASTE DE FERRAMENTAS E EPI).</t>
  </si>
  <si>
    <t>So00000095305</t>
  </si>
  <si>
    <t>TEXTURA ACRÍLICA, APLICAÇÃO MANUAL EM PAREDE, UMA DEMÃO. AF_09/2016</t>
  </si>
  <si>
    <t>5.2</t>
  </si>
  <si>
    <t>So00000095626</t>
  </si>
  <si>
    <t>APLICAÇÃO MANUAL DE TINTA LÁTEX ACRÍLICA EM PAREDE EXTERNAS DE CASAS, DUAS DEMÃOS. AF_11/2016</t>
  </si>
  <si>
    <t>So0007356</t>
  </si>
  <si>
    <t>TINTA ACRILICA PREMIUM, COR BRANCO FOSCO</t>
  </si>
  <si>
    <t>L</t>
  </si>
  <si>
    <t>GRADEMAXX</t>
  </si>
  <si>
    <t>M²</t>
  </si>
  <si>
    <t>PREÇO MEDIANO=</t>
  </si>
  <si>
    <t>PORTÃO MODELO KITGRAD DE DUAS FOLHAS PIVOTANTE COM QUADRO DE 60 X 60 E COLUNA DE 80 X 80 NAS MEDIDAS DE 3000 mm DE LARGURA 3000 mm SENDO MALHA DE 65 X 200 DE COM FIO 4,2 mm DE DIÂMETRO.</t>
  </si>
  <si>
    <t>UNID.</t>
  </si>
  <si>
    <t>4.3</t>
  </si>
  <si>
    <t>METALGRADE PISOS INDUSTRIAIS S.A.</t>
  </si>
  <si>
    <t>GRADIL ELETROFUNDIDO, MALHA 65 X 200 mm FIO 4,2 mm DE DIÂMETRO NAS MEDIDAS DE 2500 mm DE LARGURA X 1530 mm DE ALTURA FIXADO COM MONTANTE TUBULAR 2000 X 60 X 40 mm CHUMBADO.</t>
  </si>
  <si>
    <t>PORTÃO DE UMA FOLHA PIVOTANTE COM QUADRO DE 60 X 40 E COLUNA DE 80 X 80 NAS MEDIDAS DE 1000 mm DE LARGURA 3000 mm DE ALTURA, SENDO MALHA DE 65 X 200 mm E FIO 4,2 mm DE DIÂMETRO.</t>
  </si>
  <si>
    <t>FORNECIMENTO E INSTALAÇÃO DE GRADIL ELETROFUNDIDO, MALHA 65 X 200 mm FIO 4,2 mm DE DIÂMETRO NAS MEDIDAS DE 2500 mm DE LARGURA X 1530 mm DE ALTURA FIXADO COM MONTANTE TUBULAR 2000 X 60 X 40 mm CHUMBADO</t>
  </si>
  <si>
    <t>MERCADO</t>
  </si>
  <si>
    <t>FORNECIMENTO E COLOCAÇÃO DE PORTÃO DE UMA FOLHA PIVOTANTE COM QUADRO DE 60 X 40 E COLUNA DE 80 X 80 NAS MEDIDAS DE 1000 mm DE LARGURA 3000 mm DE ALTURA, SENDO MALHA DE 65 X 200 mm E FIO 4,2 mm DE DIÂMETRO.</t>
  </si>
  <si>
    <t>02472</t>
  </si>
  <si>
    <t>GLOBO ESFERICO, EM VIDRO, TIPO LEITOSO,DE 4"X6"</t>
  </si>
  <si>
    <t>02316</t>
  </si>
  <si>
    <t>CORDAO PARALELO COM ISOLAMENTO TERMOPLASTICO, ATE 750V, DE 2X2,5MM2</t>
  </si>
  <si>
    <t>00510</t>
  </si>
  <si>
    <t>RECEPTACULO DE PORCELANA P/LAMPADA, BASEE-27</t>
  </si>
  <si>
    <t>02317</t>
  </si>
  <si>
    <t>FITA ISOLANTE, ROLO DE 19MMX20M</t>
  </si>
  <si>
    <t>08000</t>
  </si>
  <si>
    <t>TELHA ONDULADA DE CIMENTO, SEM AMIANTO,REFORCADA C/FIOS SINTETICOS (CRFS), DE (2,44X1,10)M E C/ESPES. DE 6MM</t>
  </si>
  <si>
    <t>04915</t>
  </si>
  <si>
    <t>DOBRADICA EM FERRO LAMINADO, COM PINO DEFERRO REVERSIVEL, DE 3"X3"X5/64"</t>
  </si>
  <si>
    <t>05914</t>
  </si>
  <si>
    <t>INTERRUPTOR DE SOBREPOR SIMPLES, DE 10A-250V</t>
  </si>
  <si>
    <t>01983</t>
  </si>
  <si>
    <t>MAO-DE-OBRA DE ELETRICISTA DE CONSTRUCAOCIVIL, INCLUSIVE ENCARGOS SOCIAIS</t>
  </si>
  <si>
    <t>01653</t>
  </si>
  <si>
    <t>13.301.0080-1 PISO CIMENTADO ESP. 1,5CM</t>
  </si>
  <si>
    <t>02.004.0010-0</t>
  </si>
  <si>
    <t>BARRACAO DE OBRA EM CHAPA DE MADEIRA COMPENSADA DE 6MM DE ESPESSURA,RESINADA,SIMPLES,REAPROVEITAMENTO DE 2 VEZES,PISO EM CIMENTADO,COBERTURA COM TELHAS DE FIBROCIMENTO SEM AMIANTO,ESPESSURA 6MM,INCLUSIVE INSTALACOES (OBS.:3% - DESGASTE DE FERRAMENTAS E EPI).</t>
  </si>
  <si>
    <t>02315</t>
  </si>
  <si>
    <t>DISJUNTOR, MONOPOLAR, DE 10 A 32A, 3KA,MODELO DIN, TIPO C</t>
  </si>
  <si>
    <t>02884</t>
  </si>
  <si>
    <t>FECHADURA DE SOBREPOR, TIPO CAIXAO, RETANGULAR, ACABAMENTO FERRO RESINADO PRETO,DE (100X86X38)MM</t>
  </si>
  <si>
    <t>00159</t>
  </si>
  <si>
    <t>CHAPA DE MADEIRA COMPENSADA, RESINADA, COM ESPESSURA DE 06MM</t>
  </si>
  <si>
    <t>00600</t>
  </si>
  <si>
    <t>VIDRO PLANO TRANSPARENTE, COMUM, COM ESPESSURA DE 3MM</t>
  </si>
  <si>
    <t>03091</t>
  </si>
  <si>
    <t>13.301.0120-1 CONTRAPISO, CIM. E AREIA 1:4, ESP. 2,5CM</t>
  </si>
  <si>
    <t>02.006.0050-0</t>
  </si>
  <si>
    <t>ALUGUEL DE BANHEIRO QUIMICO,PORTATIL,MEDINDO 2,31M ALTURA X 1,56M LARGURA E 1,16M PROFUNDIDADE,INCLUSIVE INSTALACAO E RE TIRADA DO EQUIPAMENTO,FORNECIMENTO DE QUIMICA DESODORIZANTE,BACTERICIDA E BACTERIOSTATICA,PAPEL HIGIENICO E VEICULO PROP RIO COM UNIDADE MOVEL DE SUCCAO PARA LIMPEZA</t>
  </si>
  <si>
    <t>UNXMES</t>
  </si>
  <si>
    <t>13648</t>
  </si>
  <si>
    <t>ALUGUEL DE BANHEIRO QUIM.,2,31X1,56X1,16(MED. APROX),INCL.INST.,RETIRADA,FORN.QUIMICA DESOD.E BACT.,P.HIG.,UN.MOV.SUCCAO</t>
  </si>
  <si>
    <t>UNXME</t>
  </si>
  <si>
    <t>1.7</t>
  </si>
  <si>
    <t>1.8</t>
  </si>
  <si>
    <t>1.6</t>
  </si>
  <si>
    <t>05.001.0147-0</t>
  </si>
  <si>
    <t>ARRANCAMENTO DE GRADES,GRADIS,ALAMBRADOS,CERCAS E PORTOES (OBS.:3%-DESGASTE DE FERRAMENTAS E EPI).</t>
  </si>
  <si>
    <t>90 DIAS</t>
  </si>
  <si>
    <t>120 DIAS</t>
  </si>
  <si>
    <t xml:space="preserve">GRADIL ELETROFUNDIDO </t>
  </si>
  <si>
    <t>Data-Base:   EMOP -  RJ / SINAPI e SCO-RJ- Onerado - Base julho-2021</t>
  </si>
  <si>
    <t>Local: R. José Jorge dos Reis Meireles, 461 - Vista Alegre, Barra Mansa - RJ, 27320-040</t>
  </si>
  <si>
    <t>1.9</t>
  </si>
  <si>
    <t>02.002.0012-0</t>
  </si>
  <si>
    <t>TAPUME DE VEDACAO OU PROTECAO,EXECUTADO COM TELHAS TRAPEZOIDAIS DE ACO GALVANIZADO,ESPESSURA DE 0,5MM,ESTAS COM 2 VEZES DE UTILIZACAO,INCLUSIVE ENGRADAMENTO DE MADEIRA,UTILIZADO 2VEZES,EXCLUSIVE PINTURA (OBS.:3% - DESGASTE DE FERRAMENTAS E EPI).</t>
  </si>
  <si>
    <t>13732</t>
  </si>
  <si>
    <t>TELHA TRAPEZOIDAL EM ACO GALVANIZADO, ESPESSURA DE 0,5MM</t>
  </si>
  <si>
    <t>GRADIL COLOR IND. LTDA</t>
  </si>
  <si>
    <t>150 DIAS</t>
  </si>
  <si>
    <t>PLANILHA ORÇAMENTÁRIA COM BDI DE 22,47% EM TODOS OS ITENS EXCETO NOS ITENS 1.3, 4.1 A 4.3 E  6.2 QUE TERÃO BDI DE 16,68%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</si>
</sst>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00"/>
    <numFmt numFmtId="171" formatCode="#,##0.00000"/>
    <numFmt numFmtId="172" formatCode="0.0%"/>
    <numFmt numFmtId="173" formatCode="_([$€]* #,##0.00_);_([$€]* \(#,##0.00\);_([$€]* &quot;-&quot;??_);_(@_)"/>
    <numFmt numFmtId="174" formatCode="_(* #,##0.00_);_(* \(#,##0.0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0_ ;\-#,##0.00\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mmm/yyyy"/>
    <numFmt numFmtId="194" formatCode="&quot;R$&quot;\ #,##0.00"/>
    <numFmt numFmtId="195" formatCode="General\ "/>
    <numFmt numFmtId="196" formatCode="dd/mm/yy;@"/>
    <numFmt numFmtId="197" formatCode="&quot;R$ &quot;#,##0.00"/>
    <numFmt numFmtId="198" formatCode="0.000%"/>
    <numFmt numFmtId="199" formatCode="_ * #,##0.00_ ;_ * \-#,##0.00_ ;_ * &quot;-&quot;??_ ;_ @_ "/>
    <numFmt numFmtId="200" formatCode="#,#00"/>
    <numFmt numFmtId="201" formatCode="&quot;R$ &quot;#,##0.00;[Red]&quot;R$ &quot;#,##0.00"/>
    <numFmt numFmtId="202" formatCode="&quot;R$&quot;\ #,##0.000"/>
    <numFmt numFmtId="203" formatCode="&quot; R$ &quot;* #,##0.00\ ;&quot; R$ &quot;* \(#,##0.00\);&quot; R$ &quot;* \-#\ ;@\ "/>
    <numFmt numFmtId="204" formatCode="%#,#00"/>
    <numFmt numFmtId="205" formatCode="#.#####"/>
    <numFmt numFmtId="206" formatCode="#,"/>
    <numFmt numFmtId="207" formatCode="#,##0.000"/>
    <numFmt numFmtId="208" formatCode="0.0000%"/>
    <numFmt numFmtId="209" formatCode="&quot;R$&quot;#,##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sz val="2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sz val="1"/>
      <color indexed="8"/>
      <name val="Courier New"/>
      <family val="3"/>
    </font>
    <font>
      <sz val="12"/>
      <name val="Courier New"/>
      <family val="3"/>
    </font>
    <font>
      <b/>
      <sz val="1"/>
      <color indexed="8"/>
      <name val="Courier New"/>
      <family val="3"/>
    </font>
    <font>
      <sz val="18"/>
      <name val="Switzerland"/>
      <family val="0"/>
    </font>
    <font>
      <sz val="20"/>
      <name val="Switzerland"/>
      <family val="0"/>
    </font>
    <font>
      <sz val="22"/>
      <name val="Switzerland"/>
      <family val="0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14" fillId="0" borderId="0">
      <alignment/>
      <protection locked="0"/>
    </xf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00" fontId="14" fillId="0" borderId="0">
      <alignment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15" fillId="0" borderId="0">
      <alignment/>
      <protection/>
    </xf>
    <xf numFmtId="203" fontId="1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204" fontId="14" fillId="0" borderId="0">
      <alignment/>
      <protection locked="0"/>
    </xf>
    <xf numFmtId="205" fontId="14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200" fontId="2" fillId="0" borderId="0" applyFill="0" applyBorder="0" applyAlignment="0" applyProtection="0"/>
    <xf numFmtId="194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206" fontId="16" fillId="0" borderId="0">
      <alignment/>
      <protection locked="0"/>
    </xf>
    <xf numFmtId="206" fontId="16" fillId="0" borderId="0">
      <alignment/>
      <protection locked="0"/>
    </xf>
    <xf numFmtId="0" fontId="64" fillId="0" borderId="10" applyNumberFormat="0" applyFill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65" fillId="33" borderId="11" xfId="87" applyNumberFormat="1" applyFont="1" applyFill="1" applyBorder="1" applyAlignment="1">
      <alignment horizontal="center"/>
      <protection/>
    </xf>
    <xf numFmtId="49" fontId="65" fillId="33" borderId="12" xfId="73" applyNumberFormat="1" applyFont="1" applyFill="1" applyBorder="1">
      <alignment/>
      <protection/>
    </xf>
    <xf numFmtId="4" fontId="65" fillId="33" borderId="12" xfId="73" applyNumberFormat="1" applyFont="1" applyFill="1" applyBorder="1" applyAlignment="1">
      <alignment horizontal="left" readingOrder="1"/>
      <protection/>
    </xf>
    <xf numFmtId="4" fontId="65" fillId="33" borderId="11" xfId="88" applyNumberFormat="1" applyFont="1" applyFill="1" applyBorder="1" applyAlignment="1">
      <alignment horizontal="left" vertical="center"/>
      <protection/>
    </xf>
    <xf numFmtId="4" fontId="65" fillId="33" borderId="12" xfId="0" applyNumberFormat="1" applyFont="1" applyFill="1" applyBorder="1" applyAlignment="1">
      <alignment horizontal="left"/>
    </xf>
    <xf numFmtId="4" fontId="65" fillId="33" borderId="12" xfId="87" applyNumberFormat="1" applyFont="1" applyFill="1" applyBorder="1" applyAlignment="1">
      <alignment horizontal="left"/>
      <protection/>
    </xf>
    <xf numFmtId="49" fontId="65" fillId="33" borderId="13" xfId="87" applyNumberFormat="1" applyFont="1" applyFill="1" applyBorder="1" applyAlignment="1">
      <alignment horizontal="center"/>
      <protection/>
    </xf>
    <xf numFmtId="49" fontId="65" fillId="33" borderId="0" xfId="73" applyNumberFormat="1" applyFont="1" applyFill="1" applyBorder="1">
      <alignment/>
      <protection/>
    </xf>
    <xf numFmtId="4" fontId="65" fillId="33" borderId="0" xfId="73" applyNumberFormat="1" applyFont="1" applyFill="1" applyBorder="1" applyAlignment="1">
      <alignment horizontal="left" readingOrder="1"/>
      <protection/>
    </xf>
    <xf numFmtId="4" fontId="65" fillId="33" borderId="13" xfId="88" applyNumberFormat="1" applyFont="1" applyFill="1" applyBorder="1" applyAlignment="1">
      <alignment horizontal="left" vertical="center"/>
      <protection/>
    </xf>
    <xf numFmtId="4" fontId="65" fillId="33" borderId="0" xfId="87" applyNumberFormat="1" applyFont="1" applyFill="1" applyBorder="1" applyAlignment="1">
      <alignment horizontal="left"/>
      <protection/>
    </xf>
    <xf numFmtId="4" fontId="65" fillId="33" borderId="0" xfId="73" applyNumberFormat="1" applyFont="1" applyFill="1" applyBorder="1" applyAlignment="1">
      <alignment horizontal="left"/>
      <protection/>
    </xf>
    <xf numFmtId="4" fontId="66" fillId="33" borderId="0" xfId="73" applyNumberFormat="1" applyFont="1" applyFill="1" applyBorder="1" applyAlignment="1">
      <alignment vertical="center" wrapText="1" readingOrder="1"/>
      <protection/>
    </xf>
    <xf numFmtId="4" fontId="66" fillId="33" borderId="0" xfId="73" applyNumberFormat="1" applyFont="1" applyFill="1" applyBorder="1">
      <alignment/>
      <protection/>
    </xf>
    <xf numFmtId="49" fontId="65" fillId="33" borderId="14" xfId="87" applyNumberFormat="1" applyFont="1" applyFill="1" applyBorder="1" applyAlignment="1">
      <alignment horizontal="center"/>
      <protection/>
    </xf>
    <xf numFmtId="49" fontId="65" fillId="33" borderId="15" xfId="88" applyNumberFormat="1" applyFont="1" applyFill="1" applyBorder="1" applyAlignment="1">
      <alignment horizontal="center"/>
      <protection/>
    </xf>
    <xf numFmtId="4" fontId="66" fillId="33" borderId="15" xfId="88" applyNumberFormat="1" applyFont="1" applyFill="1" applyBorder="1" applyAlignment="1">
      <alignment/>
      <protection/>
    </xf>
    <xf numFmtId="0" fontId="5" fillId="0" borderId="16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/>
    </xf>
    <xf numFmtId="0" fontId="66" fillId="34" borderId="17" xfId="0" applyFont="1" applyFill="1" applyBorder="1" applyAlignment="1">
      <alignment horizontal="justify" vertical="justify" wrapText="1"/>
    </xf>
    <xf numFmtId="0" fontId="6" fillId="0" borderId="0" xfId="84">
      <alignment/>
      <protection/>
    </xf>
    <xf numFmtId="0" fontId="7" fillId="0" borderId="0" xfId="84" applyFont="1">
      <alignment/>
      <protection/>
    </xf>
    <xf numFmtId="0" fontId="8" fillId="0" borderId="0" xfId="84" applyFont="1">
      <alignment/>
      <protection/>
    </xf>
    <xf numFmtId="0" fontId="7" fillId="0" borderId="0" xfId="84" applyFont="1" applyBorder="1">
      <alignment/>
      <protection/>
    </xf>
    <xf numFmtId="4" fontId="7" fillId="0" borderId="0" xfId="84" applyNumberFormat="1" applyFont="1">
      <alignment/>
      <protection/>
    </xf>
    <xf numFmtId="0" fontId="64" fillId="0" borderId="0" xfId="0" applyFont="1" applyAlignment="1">
      <alignment/>
    </xf>
    <xf numFmtId="0" fontId="65" fillId="34" borderId="16" xfId="0" applyFont="1" applyFill="1" applyBorder="1" applyAlignment="1">
      <alignment/>
    </xf>
    <xf numFmtId="0" fontId="65" fillId="34" borderId="16" xfId="0" applyFont="1" applyFill="1" applyBorder="1" applyAlignment="1">
      <alignment horizontal="justify" vertical="justify" wrapText="1"/>
    </xf>
    <xf numFmtId="0" fontId="4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justify" wrapText="1"/>
    </xf>
    <xf numFmtId="4" fontId="4" fillId="33" borderId="0" xfId="0" applyNumberFormat="1" applyFont="1" applyFill="1" applyBorder="1" applyAlignment="1">
      <alignment/>
    </xf>
    <xf numFmtId="4" fontId="4" fillId="33" borderId="0" xfId="70" applyNumberFormat="1" applyFont="1" applyFill="1" applyBorder="1" applyAlignment="1">
      <alignment horizontal="right"/>
      <protection/>
    </xf>
    <xf numFmtId="2" fontId="66" fillId="34" borderId="17" xfId="0" applyNumberFormat="1" applyFont="1" applyFill="1" applyBorder="1" applyAlignment="1">
      <alignment/>
    </xf>
    <xf numFmtId="4" fontId="4" fillId="33" borderId="0" xfId="73" applyNumberFormat="1" applyFont="1" applyFill="1" applyBorder="1" applyAlignment="1">
      <alignment vertical="center" wrapText="1" readingOrder="1"/>
      <protection/>
    </xf>
    <xf numFmtId="4" fontId="5" fillId="33" borderId="0" xfId="88" applyNumberFormat="1" applyFont="1" applyFill="1" applyBorder="1" applyAlignment="1">
      <alignment horizontal="left"/>
      <protection/>
    </xf>
    <xf numFmtId="0" fontId="67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66" fillId="34" borderId="17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65" fillId="34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34" borderId="11" xfId="70" applyNumberFormat="1" applyFont="1" applyFill="1" applyBorder="1" applyAlignment="1">
      <alignment horizontal="right"/>
      <protection/>
    </xf>
    <xf numFmtId="4" fontId="5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67" fillId="0" borderId="0" xfId="0" applyFont="1" applyBorder="1" applyAlignment="1">
      <alignment/>
    </xf>
    <xf numFmtId="4" fontId="4" fillId="34" borderId="17" xfId="70" applyNumberFormat="1" applyFont="1" applyFill="1" applyBorder="1" applyAlignment="1">
      <alignment horizontal="right"/>
      <protection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justify" vertical="justify" wrapText="1"/>
    </xf>
    <xf numFmtId="4" fontId="5" fillId="33" borderId="17" xfId="70" applyNumberFormat="1" applyFont="1" applyFill="1" applyBorder="1" applyAlignment="1">
      <alignment horizontal="right"/>
      <protection/>
    </xf>
    <xf numFmtId="17" fontId="0" fillId="0" borderId="0" xfId="0" applyNumberFormat="1" applyAlignment="1">
      <alignment/>
    </xf>
    <xf numFmtId="0" fontId="17" fillId="0" borderId="0" xfId="84" applyFont="1">
      <alignment/>
      <protection/>
    </xf>
    <xf numFmtId="0" fontId="17" fillId="0" borderId="0" xfId="84" applyFont="1" applyBorder="1">
      <alignment/>
      <protection/>
    </xf>
    <xf numFmtId="208" fontId="17" fillId="0" borderId="0" xfId="84" applyNumberFormat="1" applyFont="1">
      <alignment/>
      <protection/>
    </xf>
    <xf numFmtId="0" fontId="18" fillId="0" borderId="0" xfId="84" applyFont="1">
      <alignment/>
      <protection/>
    </xf>
    <xf numFmtId="4" fontId="19" fillId="0" borderId="0" xfId="84" applyNumberFormat="1" applyFont="1">
      <alignment/>
      <protection/>
    </xf>
    <xf numFmtId="0" fontId="4" fillId="33" borderId="0" xfId="0" applyFont="1" applyFill="1" applyBorder="1" applyAlignment="1">
      <alignment horizontal="center"/>
    </xf>
    <xf numFmtId="0" fontId="21" fillId="0" borderId="19" xfId="84" applyFont="1" applyBorder="1">
      <alignment/>
      <protection/>
    </xf>
    <xf numFmtId="0" fontId="21" fillId="0" borderId="0" xfId="84" applyFont="1">
      <alignment/>
      <protection/>
    </xf>
    <xf numFmtId="0" fontId="21" fillId="0" borderId="20" xfId="84" applyFont="1" applyBorder="1">
      <alignment/>
      <protection/>
    </xf>
    <xf numFmtId="0" fontId="21" fillId="0" borderId="21" xfId="84" applyFont="1" applyBorder="1">
      <alignment/>
      <protection/>
    </xf>
    <xf numFmtId="0" fontId="3" fillId="0" borderId="17" xfId="88" applyFont="1" applyFill="1" applyBorder="1" applyAlignment="1">
      <alignment horizontal="center" vertical="center" wrapText="1"/>
      <protection/>
    </xf>
    <xf numFmtId="0" fontId="3" fillId="0" borderId="17" xfId="84" applyFont="1" applyBorder="1" applyAlignment="1">
      <alignment horizontal="center"/>
      <protection/>
    </xf>
    <xf numFmtId="0" fontId="3" fillId="0" borderId="16" xfId="84" applyFont="1" applyBorder="1" applyAlignment="1">
      <alignment horizontal="center" vertical="center"/>
      <protection/>
    </xf>
    <xf numFmtId="0" fontId="3" fillId="0" borderId="19" xfId="84" applyFont="1" applyBorder="1" applyAlignment="1">
      <alignment horizontal="center" vertical="center"/>
      <protection/>
    </xf>
    <xf numFmtId="0" fontId="3" fillId="0" borderId="22" xfId="85" applyFont="1" applyFill="1" applyBorder="1" applyAlignment="1">
      <alignment vertical="top"/>
      <protection/>
    </xf>
    <xf numFmtId="39" fontId="21" fillId="0" borderId="22" xfId="84" applyNumberFormat="1" applyFont="1" applyBorder="1" applyAlignment="1">
      <alignment/>
      <protection/>
    </xf>
    <xf numFmtId="0" fontId="3" fillId="0" borderId="17" xfId="87" applyFont="1" applyFill="1" applyBorder="1" applyAlignment="1">
      <alignment vertical="top"/>
      <protection/>
    </xf>
    <xf numFmtId="0" fontId="21" fillId="0" borderId="17" xfId="87" applyFont="1" applyFill="1" applyBorder="1" applyAlignment="1">
      <alignment horizontal="left" vertical="top"/>
      <protection/>
    </xf>
    <xf numFmtId="10" fontId="21" fillId="0" borderId="17" xfId="96" applyNumberFormat="1" applyFont="1" applyFill="1" applyBorder="1" applyAlignment="1">
      <alignment/>
    </xf>
    <xf numFmtId="4" fontId="21" fillId="0" borderId="17" xfId="84" applyNumberFormat="1" applyFont="1" applyFill="1" applyBorder="1" applyAlignment="1">
      <alignment/>
      <protection/>
    </xf>
    <xf numFmtId="4" fontId="3" fillId="0" borderId="17" xfId="70" applyNumberFormat="1" applyFont="1" applyFill="1" applyBorder="1" applyAlignment="1">
      <alignment horizontal="right"/>
      <protection/>
    </xf>
    <xf numFmtId="39" fontId="21" fillId="0" borderId="0" xfId="84" applyNumberFormat="1" applyFont="1">
      <alignment/>
      <protection/>
    </xf>
    <xf numFmtId="0" fontId="3" fillId="0" borderId="18" xfId="87" applyFont="1" applyBorder="1" applyAlignment="1">
      <alignment vertical="top"/>
      <protection/>
    </xf>
    <xf numFmtId="0" fontId="21" fillId="0" borderId="23" xfId="87" applyFont="1" applyBorder="1" applyAlignment="1">
      <alignment horizontal="left" vertical="top"/>
      <protection/>
    </xf>
    <xf numFmtId="10" fontId="21" fillId="33" borderId="18" xfId="96" applyNumberFormat="1" applyFont="1" applyFill="1" applyBorder="1" applyAlignment="1">
      <alignment/>
    </xf>
    <xf numFmtId="4" fontId="21" fillId="0" borderId="23" xfId="84" applyNumberFormat="1" applyFont="1" applyFill="1" applyBorder="1" applyAlignment="1">
      <alignment/>
      <protection/>
    </xf>
    <xf numFmtId="4" fontId="3" fillId="0" borderId="16" xfId="70" applyNumberFormat="1" applyFont="1" applyBorder="1">
      <alignment/>
      <protection/>
    </xf>
    <xf numFmtId="4" fontId="21" fillId="35" borderId="16" xfId="70" applyNumberFormat="1" applyFont="1" applyFill="1" applyBorder="1">
      <alignment/>
      <protection/>
    </xf>
    <xf numFmtId="0" fontId="21" fillId="35" borderId="24" xfId="70" applyFont="1" applyFill="1" applyBorder="1">
      <alignment/>
      <protection/>
    </xf>
    <xf numFmtId="172" fontId="3" fillId="35" borderId="24" xfId="96" applyNumberFormat="1" applyFont="1" applyFill="1" applyBorder="1" applyAlignment="1">
      <alignment horizontal="center"/>
    </xf>
    <xf numFmtId="0" fontId="21" fillId="35" borderId="25" xfId="84" applyFont="1" applyFill="1" applyBorder="1">
      <alignment/>
      <protection/>
    </xf>
    <xf numFmtId="0" fontId="65" fillId="34" borderId="17" xfId="0" applyFont="1" applyFill="1" applyBorder="1" applyAlignment="1">
      <alignment horizontal="center"/>
    </xf>
    <xf numFmtId="0" fontId="65" fillId="34" borderId="17" xfId="0" applyFont="1" applyFill="1" applyBorder="1" applyAlignment="1">
      <alignment/>
    </xf>
    <xf numFmtId="0" fontId="65" fillId="34" borderId="17" xfId="0" applyFont="1" applyFill="1" applyBorder="1" applyAlignment="1">
      <alignment horizontal="justify" vertical="justify" wrapText="1"/>
    </xf>
    <xf numFmtId="4" fontId="5" fillId="34" borderId="17" xfId="70" applyNumberFormat="1" applyFont="1" applyFill="1" applyBorder="1" applyAlignment="1">
      <alignment horizontal="right"/>
      <protection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3" fillId="0" borderId="16" xfId="70" applyNumberFormat="1" applyFont="1" applyFill="1" applyBorder="1" applyAlignment="1">
      <alignment horizontal="right"/>
      <protection/>
    </xf>
    <xf numFmtId="0" fontId="3" fillId="0" borderId="22" xfId="84" applyFont="1" applyBorder="1" applyAlignment="1">
      <alignment horizontal="center"/>
      <protection/>
    </xf>
    <xf numFmtId="44" fontId="20" fillId="0" borderId="12" xfId="73" applyNumberFormat="1" applyFont="1" applyBorder="1" applyAlignment="1">
      <alignment horizontal="center" vertical="center" wrapText="1" readingOrder="1"/>
      <protection/>
    </xf>
    <xf numFmtId="44" fontId="20" fillId="0" borderId="0" xfId="73" applyNumberFormat="1" applyFont="1" applyBorder="1" applyAlignment="1">
      <alignment horizontal="center" vertical="center" wrapText="1" readingOrder="1"/>
      <protection/>
    </xf>
    <xf numFmtId="4" fontId="68" fillId="0" borderId="0" xfId="88" applyNumberFormat="1" applyFont="1" applyFill="1" applyBorder="1" applyAlignment="1">
      <alignment horizontal="center" vertical="center" wrapText="1"/>
      <protection/>
    </xf>
    <xf numFmtId="4" fontId="68" fillId="0" borderId="15" xfId="88" applyNumberFormat="1" applyFont="1" applyFill="1" applyBorder="1" applyAlignment="1">
      <alignment horizontal="center" vertical="center" wrapText="1"/>
      <protection/>
    </xf>
    <xf numFmtId="0" fontId="3" fillId="0" borderId="22" xfId="88" applyFont="1" applyFill="1" applyBorder="1" applyAlignment="1">
      <alignment horizontal="center" vertical="center" wrapText="1"/>
      <protection/>
    </xf>
    <xf numFmtId="4" fontId="68" fillId="0" borderId="0" xfId="73" applyNumberFormat="1" applyFont="1" applyFill="1" applyBorder="1" applyAlignment="1">
      <alignment horizontal="center" vertical="center" wrapText="1" readingOrder="1"/>
      <protection/>
    </xf>
    <xf numFmtId="0" fontId="21" fillId="0" borderId="0" xfId="88" applyFont="1" applyFill="1" applyBorder="1" applyAlignment="1">
      <alignment horizontal="center"/>
      <protection/>
    </xf>
    <xf numFmtId="4" fontId="68" fillId="0" borderId="0" xfId="73" applyNumberFormat="1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horizontal="justify" vertical="justify" wrapText="1"/>
    </xf>
    <xf numFmtId="2" fontId="4" fillId="34" borderId="17" xfId="0" applyNumberFormat="1" applyFont="1" applyFill="1" applyBorder="1" applyAlignment="1">
      <alignment/>
    </xf>
    <xf numFmtId="0" fontId="69" fillId="33" borderId="13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4" fontId="21" fillId="0" borderId="19" xfId="84" applyNumberFormat="1" applyFont="1" applyFill="1" applyBorder="1" applyAlignment="1">
      <alignment/>
      <protection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justify" vertical="justify" wrapText="1"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70" applyNumberFormat="1" applyFont="1" applyFill="1" applyBorder="1" applyAlignment="1">
      <alignment horizontal="right"/>
      <protection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4" fontId="66" fillId="34" borderId="17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 horizontal="center" vertical="center"/>
    </xf>
    <xf numFmtId="4" fontId="68" fillId="0" borderId="0" xfId="73" applyNumberFormat="1" applyFont="1" applyFill="1" applyBorder="1" applyAlignment="1">
      <alignment horizontal="center" vertical="center" wrapText="1" readingOrder="1"/>
      <protection/>
    </xf>
    <xf numFmtId="4" fontId="68" fillId="0" borderId="0" xfId="73" applyNumberFormat="1" applyFont="1" applyFill="1" applyBorder="1" applyAlignment="1">
      <alignment horizontal="center" vertical="center" wrapText="1"/>
      <protection/>
    </xf>
    <xf numFmtId="4" fontId="68" fillId="0" borderId="0" xfId="88" applyNumberFormat="1" applyFont="1" applyFill="1" applyBorder="1" applyAlignment="1">
      <alignment horizontal="center" vertical="center" wrapText="1"/>
      <protection/>
    </xf>
    <xf numFmtId="4" fontId="68" fillId="0" borderId="15" xfId="88" applyNumberFormat="1" applyFont="1" applyFill="1" applyBorder="1" applyAlignment="1">
      <alignment horizontal="center" vertical="center" wrapText="1"/>
      <protection/>
    </xf>
    <xf numFmtId="182" fontId="4" fillId="34" borderId="17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4" fontId="4" fillId="33" borderId="17" xfId="70" applyNumberFormat="1" applyFont="1" applyFill="1" applyBorder="1" applyAlignment="1">
      <alignment horizontal="right"/>
      <protection/>
    </xf>
    <xf numFmtId="0" fontId="5" fillId="33" borderId="17" xfId="0" applyFont="1" applyFill="1" applyBorder="1" applyAlignment="1">
      <alignment horizontal="right" vertical="justify" wrapText="1"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/>
    </xf>
    <xf numFmtId="209" fontId="4" fillId="33" borderId="17" xfId="0" applyNumberFormat="1" applyFont="1" applyFill="1" applyBorder="1" applyAlignment="1">
      <alignment/>
    </xf>
    <xf numFmtId="209" fontId="4" fillId="33" borderId="17" xfId="70" applyNumberFormat="1" applyFont="1" applyFill="1" applyBorder="1" applyAlignment="1">
      <alignment horizontal="right"/>
      <protection/>
    </xf>
    <xf numFmtId="209" fontId="5" fillId="33" borderId="17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justify" vertical="justify" wrapText="1"/>
    </xf>
    <xf numFmtId="0" fontId="64" fillId="0" borderId="17" xfId="0" applyFont="1" applyBorder="1" applyAlignment="1">
      <alignment horizontal="center"/>
    </xf>
    <xf numFmtId="0" fontId="64" fillId="0" borderId="17" xfId="0" applyFont="1" applyBorder="1" applyAlignment="1">
      <alignment horizontal="justify" vertical="justify" wrapText="1"/>
    </xf>
    <xf numFmtId="0" fontId="64" fillId="0" borderId="17" xfId="0" applyFont="1" applyBorder="1" applyAlignment="1">
      <alignment/>
    </xf>
    <xf numFmtId="209" fontId="0" fillId="0" borderId="17" xfId="0" applyNumberFormat="1" applyBorder="1" applyAlignment="1">
      <alignment horizontal="center"/>
    </xf>
    <xf numFmtId="209" fontId="0" fillId="0" borderId="17" xfId="0" applyNumberFormat="1" applyBorder="1" applyAlignment="1">
      <alignment/>
    </xf>
    <xf numFmtId="209" fontId="64" fillId="0" borderId="17" xfId="0" applyNumberFormat="1" applyFont="1" applyBorder="1" applyAlignment="1">
      <alignment horizontal="center"/>
    </xf>
    <xf numFmtId="209" fontId="64" fillId="0" borderId="17" xfId="0" applyNumberFormat="1" applyFont="1" applyBorder="1" applyAlignment="1">
      <alignment/>
    </xf>
    <xf numFmtId="10" fontId="21" fillId="34" borderId="17" xfId="96" applyNumberFormat="1" applyFont="1" applyFill="1" applyBorder="1" applyAlignment="1">
      <alignment/>
    </xf>
    <xf numFmtId="4" fontId="21" fillId="34" borderId="17" xfId="84" applyNumberFormat="1" applyFont="1" applyFill="1" applyBorder="1" applyAlignment="1">
      <alignment/>
      <protection/>
    </xf>
    <xf numFmtId="4" fontId="68" fillId="0" borderId="0" xfId="88" applyNumberFormat="1" applyFont="1" applyFill="1" applyBorder="1" applyAlignment="1">
      <alignment horizontal="center" vertical="center" wrapText="1"/>
      <protection/>
    </xf>
    <xf numFmtId="4" fontId="68" fillId="0" borderId="15" xfId="88" applyNumberFormat="1" applyFont="1" applyFill="1" applyBorder="1" applyAlignment="1">
      <alignment horizontal="center" vertical="center" wrapText="1"/>
      <protection/>
    </xf>
    <xf numFmtId="4" fontId="68" fillId="0" borderId="0" xfId="73" applyNumberFormat="1" applyFont="1" applyFill="1" applyBorder="1" applyAlignment="1">
      <alignment horizontal="center" vertical="center" wrapText="1" readingOrder="1"/>
      <protection/>
    </xf>
    <xf numFmtId="4" fontId="68" fillId="0" borderId="0" xfId="73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justify" wrapText="1"/>
    </xf>
    <xf numFmtId="0" fontId="5" fillId="0" borderId="16" xfId="0" applyFont="1" applyFill="1" applyBorder="1" applyAlignment="1">
      <alignment horizontal="center" vertical="justify" wrapText="1"/>
    </xf>
    <xf numFmtId="0" fontId="5" fillId="0" borderId="18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4" fillId="33" borderId="14" xfId="88" applyFont="1" applyFill="1" applyBorder="1" applyAlignment="1">
      <alignment horizontal="left"/>
      <protection/>
    </xf>
    <xf numFmtId="0" fontId="4" fillId="33" borderId="15" xfId="88" applyFont="1" applyFill="1" applyBorder="1" applyAlignment="1">
      <alignment horizontal="left"/>
      <protection/>
    </xf>
    <xf numFmtId="0" fontId="4" fillId="33" borderId="21" xfId="88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65" fillId="33" borderId="18" xfId="87" applyNumberFormat="1" applyFont="1" applyFill="1" applyBorder="1" applyAlignment="1">
      <alignment horizontal="center" vertical="center" wrapText="1"/>
      <protection/>
    </xf>
    <xf numFmtId="0" fontId="66" fillId="33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justify" wrapText="1"/>
    </xf>
    <xf numFmtId="4" fontId="66" fillId="33" borderId="13" xfId="88" applyNumberFormat="1" applyFont="1" applyFill="1" applyBorder="1" applyAlignment="1">
      <alignment horizontal="left" vertical="center"/>
      <protection/>
    </xf>
    <xf numFmtId="4" fontId="66" fillId="33" borderId="0" xfId="88" applyNumberFormat="1" applyFont="1" applyFill="1" applyBorder="1" applyAlignment="1">
      <alignment horizontal="left" vertical="center"/>
      <protection/>
    </xf>
    <xf numFmtId="4" fontId="66" fillId="33" borderId="20" xfId="88" applyNumberFormat="1" applyFont="1" applyFill="1" applyBorder="1" applyAlignment="1">
      <alignment horizontal="left" vertical="center"/>
      <protection/>
    </xf>
    <xf numFmtId="0" fontId="4" fillId="33" borderId="13" xfId="0" applyFont="1" applyFill="1" applyBorder="1" applyAlignment="1">
      <alignment horizontal="left" vertical="center" wrapText="1" readingOrder="1"/>
    </xf>
    <xf numFmtId="0" fontId="4" fillId="33" borderId="0" xfId="0" applyFont="1" applyFill="1" applyBorder="1" applyAlignment="1">
      <alignment horizontal="left" vertical="center" wrapText="1" readingOrder="1"/>
    </xf>
    <xf numFmtId="0" fontId="4" fillId="33" borderId="20" xfId="0" applyFont="1" applyFill="1" applyBorder="1" applyAlignment="1">
      <alignment horizontal="left" vertical="center" wrapText="1" readingOrder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4" fontId="66" fillId="33" borderId="13" xfId="73" applyNumberFormat="1" applyFont="1" applyFill="1" applyBorder="1" applyAlignment="1">
      <alignment horizontal="left" vertical="center"/>
      <protection/>
    </xf>
    <xf numFmtId="4" fontId="66" fillId="33" borderId="0" xfId="73" applyNumberFormat="1" applyFont="1" applyFill="1" applyBorder="1" applyAlignment="1">
      <alignment horizontal="left" vertical="center"/>
      <protection/>
    </xf>
    <xf numFmtId="4" fontId="66" fillId="33" borderId="20" xfId="73" applyNumberFormat="1" applyFont="1" applyFill="1" applyBorder="1" applyAlignment="1">
      <alignment horizontal="left" vertical="center"/>
      <protection/>
    </xf>
    <xf numFmtId="4" fontId="5" fillId="33" borderId="17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49" fontId="65" fillId="33" borderId="13" xfId="87" applyNumberFormat="1" applyFont="1" applyFill="1" applyBorder="1" applyAlignment="1">
      <alignment horizontal="center" vertical="center" wrapText="1"/>
      <protection/>
    </xf>
    <xf numFmtId="49" fontId="65" fillId="33" borderId="0" xfId="87" applyNumberFormat="1" applyFont="1" applyFill="1" applyBorder="1" applyAlignment="1">
      <alignment horizontal="center" vertical="center" wrapText="1"/>
      <protection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justify" wrapText="1"/>
    </xf>
    <xf numFmtId="0" fontId="5" fillId="33" borderId="24" xfId="0" applyFont="1" applyFill="1" applyBorder="1" applyAlignment="1">
      <alignment horizontal="center" vertical="justify" wrapText="1"/>
    </xf>
    <xf numFmtId="0" fontId="5" fillId="33" borderId="17" xfId="0" applyFont="1" applyFill="1" applyBorder="1" applyAlignment="1">
      <alignment horizontal="center" vertical="justify" wrapText="1"/>
    </xf>
    <xf numFmtId="0" fontId="3" fillId="0" borderId="17" xfId="85" applyFont="1" applyFill="1" applyBorder="1" applyAlignment="1">
      <alignment horizontal="center" vertical="top"/>
      <protection/>
    </xf>
    <xf numFmtId="1" fontId="3" fillId="0" borderId="18" xfId="84" applyNumberFormat="1" applyFont="1" applyBorder="1" applyAlignment="1">
      <alignment horizontal="left" vertical="top"/>
      <protection/>
    </xf>
    <xf numFmtId="1" fontId="3" fillId="0" borderId="23" xfId="84" applyNumberFormat="1" applyFont="1" applyBorder="1" applyAlignment="1">
      <alignment horizontal="left" vertical="top"/>
      <protection/>
    </xf>
    <xf numFmtId="4" fontId="3" fillId="0" borderId="18" xfId="86" applyNumberFormat="1" applyFont="1" applyBorder="1" applyAlignment="1">
      <alignment horizontal="center"/>
      <protection/>
    </xf>
    <xf numFmtId="4" fontId="3" fillId="0" borderId="23" xfId="86" applyNumberFormat="1" applyFont="1" applyBorder="1" applyAlignment="1">
      <alignment horizontal="center"/>
      <protection/>
    </xf>
    <xf numFmtId="0" fontId="3" fillId="0" borderId="18" xfId="84" applyFont="1" applyBorder="1" applyAlignment="1">
      <alignment horizontal="left" vertical="top"/>
      <protection/>
    </xf>
    <xf numFmtId="0" fontId="3" fillId="0" borderId="23" xfId="84" applyFont="1" applyBorder="1" applyAlignment="1">
      <alignment horizontal="left" vertical="top"/>
      <protection/>
    </xf>
    <xf numFmtId="10" fontId="3" fillId="0" borderId="18" xfId="96" applyNumberFormat="1" applyFont="1" applyBorder="1" applyAlignment="1">
      <alignment horizontal="center"/>
    </xf>
    <xf numFmtId="10" fontId="3" fillId="0" borderId="23" xfId="96" applyNumberFormat="1" applyFont="1" applyBorder="1" applyAlignment="1">
      <alignment horizontal="center"/>
    </xf>
    <xf numFmtId="39" fontId="3" fillId="0" borderId="18" xfId="84" applyNumberFormat="1" applyFont="1" applyBorder="1" applyAlignment="1">
      <alignment horizontal="center"/>
      <protection/>
    </xf>
    <xf numFmtId="39" fontId="3" fillId="0" borderId="23" xfId="84" applyNumberFormat="1" applyFont="1" applyBorder="1" applyAlignment="1">
      <alignment horizontal="center"/>
      <protection/>
    </xf>
    <xf numFmtId="44" fontId="20" fillId="0" borderId="11" xfId="73" applyNumberFormat="1" applyFont="1" applyBorder="1" applyAlignment="1">
      <alignment horizontal="center" vertical="center" wrapText="1" readingOrder="1"/>
      <protection/>
    </xf>
    <xf numFmtId="44" fontId="20" fillId="0" borderId="12" xfId="73" applyNumberFormat="1" applyFont="1" applyBorder="1" applyAlignment="1">
      <alignment horizontal="center" vertical="center" wrapText="1" readingOrder="1"/>
      <protection/>
    </xf>
    <xf numFmtId="44" fontId="20" fillId="0" borderId="13" xfId="73" applyNumberFormat="1" applyFont="1" applyBorder="1" applyAlignment="1">
      <alignment horizontal="center" vertical="center" wrapText="1" readingOrder="1"/>
      <protection/>
    </xf>
    <xf numFmtId="44" fontId="20" fillId="0" borderId="0" xfId="73" applyNumberFormat="1" applyFont="1" applyBorder="1" applyAlignment="1">
      <alignment horizontal="center" vertical="center" wrapText="1" readingOrder="1"/>
      <protection/>
    </xf>
    <xf numFmtId="4" fontId="68" fillId="0" borderId="13" xfId="88" applyNumberFormat="1" applyFont="1" applyFill="1" applyBorder="1" applyAlignment="1">
      <alignment horizontal="center" vertical="center" wrapText="1"/>
      <protection/>
    </xf>
    <xf numFmtId="4" fontId="68" fillId="0" borderId="0" xfId="88" applyNumberFormat="1" applyFont="1" applyFill="1" applyBorder="1" applyAlignment="1">
      <alignment horizontal="center" vertical="center" wrapText="1"/>
      <protection/>
    </xf>
    <xf numFmtId="4" fontId="68" fillId="0" borderId="14" xfId="88" applyNumberFormat="1" applyFont="1" applyFill="1" applyBorder="1" applyAlignment="1">
      <alignment horizontal="center" vertical="center" wrapText="1"/>
      <protection/>
    </xf>
    <xf numFmtId="4" fontId="68" fillId="0" borderId="15" xfId="88" applyNumberFormat="1" applyFont="1" applyFill="1" applyBorder="1" applyAlignment="1">
      <alignment horizontal="center" vertical="center" wrapText="1"/>
      <protection/>
    </xf>
    <xf numFmtId="0" fontId="3" fillId="0" borderId="18" xfId="88" applyFont="1" applyFill="1" applyBorder="1" applyAlignment="1">
      <alignment horizontal="center" vertical="center" wrapText="1"/>
      <protection/>
    </xf>
    <xf numFmtId="0" fontId="3" fillId="0" borderId="22" xfId="88" applyFont="1" applyFill="1" applyBorder="1" applyAlignment="1">
      <alignment horizontal="center" vertical="center" wrapText="1"/>
      <protection/>
    </xf>
    <xf numFmtId="4" fontId="68" fillId="0" borderId="13" xfId="73" applyNumberFormat="1" applyFont="1" applyFill="1" applyBorder="1" applyAlignment="1">
      <alignment horizontal="center" vertical="center" wrapText="1" readingOrder="1"/>
      <protection/>
    </xf>
    <xf numFmtId="4" fontId="68" fillId="0" borderId="0" xfId="73" applyNumberFormat="1" applyFont="1" applyFill="1" applyBorder="1" applyAlignment="1">
      <alignment horizontal="center" vertical="center" wrapText="1" readingOrder="1"/>
      <protection/>
    </xf>
    <xf numFmtId="4" fontId="68" fillId="0" borderId="13" xfId="73" applyNumberFormat="1" applyFont="1" applyFill="1" applyBorder="1" applyAlignment="1">
      <alignment horizontal="center" vertical="center" wrapText="1"/>
      <protection/>
    </xf>
    <xf numFmtId="4" fontId="68" fillId="0" borderId="0" xfId="73" applyNumberFormat="1" applyFont="1" applyFill="1" applyBorder="1" applyAlignment="1">
      <alignment horizontal="center" vertical="center" wrapText="1"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24" xfId="84" applyFont="1" applyBorder="1" applyAlignment="1">
      <alignment horizontal="center" wrapText="1"/>
      <protection/>
    </xf>
    <xf numFmtId="0" fontId="3" fillId="0" borderId="25" xfId="84" applyFont="1" applyBorder="1" applyAlignment="1">
      <alignment horizontal="center" wrapText="1"/>
      <protection/>
    </xf>
    <xf numFmtId="0" fontId="3" fillId="0" borderId="18" xfId="84" applyFont="1" applyBorder="1" applyAlignment="1">
      <alignment horizontal="center"/>
      <protection/>
    </xf>
    <xf numFmtId="0" fontId="3" fillId="0" borderId="22" xfId="84" applyFont="1" applyBorder="1" applyAlignment="1">
      <alignment horizontal="center"/>
      <protection/>
    </xf>
    <xf numFmtId="0" fontId="3" fillId="0" borderId="23" xfId="84" applyFont="1" applyBorder="1" applyAlignment="1">
      <alignment horizontal="center"/>
      <protection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vertical="justify" wrapText="1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" fontId="3" fillId="33" borderId="17" xfId="70" applyNumberFormat="1" applyFont="1" applyFill="1" applyBorder="1" applyAlignment="1">
      <alignment horizontal="right"/>
      <protection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21" fillId="0" borderId="13" xfId="88" applyFont="1" applyFill="1" applyBorder="1" applyAlignment="1">
      <alignment horizontal="center"/>
      <protection/>
    </xf>
    <xf numFmtId="0" fontId="21" fillId="0" borderId="0" xfId="88" applyFont="1" applyFill="1" applyBorder="1" applyAlignment="1">
      <alignment horizontal="center"/>
      <protection/>
    </xf>
  </cellXfs>
  <cellStyles count="107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Bom" xfId="45"/>
    <cellStyle name="Cálculo" xfId="46"/>
    <cellStyle name="Célula de Verificação" xfId="47"/>
    <cellStyle name="Célula Vinculada" xfId="48"/>
    <cellStyle name="Data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Euro" xfId="57"/>
    <cellStyle name="Euro 2" xfId="58"/>
    <cellStyle name="Euro 2 2" xfId="59"/>
    <cellStyle name="Fixo" xfId="60"/>
    <cellStyle name="Hyperlink" xfId="61"/>
    <cellStyle name="Followed Hyperlink" xfId="62"/>
    <cellStyle name="Currency" xfId="63"/>
    <cellStyle name="Currency [0]" xfId="64"/>
    <cellStyle name="Moeda 2" xfId="65"/>
    <cellStyle name="Moeda 3" xfId="66"/>
    <cellStyle name="Neutro" xfId="67"/>
    <cellStyle name="Normal 10" xfId="68"/>
    <cellStyle name="Normal 11" xfId="69"/>
    <cellStyle name="Normal 2" xfId="70"/>
    <cellStyle name="Normal 2 2" xfId="71"/>
    <cellStyle name="Normal 2 2 2" xfId="72"/>
    <cellStyle name="Normal 2 3" xfId="73"/>
    <cellStyle name="Normal 3" xfId="74"/>
    <cellStyle name="Normal 3 2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rmal 9 2" xfId="83"/>
    <cellStyle name="Normal_CRONOGRAMA" xfId="84"/>
    <cellStyle name="Normal_CRUZEI~1" xfId="85"/>
    <cellStyle name="Normal_Orçamento nº057-2003- Esc. Munic. AMPARO revisão" xfId="86"/>
    <cellStyle name="Normal_P_Getulio Vargas" xfId="87"/>
    <cellStyle name="Normal_P_Getulio Vargas 2" xfId="88"/>
    <cellStyle name="Nota" xfId="89"/>
    <cellStyle name="Nota 2" xfId="90"/>
    <cellStyle name="Nota 3" xfId="91"/>
    <cellStyle name="Nota 4" xfId="92"/>
    <cellStyle name="Percentual" xfId="93"/>
    <cellStyle name="Ponto" xfId="94"/>
    <cellStyle name="Percent" xfId="95"/>
    <cellStyle name="Porcentagem 2" xfId="96"/>
    <cellStyle name="Porcentagem 3" xfId="97"/>
    <cellStyle name="Ruim" xfId="98"/>
    <cellStyle name="Saída" xfId="99"/>
    <cellStyle name="Comma [0]" xfId="100"/>
    <cellStyle name="Separador de milhares 15" xfId="101"/>
    <cellStyle name="Separador de milhares 2" xfId="102"/>
    <cellStyle name="TableStyleLight1" xfId="103"/>
    <cellStyle name="Texto de Aviso" xfId="104"/>
    <cellStyle name="Texto Explicativo" xfId="105"/>
    <cellStyle name="Título" xfId="106"/>
    <cellStyle name="Título 1" xfId="107"/>
    <cellStyle name="Título 1 1" xfId="108"/>
    <cellStyle name="Título 1 1 1" xfId="109"/>
    <cellStyle name="Título 1 1_PLAN   (2)" xfId="110"/>
    <cellStyle name="Título 2" xfId="111"/>
    <cellStyle name="Título 3" xfId="112"/>
    <cellStyle name="Título 4" xfId="113"/>
    <cellStyle name="Titulo1" xfId="114"/>
    <cellStyle name="Titulo2" xfId="115"/>
    <cellStyle name="Total" xfId="116"/>
    <cellStyle name="Comma" xfId="117"/>
    <cellStyle name="Vírgula 2" xfId="118"/>
    <cellStyle name="Vírgula 2 2" xfId="119"/>
    <cellStyle name="Vírgula 3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247650</xdr:rowOff>
    </xdr:from>
    <xdr:to>
      <xdr:col>12</xdr:col>
      <xdr:colOff>1790700</xdr:colOff>
      <xdr:row>6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59400" y="247650"/>
          <a:ext cx="17430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PLANEJAMENTO%20PMBM%202019\ATUALIZA&#199;&#195;O%202019%20-%20REVIS&#195;O%20QUADRA%20AYMOR&#201;\Rev130219-Or&#231;amento%20%20n&#186;015-18_Execu&#231;&#227;o%20de%20Quadra%20esportiva_%20Aymor&#233;%20-%20C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esktop\Revis&#227;o%20JAN-18_Or&#231;amento%20ATI%20Vila%20Br&#237;gida%20xls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\Documents\BACKUP%20SMPU%2017mar2020\SMPU%202020\PRESIDENTE%20KENNEDY%202020\C&#243;pia%20de%20KENNEDY%20ALFREDO%20-%20REV%2011fe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DE MERCADO"/>
      <sheetName val="MEMORIA  Quant"/>
      <sheetName val="COMPOS. ANALÍTICA"/>
      <sheetName val="SINAPI"/>
      <sheetName val="CRONOG"/>
      <sheetName val="BDI"/>
      <sheetName val="EVENTOGRAMA - R$"/>
      <sheetName val="EVENTOGRAMA - ME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I - Construção de Edifícios"/>
      <sheetName val="MEMORIA  Quant"/>
      <sheetName val="Compos. Analítica"/>
      <sheetName val="SINAPI"/>
      <sheetName val="Cron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ª REVISÃO - OC - ALFRED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07"/>
  <sheetViews>
    <sheetView tabSelected="1" view="pageBreakPreview" zoomScale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9.140625" style="42" customWidth="1"/>
    <col min="2" max="2" width="23.7109375" style="0" customWidth="1"/>
    <col min="3" max="3" width="104.00390625" style="1" customWidth="1"/>
    <col min="4" max="4" width="14.57421875" style="0" customWidth="1"/>
    <col min="5" max="5" width="11.7109375" style="0" customWidth="1"/>
    <col min="6" max="6" width="17.57421875" style="0" bestFit="1" customWidth="1"/>
    <col min="7" max="7" width="21.421875" style="0" bestFit="1" customWidth="1"/>
    <col min="8" max="8" width="9.140625" style="50" customWidth="1"/>
    <col min="9" max="10" width="9.8515625" style="50" bestFit="1" customWidth="1"/>
    <col min="11" max="97" width="9.140625" style="50" customWidth="1"/>
  </cols>
  <sheetData>
    <row r="1" spans="1:7" ht="15.75">
      <c r="A1" s="2"/>
      <c r="B1" s="3"/>
      <c r="C1" s="4" t="s">
        <v>5</v>
      </c>
      <c r="D1" s="5"/>
      <c r="E1" s="6"/>
      <c r="F1" s="7"/>
      <c r="G1" s="7"/>
    </row>
    <row r="2" spans="1:7" ht="15.75">
      <c r="A2" s="8"/>
      <c r="B2" s="9"/>
      <c r="C2" s="10" t="s">
        <v>6</v>
      </c>
      <c r="D2" s="11"/>
      <c r="E2" s="12"/>
      <c r="F2" s="13"/>
      <c r="G2" s="13"/>
    </row>
    <row r="3" spans="1:7" ht="15.75">
      <c r="A3" s="8"/>
      <c r="B3" s="9"/>
      <c r="C3" s="10" t="s">
        <v>37</v>
      </c>
      <c r="D3" s="175" t="s">
        <v>175</v>
      </c>
      <c r="E3" s="176"/>
      <c r="F3" s="176"/>
      <c r="G3" s="177"/>
    </row>
    <row r="4" spans="1:7" ht="15.75" customHeight="1">
      <c r="A4" s="8"/>
      <c r="B4" s="9"/>
      <c r="C4" s="14" t="s">
        <v>174</v>
      </c>
      <c r="D4" s="178" t="s">
        <v>176</v>
      </c>
      <c r="E4" s="179"/>
      <c r="F4" s="179"/>
      <c r="G4" s="180"/>
    </row>
    <row r="5" spans="1:7" ht="15.75">
      <c r="A5" s="8"/>
      <c r="B5" s="9"/>
      <c r="C5" s="37" t="s">
        <v>298</v>
      </c>
      <c r="D5" s="181" t="s">
        <v>178</v>
      </c>
      <c r="E5" s="182"/>
      <c r="F5" s="182"/>
      <c r="G5" s="183"/>
    </row>
    <row r="6" spans="1:7" ht="15.75">
      <c r="A6" s="8"/>
      <c r="B6" s="9"/>
      <c r="C6" s="15" t="s">
        <v>181</v>
      </c>
      <c r="D6" s="184" t="s">
        <v>177</v>
      </c>
      <c r="E6" s="185"/>
      <c r="F6" s="185"/>
      <c r="G6" s="186"/>
    </row>
    <row r="7" spans="1:7" ht="15.75">
      <c r="A7" s="8"/>
      <c r="B7" s="9"/>
      <c r="C7" s="38"/>
      <c r="D7" s="184" t="s">
        <v>179</v>
      </c>
      <c r="E7" s="185"/>
      <c r="F7" s="185"/>
      <c r="G7" s="186"/>
    </row>
    <row r="8" spans="1:7" ht="15.75">
      <c r="A8" s="16"/>
      <c r="B8" s="17"/>
      <c r="C8" s="18"/>
      <c r="D8" s="167" t="s">
        <v>180</v>
      </c>
      <c r="E8" s="168"/>
      <c r="F8" s="168"/>
      <c r="G8" s="169"/>
    </row>
    <row r="9" spans="1:7" ht="15">
      <c r="A9" s="172" t="s">
        <v>7</v>
      </c>
      <c r="B9" s="173"/>
      <c r="C9" s="173"/>
      <c r="D9" s="173"/>
      <c r="E9" s="173"/>
      <c r="F9" s="173"/>
      <c r="G9" s="173"/>
    </row>
    <row r="10" spans="1:7" ht="15.75">
      <c r="A10" s="170" t="s">
        <v>8</v>
      </c>
      <c r="B10" s="161" t="s">
        <v>9</v>
      </c>
      <c r="C10" s="160" t="s">
        <v>10</v>
      </c>
      <c r="D10" s="170" t="s">
        <v>3</v>
      </c>
      <c r="E10" s="165" t="s">
        <v>11</v>
      </c>
      <c r="F10" s="165" t="s">
        <v>12</v>
      </c>
      <c r="G10" s="165"/>
    </row>
    <row r="11" spans="1:7" ht="15.75">
      <c r="A11" s="171"/>
      <c r="B11" s="174"/>
      <c r="C11" s="161"/>
      <c r="D11" s="171"/>
      <c r="E11" s="166"/>
      <c r="F11" s="19" t="s">
        <v>13</v>
      </c>
      <c r="G11" s="20" t="s">
        <v>1</v>
      </c>
    </row>
    <row r="12" spans="1:97" s="28" customFormat="1" ht="15.75">
      <c r="A12" s="45" t="s">
        <v>4</v>
      </c>
      <c r="B12" s="29"/>
      <c r="C12" s="30" t="s">
        <v>38</v>
      </c>
      <c r="D12" s="29"/>
      <c r="E12" s="29"/>
      <c r="F12" s="29"/>
      <c r="G12" s="48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</row>
    <row r="13" spans="1:7" ht="45">
      <c r="A13" s="43" t="s">
        <v>2</v>
      </c>
      <c r="B13" s="21" t="s">
        <v>41</v>
      </c>
      <c r="C13" s="22" t="s">
        <v>42</v>
      </c>
      <c r="D13" s="43" t="s">
        <v>30</v>
      </c>
      <c r="E13" s="36">
        <v>6</v>
      </c>
      <c r="F13" s="21">
        <f>TRUNC(F14,2)</f>
        <v>463.42</v>
      </c>
      <c r="G13" s="54">
        <f>TRUNC((E13*F13),2)</f>
        <v>2780.52</v>
      </c>
    </row>
    <row r="14" spans="1:97" s="31" customFormat="1" ht="45">
      <c r="A14" s="46"/>
      <c r="B14" s="32" t="s">
        <v>41</v>
      </c>
      <c r="C14" s="33" t="s">
        <v>42</v>
      </c>
      <c r="D14" s="65" t="s">
        <v>30</v>
      </c>
      <c r="E14" s="32">
        <v>1</v>
      </c>
      <c r="F14" s="34">
        <f>G23</f>
        <v>463.42</v>
      </c>
      <c r="G14" s="35">
        <f aca="true" t="shared" si="0" ref="G14:G22">TRUNC(E14*F14,2)</f>
        <v>463.42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</row>
    <row r="15" spans="1:97" s="31" customFormat="1" ht="30">
      <c r="A15" s="46"/>
      <c r="B15" s="32" t="s">
        <v>43</v>
      </c>
      <c r="C15" s="33" t="s">
        <v>44</v>
      </c>
      <c r="D15" s="65" t="s">
        <v>45</v>
      </c>
      <c r="E15" s="32">
        <v>0.3</v>
      </c>
      <c r="F15" s="34">
        <f>TRUNC(15.94,2)</f>
        <v>15.94</v>
      </c>
      <c r="G15" s="35">
        <f t="shared" si="0"/>
        <v>4.78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</row>
    <row r="16" spans="1:97" s="31" customFormat="1" ht="15.75">
      <c r="A16" s="46"/>
      <c r="B16" s="32" t="s">
        <v>46</v>
      </c>
      <c r="C16" s="33" t="s">
        <v>47</v>
      </c>
      <c r="D16" s="65" t="s">
        <v>48</v>
      </c>
      <c r="E16" s="32">
        <v>9.2</v>
      </c>
      <c r="F16" s="34">
        <f>TRUNC(5.45,2)</f>
        <v>5.45</v>
      </c>
      <c r="G16" s="35">
        <f t="shared" si="0"/>
        <v>50.14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</row>
    <row r="17" spans="1:97" s="31" customFormat="1" ht="15.75">
      <c r="A17" s="46"/>
      <c r="B17" s="32" t="s">
        <v>49</v>
      </c>
      <c r="C17" s="33" t="s">
        <v>50</v>
      </c>
      <c r="D17" s="65" t="s">
        <v>51</v>
      </c>
      <c r="E17" s="32">
        <v>0.2</v>
      </c>
      <c r="F17" s="34">
        <f>TRUNC(53.56,2)</f>
        <v>53.56</v>
      </c>
      <c r="G17" s="35">
        <f t="shared" si="0"/>
        <v>10.71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</row>
    <row r="18" spans="1:97" s="31" customFormat="1" ht="30">
      <c r="A18" s="46"/>
      <c r="B18" s="32" t="s">
        <v>52</v>
      </c>
      <c r="C18" s="33" t="s">
        <v>53</v>
      </c>
      <c r="D18" s="65" t="s">
        <v>45</v>
      </c>
      <c r="E18" s="32">
        <v>5</v>
      </c>
      <c r="F18" s="34">
        <f>TRUNC(20.0865,2)</f>
        <v>20.08</v>
      </c>
      <c r="G18" s="35">
        <f t="shared" si="0"/>
        <v>100.4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</row>
    <row r="19" spans="1:97" s="31" customFormat="1" ht="15.75">
      <c r="A19" s="46"/>
      <c r="B19" s="32" t="s">
        <v>33</v>
      </c>
      <c r="C19" s="33" t="s">
        <v>34</v>
      </c>
      <c r="D19" s="65" t="s">
        <v>0</v>
      </c>
      <c r="E19" s="32">
        <v>2.06</v>
      </c>
      <c r="F19" s="34">
        <f>TRUNC(16.55,2)</f>
        <v>16.55</v>
      </c>
      <c r="G19" s="35">
        <f t="shared" si="0"/>
        <v>34.09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</row>
    <row r="20" spans="1:97" s="31" customFormat="1" ht="30">
      <c r="A20" s="46"/>
      <c r="B20" s="32" t="s">
        <v>54</v>
      </c>
      <c r="C20" s="33" t="s">
        <v>55</v>
      </c>
      <c r="D20" s="65" t="s">
        <v>0</v>
      </c>
      <c r="E20" s="32">
        <v>2.06</v>
      </c>
      <c r="F20" s="34">
        <f>TRUNC(24.61,2)</f>
        <v>24.61</v>
      </c>
      <c r="G20" s="35">
        <f t="shared" si="0"/>
        <v>50.69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</row>
    <row r="21" spans="1:97" s="31" customFormat="1" ht="15.75">
      <c r="A21" s="46"/>
      <c r="B21" s="32" t="s">
        <v>56</v>
      </c>
      <c r="C21" s="33" t="s">
        <v>57</v>
      </c>
      <c r="D21" s="65" t="s">
        <v>0</v>
      </c>
      <c r="E21" s="32">
        <v>4.12</v>
      </c>
      <c r="F21" s="34">
        <f>TRUNC(22.86,2)</f>
        <v>22.86</v>
      </c>
      <c r="G21" s="35">
        <f t="shared" si="0"/>
        <v>94.18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</row>
    <row r="22" spans="1:97" s="31" customFormat="1" ht="15.75">
      <c r="A22" s="46"/>
      <c r="B22" s="32" t="s">
        <v>58</v>
      </c>
      <c r="C22" s="33" t="s">
        <v>59</v>
      </c>
      <c r="D22" s="65" t="s">
        <v>0</v>
      </c>
      <c r="E22" s="32">
        <v>1</v>
      </c>
      <c r="F22" s="34">
        <f>TRUNC(118.4325,2)</f>
        <v>118.43</v>
      </c>
      <c r="G22" s="35">
        <f t="shared" si="0"/>
        <v>118.43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</row>
    <row r="23" spans="1:97" s="31" customFormat="1" ht="15.75">
      <c r="A23" s="46"/>
      <c r="B23" s="32"/>
      <c r="C23" s="33"/>
      <c r="D23" s="65"/>
      <c r="E23" s="32" t="s">
        <v>1</v>
      </c>
      <c r="F23" s="34"/>
      <c r="G23" s="35">
        <f>TRUNC(SUM(G15:G22),2)</f>
        <v>463.42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</row>
    <row r="24" spans="1:7" ht="60">
      <c r="A24" s="43" t="s">
        <v>36</v>
      </c>
      <c r="B24" s="21" t="s">
        <v>271</v>
      </c>
      <c r="C24" s="22" t="s">
        <v>272</v>
      </c>
      <c r="D24" s="43" t="s">
        <v>30</v>
      </c>
      <c r="E24" s="36">
        <v>12</v>
      </c>
      <c r="F24" s="21">
        <f>TRUNC(F25,2)</f>
        <v>470.02</v>
      </c>
      <c r="G24" s="54">
        <f>TRUNC((E24*F24),2)</f>
        <v>5640.24</v>
      </c>
    </row>
    <row r="25" spans="1:97" s="31" customFormat="1" ht="60">
      <c r="A25" s="46"/>
      <c r="B25" s="32" t="s">
        <v>271</v>
      </c>
      <c r="C25" s="33" t="s">
        <v>272</v>
      </c>
      <c r="D25" s="65" t="s">
        <v>30</v>
      </c>
      <c r="E25" s="32">
        <v>1</v>
      </c>
      <c r="F25" s="34">
        <f>G44</f>
        <v>470.02</v>
      </c>
      <c r="G25" s="35">
        <f aca="true" t="shared" si="1" ref="G25:G43">TRUNC(E25*F25,2)</f>
        <v>470.02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</row>
    <row r="26" spans="1:97" s="31" customFormat="1" ht="15.75">
      <c r="A26" s="46"/>
      <c r="B26" s="32" t="s">
        <v>273</v>
      </c>
      <c r="C26" s="33" t="s">
        <v>274</v>
      </c>
      <c r="D26" s="65" t="s">
        <v>3</v>
      </c>
      <c r="E26" s="32">
        <v>0.08</v>
      </c>
      <c r="F26" s="34">
        <f>TRUNC(9.71,2)</f>
        <v>9.71</v>
      </c>
      <c r="G26" s="35">
        <f t="shared" si="1"/>
        <v>0.77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</row>
    <row r="27" spans="1:97" s="31" customFormat="1" ht="15.75">
      <c r="A27" s="46"/>
      <c r="B27" s="32" t="s">
        <v>265</v>
      </c>
      <c r="C27" s="33" t="s">
        <v>266</v>
      </c>
      <c r="D27" s="65" t="s">
        <v>3</v>
      </c>
      <c r="E27" s="32">
        <v>0.08</v>
      </c>
      <c r="F27" s="34">
        <f>TRUNC(3.04,2)</f>
        <v>3.04</v>
      </c>
      <c r="G27" s="35">
        <f t="shared" si="1"/>
        <v>0.24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</row>
    <row r="28" spans="1:97" s="31" customFormat="1" ht="15.75">
      <c r="A28" s="46"/>
      <c r="B28" s="32" t="s">
        <v>263</v>
      </c>
      <c r="C28" s="33" t="s">
        <v>264</v>
      </c>
      <c r="D28" s="65" t="s">
        <v>3</v>
      </c>
      <c r="E28" s="32">
        <v>0.08</v>
      </c>
      <c r="F28" s="34">
        <f>TRUNC(4.7,2)</f>
        <v>4.7</v>
      </c>
      <c r="G28" s="35">
        <f t="shared" si="1"/>
        <v>0.37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</row>
    <row r="29" spans="1:97" s="31" customFormat="1" ht="15.75">
      <c r="A29" s="46"/>
      <c r="B29" s="32" t="s">
        <v>46</v>
      </c>
      <c r="C29" s="33" t="s">
        <v>47</v>
      </c>
      <c r="D29" s="65" t="s">
        <v>48</v>
      </c>
      <c r="E29" s="32">
        <v>1.5</v>
      </c>
      <c r="F29" s="34">
        <f>TRUNC(5.45,2)</f>
        <v>5.45</v>
      </c>
      <c r="G29" s="35">
        <f t="shared" si="1"/>
        <v>8.17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</row>
    <row r="30" spans="1:97" s="31" customFormat="1" ht="30">
      <c r="A30" s="46"/>
      <c r="B30" s="32" t="s">
        <v>275</v>
      </c>
      <c r="C30" s="33" t="s">
        <v>276</v>
      </c>
      <c r="D30" s="65" t="s">
        <v>3</v>
      </c>
      <c r="E30" s="32">
        <v>0.06</v>
      </c>
      <c r="F30" s="34">
        <f>TRUNC(10.09,2)</f>
        <v>10.09</v>
      </c>
      <c r="G30" s="35">
        <f t="shared" si="1"/>
        <v>0.6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</row>
    <row r="31" spans="1:97" s="31" customFormat="1" ht="15.75">
      <c r="A31" s="46"/>
      <c r="B31" s="32" t="s">
        <v>253</v>
      </c>
      <c r="C31" s="33" t="s">
        <v>254</v>
      </c>
      <c r="D31" s="65" t="s">
        <v>3</v>
      </c>
      <c r="E31" s="32">
        <v>0.17</v>
      </c>
      <c r="F31" s="34">
        <f>TRUNC(30.75,2)</f>
        <v>30.75</v>
      </c>
      <c r="G31" s="35">
        <f t="shared" si="1"/>
        <v>5.22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</row>
    <row r="32" spans="1:97" s="31" customFormat="1" ht="15.75">
      <c r="A32" s="46"/>
      <c r="B32" s="32" t="s">
        <v>259</v>
      </c>
      <c r="C32" s="33" t="s">
        <v>260</v>
      </c>
      <c r="D32" s="65" t="s">
        <v>3</v>
      </c>
      <c r="E32" s="32">
        <v>0.02</v>
      </c>
      <c r="F32" s="34">
        <f>TRUNC(4.22,2)</f>
        <v>4.22</v>
      </c>
      <c r="G32" s="35">
        <f t="shared" si="1"/>
        <v>0.08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</row>
    <row r="33" spans="1:97" s="31" customFormat="1" ht="15.75">
      <c r="A33" s="46"/>
      <c r="B33" s="32" t="s">
        <v>255</v>
      </c>
      <c r="C33" s="33" t="s">
        <v>256</v>
      </c>
      <c r="D33" s="65" t="s">
        <v>48</v>
      </c>
      <c r="E33" s="32">
        <v>0.5</v>
      </c>
      <c r="F33" s="34">
        <f>TRUNC(4,2)</f>
        <v>4</v>
      </c>
      <c r="G33" s="35">
        <f t="shared" si="1"/>
        <v>2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</row>
    <row r="34" spans="1:97" s="31" customFormat="1" ht="30">
      <c r="A34" s="46"/>
      <c r="B34" s="32" t="s">
        <v>261</v>
      </c>
      <c r="C34" s="33" t="s">
        <v>262</v>
      </c>
      <c r="D34" s="65" t="s">
        <v>3</v>
      </c>
      <c r="E34" s="32">
        <v>0.275</v>
      </c>
      <c r="F34" s="34">
        <f>TRUNC(51.66,2)</f>
        <v>51.66</v>
      </c>
      <c r="G34" s="35">
        <f t="shared" si="1"/>
        <v>14.2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</row>
    <row r="35" spans="1:97" s="31" customFormat="1" ht="30">
      <c r="A35" s="46"/>
      <c r="B35" s="32" t="s">
        <v>43</v>
      </c>
      <c r="C35" s="33" t="s">
        <v>44</v>
      </c>
      <c r="D35" s="65" t="s">
        <v>45</v>
      </c>
      <c r="E35" s="32">
        <v>0.1</v>
      </c>
      <c r="F35" s="34">
        <f>TRUNC(15.94,2)</f>
        <v>15.94</v>
      </c>
      <c r="G35" s="35">
        <f t="shared" si="1"/>
        <v>1.59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</row>
    <row r="36" spans="1:97" s="31" customFormat="1" ht="15.75">
      <c r="A36" s="46"/>
      <c r="B36" s="32" t="s">
        <v>277</v>
      </c>
      <c r="C36" s="33" t="s">
        <v>278</v>
      </c>
      <c r="D36" s="65" t="s">
        <v>30</v>
      </c>
      <c r="E36" s="32">
        <v>0.65</v>
      </c>
      <c r="F36" s="34">
        <f>TRUNC(18.4304,2)</f>
        <v>18.43</v>
      </c>
      <c r="G36" s="35">
        <f t="shared" si="1"/>
        <v>11.97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</row>
    <row r="37" spans="1:97" s="31" customFormat="1" ht="15.75">
      <c r="A37" s="46"/>
      <c r="B37" s="32" t="s">
        <v>257</v>
      </c>
      <c r="C37" s="33" t="s">
        <v>258</v>
      </c>
      <c r="D37" s="65" t="s">
        <v>3</v>
      </c>
      <c r="E37" s="32">
        <v>0.17</v>
      </c>
      <c r="F37" s="34">
        <f>TRUNC(2.12,2)</f>
        <v>2.12</v>
      </c>
      <c r="G37" s="35">
        <f t="shared" si="1"/>
        <v>0.36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</row>
    <row r="38" spans="1:97" s="31" customFormat="1" ht="15.75">
      <c r="A38" s="46"/>
      <c r="B38" s="32" t="s">
        <v>279</v>
      </c>
      <c r="C38" s="33" t="s">
        <v>280</v>
      </c>
      <c r="D38" s="65" t="s">
        <v>30</v>
      </c>
      <c r="E38" s="32">
        <v>0.06</v>
      </c>
      <c r="F38" s="34">
        <f>TRUNC(58.71,2)</f>
        <v>58.71</v>
      </c>
      <c r="G38" s="35">
        <f t="shared" si="1"/>
        <v>3.52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</row>
    <row r="39" spans="1:97" s="31" customFormat="1" ht="30">
      <c r="A39" s="46"/>
      <c r="B39" s="32" t="s">
        <v>54</v>
      </c>
      <c r="C39" s="33" t="s">
        <v>55</v>
      </c>
      <c r="D39" s="65" t="s">
        <v>0</v>
      </c>
      <c r="E39" s="32">
        <v>8.137</v>
      </c>
      <c r="F39" s="34">
        <f>TRUNC(24.61,2)</f>
        <v>24.61</v>
      </c>
      <c r="G39" s="35">
        <f t="shared" si="1"/>
        <v>200.25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</row>
    <row r="40" spans="1:97" s="31" customFormat="1" ht="15.75">
      <c r="A40" s="46"/>
      <c r="B40" s="32" t="s">
        <v>33</v>
      </c>
      <c r="C40" s="33" t="s">
        <v>34</v>
      </c>
      <c r="D40" s="65" t="s">
        <v>0</v>
      </c>
      <c r="E40" s="32">
        <v>8.549000000000001</v>
      </c>
      <c r="F40" s="34">
        <f>TRUNC(16.55,2)</f>
        <v>16.55</v>
      </c>
      <c r="G40" s="35">
        <f t="shared" si="1"/>
        <v>141.48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</row>
    <row r="41" spans="1:97" s="31" customFormat="1" ht="15.75">
      <c r="A41" s="46"/>
      <c r="B41" s="32" t="s">
        <v>267</v>
      </c>
      <c r="C41" s="33" t="s">
        <v>268</v>
      </c>
      <c r="D41" s="65" t="s">
        <v>0</v>
      </c>
      <c r="E41" s="32">
        <v>0.41200000000000003</v>
      </c>
      <c r="F41" s="34">
        <f>TRUNC(22.86,2)</f>
        <v>22.86</v>
      </c>
      <c r="G41" s="35">
        <f t="shared" si="1"/>
        <v>9.41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</row>
    <row r="42" spans="1:97" s="31" customFormat="1" ht="15.75">
      <c r="A42" s="46"/>
      <c r="B42" s="32" t="s">
        <v>269</v>
      </c>
      <c r="C42" s="33" t="s">
        <v>270</v>
      </c>
      <c r="D42" s="65" t="s">
        <v>30</v>
      </c>
      <c r="E42" s="32">
        <v>1.05</v>
      </c>
      <c r="F42" s="34">
        <f>TRUNC(37.4673,2)</f>
        <v>37.46</v>
      </c>
      <c r="G42" s="35">
        <f t="shared" si="1"/>
        <v>39.33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</row>
    <row r="43" spans="1:97" s="31" customFormat="1" ht="15.75">
      <c r="A43" s="46"/>
      <c r="B43" s="32" t="s">
        <v>281</v>
      </c>
      <c r="C43" s="33" t="s">
        <v>282</v>
      </c>
      <c r="D43" s="65" t="s">
        <v>30</v>
      </c>
      <c r="E43" s="32">
        <v>1.05</v>
      </c>
      <c r="F43" s="34">
        <f>TRUNC(29.0171,2)</f>
        <v>29.01</v>
      </c>
      <c r="G43" s="35">
        <f t="shared" si="1"/>
        <v>30.46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</row>
    <row r="44" spans="1:97" s="31" customFormat="1" ht="15.75">
      <c r="A44" s="46"/>
      <c r="B44" s="32"/>
      <c r="C44" s="33"/>
      <c r="D44" s="65"/>
      <c r="E44" s="32" t="s">
        <v>1</v>
      </c>
      <c r="F44" s="34"/>
      <c r="G44" s="35">
        <f>TRUNC(SUM(G26:G43),2)</f>
        <v>470.02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</row>
    <row r="45" spans="1:7" ht="75">
      <c r="A45" s="43" t="s">
        <v>39</v>
      </c>
      <c r="B45" s="21" t="s">
        <v>283</v>
      </c>
      <c r="C45" s="22" t="s">
        <v>284</v>
      </c>
      <c r="D45" s="43" t="s">
        <v>285</v>
      </c>
      <c r="E45" s="36">
        <v>4</v>
      </c>
      <c r="F45" s="21">
        <f>TRUNC(F46,2)</f>
        <v>850</v>
      </c>
      <c r="G45" s="54">
        <f>TRUNC((E45*F45),2)</f>
        <v>3400</v>
      </c>
    </row>
    <row r="46" spans="1:97" s="31" customFormat="1" ht="75">
      <c r="A46" s="46"/>
      <c r="B46" s="32" t="s">
        <v>283</v>
      </c>
      <c r="C46" s="33" t="s">
        <v>284</v>
      </c>
      <c r="D46" s="65" t="s">
        <v>285</v>
      </c>
      <c r="E46" s="32">
        <v>1</v>
      </c>
      <c r="F46" s="34">
        <f>G48</f>
        <v>850</v>
      </c>
      <c r="G46" s="35">
        <f>TRUNC(E46*F46,2)</f>
        <v>850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</row>
    <row r="47" spans="1:97" s="31" customFormat="1" ht="30">
      <c r="A47" s="46"/>
      <c r="B47" s="32" t="s">
        <v>286</v>
      </c>
      <c r="C47" s="33" t="s">
        <v>287</v>
      </c>
      <c r="D47" s="65" t="s">
        <v>288</v>
      </c>
      <c r="E47" s="32">
        <v>1</v>
      </c>
      <c r="F47" s="34">
        <f>TRUNC(850,2)</f>
        <v>850</v>
      </c>
      <c r="G47" s="35">
        <f>TRUNC(E47*F47,2)</f>
        <v>850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</row>
    <row r="48" spans="1:97" s="31" customFormat="1" ht="15.75">
      <c r="A48" s="46"/>
      <c r="B48" s="32"/>
      <c r="C48" s="33"/>
      <c r="D48" s="65"/>
      <c r="E48" s="32" t="s">
        <v>1</v>
      </c>
      <c r="F48" s="34"/>
      <c r="G48" s="35">
        <f>TRUNC(SUM(G47:G47),2)</f>
        <v>850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</row>
    <row r="49" spans="1:7" ht="45">
      <c r="A49" s="43" t="s">
        <v>40</v>
      </c>
      <c r="B49" s="21" t="s">
        <v>62</v>
      </c>
      <c r="C49" s="22" t="s">
        <v>63</v>
      </c>
      <c r="D49" s="43" t="s">
        <v>64</v>
      </c>
      <c r="E49" s="36">
        <f>23.73*0.2</f>
        <v>4.746</v>
      </c>
      <c r="F49" s="21">
        <f>TRUNC(F50,2)</f>
        <v>87.29</v>
      </c>
      <c r="G49" s="54">
        <f>TRUNC((E49*F49),2)</f>
        <v>414.27</v>
      </c>
    </row>
    <row r="50" spans="1:97" s="31" customFormat="1" ht="45">
      <c r="A50" s="46"/>
      <c r="B50" s="32" t="s">
        <v>62</v>
      </c>
      <c r="C50" s="33" t="s">
        <v>63</v>
      </c>
      <c r="D50" s="65" t="s">
        <v>64</v>
      </c>
      <c r="E50" s="32">
        <v>1</v>
      </c>
      <c r="F50" s="34">
        <f>G53</f>
        <v>87.29</v>
      </c>
      <c r="G50" s="35">
        <f>TRUNC(E50*F50,2)</f>
        <v>87.29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</row>
    <row r="51" spans="1:97" s="31" customFormat="1" ht="15.75">
      <c r="A51" s="46"/>
      <c r="B51" s="32" t="s">
        <v>33</v>
      </c>
      <c r="C51" s="33" t="s">
        <v>34</v>
      </c>
      <c r="D51" s="65" t="s">
        <v>0</v>
      </c>
      <c r="E51" s="32">
        <v>4.635</v>
      </c>
      <c r="F51" s="34">
        <f>TRUNC(16.55,2)</f>
        <v>16.55</v>
      </c>
      <c r="G51" s="35">
        <f>TRUNC(E51*F51,2)</f>
        <v>76.7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</row>
    <row r="52" spans="1:97" s="31" customFormat="1" ht="15.75">
      <c r="A52" s="46"/>
      <c r="B52" s="32" t="s">
        <v>65</v>
      </c>
      <c r="C52" s="33" t="s">
        <v>66</v>
      </c>
      <c r="D52" s="65" t="s">
        <v>0</v>
      </c>
      <c r="E52" s="32">
        <v>0.4635</v>
      </c>
      <c r="F52" s="34">
        <f>TRUNC(22.86,2)</f>
        <v>22.86</v>
      </c>
      <c r="G52" s="35">
        <f>TRUNC(E52*F52,2)</f>
        <v>10.59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</row>
    <row r="53" spans="1:97" s="31" customFormat="1" ht="15.75">
      <c r="A53" s="46"/>
      <c r="B53" s="32"/>
      <c r="C53" s="33"/>
      <c r="D53" s="65"/>
      <c r="E53" s="32" t="s">
        <v>1</v>
      </c>
      <c r="F53" s="34"/>
      <c r="G53" s="35">
        <f>TRUNC(SUM(G51:G52),2)</f>
        <v>87.29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</row>
    <row r="54" spans="1:7" ht="60">
      <c r="A54" s="43" t="s">
        <v>60</v>
      </c>
      <c r="B54" s="21" t="s">
        <v>67</v>
      </c>
      <c r="C54" s="22" t="s">
        <v>68</v>
      </c>
      <c r="D54" s="43" t="s">
        <v>64</v>
      </c>
      <c r="E54" s="36">
        <v>9.79</v>
      </c>
      <c r="F54" s="21">
        <f>TRUNC(F55,2)</f>
        <v>322.34</v>
      </c>
      <c r="G54" s="54">
        <f>TRUNC((E54*F54),2)</f>
        <v>3155.7</v>
      </c>
    </row>
    <row r="55" spans="1:97" s="31" customFormat="1" ht="60">
      <c r="A55" s="46"/>
      <c r="B55" s="32" t="s">
        <v>67</v>
      </c>
      <c r="C55" s="33" t="s">
        <v>68</v>
      </c>
      <c r="D55" s="65" t="s">
        <v>64</v>
      </c>
      <c r="E55" s="32">
        <v>1</v>
      </c>
      <c r="F55" s="34">
        <f>G58</f>
        <v>322.34</v>
      </c>
      <c r="G55" s="35">
        <f>TRUNC(E55*F55,2)</f>
        <v>322.34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</row>
    <row r="56" spans="1:97" s="31" customFormat="1" ht="15.75">
      <c r="A56" s="46"/>
      <c r="B56" s="32" t="s">
        <v>33</v>
      </c>
      <c r="C56" s="33" t="s">
        <v>34</v>
      </c>
      <c r="D56" s="65" t="s">
        <v>0</v>
      </c>
      <c r="E56" s="32">
        <v>17.201</v>
      </c>
      <c r="F56" s="34">
        <f>TRUNC(16.55,2)</f>
        <v>16.55</v>
      </c>
      <c r="G56" s="35">
        <f>TRUNC(E56*F56,2)</f>
        <v>284.67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</row>
    <row r="57" spans="1:97" s="31" customFormat="1" ht="15.75">
      <c r="A57" s="46"/>
      <c r="B57" s="32" t="s">
        <v>65</v>
      </c>
      <c r="C57" s="33" t="s">
        <v>66</v>
      </c>
      <c r="D57" s="65" t="s">
        <v>0</v>
      </c>
      <c r="E57" s="32">
        <v>1.6480000000000001</v>
      </c>
      <c r="F57" s="34">
        <f>TRUNC(22.86,2)</f>
        <v>22.86</v>
      </c>
      <c r="G57" s="35">
        <f>TRUNC(E57*F57,2)</f>
        <v>37.67</v>
      </c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</row>
    <row r="58" spans="1:97" s="31" customFormat="1" ht="15.75">
      <c r="A58" s="46"/>
      <c r="B58" s="32"/>
      <c r="C58" s="33"/>
      <c r="D58" s="65"/>
      <c r="E58" s="32" t="s">
        <v>1</v>
      </c>
      <c r="F58" s="34"/>
      <c r="G58" s="35">
        <f>TRUNC(SUM(G56:G57),2)</f>
        <v>322.34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</row>
    <row r="59" spans="1:7" ht="30">
      <c r="A59" s="43" t="s">
        <v>291</v>
      </c>
      <c r="B59" s="21" t="s">
        <v>292</v>
      </c>
      <c r="C59" s="22" t="s">
        <v>293</v>
      </c>
      <c r="D59" s="43" t="s">
        <v>30</v>
      </c>
      <c r="E59" s="36">
        <f>(1.5*1.3*62)+((10.1+11.7)*3.1)+(1*2.8)+(3.06*2.8)</f>
        <v>199.84800000000004</v>
      </c>
      <c r="F59" s="21">
        <f>TRUNC(F60,2)</f>
        <v>17.04</v>
      </c>
      <c r="G59" s="54">
        <f>TRUNC((E59*F59),2)</f>
        <v>3405.4</v>
      </c>
    </row>
    <row r="60" spans="1:97" s="31" customFormat="1" ht="30">
      <c r="A60" s="46"/>
      <c r="B60" s="32" t="s">
        <v>292</v>
      </c>
      <c r="C60" s="33" t="s">
        <v>293</v>
      </c>
      <c r="D60" s="65" t="s">
        <v>30</v>
      </c>
      <c r="E60" s="32">
        <v>1</v>
      </c>
      <c r="F60" s="34">
        <f>G62</f>
        <v>17.04</v>
      </c>
      <c r="G60" s="35">
        <f>TRUNC(E60*F60,2)</f>
        <v>17.04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</row>
    <row r="61" spans="1:97" s="31" customFormat="1" ht="15.75">
      <c r="A61" s="46"/>
      <c r="B61" s="32" t="s">
        <v>33</v>
      </c>
      <c r="C61" s="33" t="s">
        <v>34</v>
      </c>
      <c r="D61" s="65" t="s">
        <v>0</v>
      </c>
      <c r="E61" s="32">
        <v>1.03</v>
      </c>
      <c r="F61" s="34">
        <f>TRUNC(16.55,2)</f>
        <v>16.55</v>
      </c>
      <c r="G61" s="35">
        <f>TRUNC(E61*F61,2)</f>
        <v>17.04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</row>
    <row r="62" spans="1:97" s="31" customFormat="1" ht="15.75">
      <c r="A62" s="46"/>
      <c r="B62" s="32"/>
      <c r="C62" s="33"/>
      <c r="D62" s="65"/>
      <c r="E62" s="32" t="s">
        <v>1</v>
      </c>
      <c r="F62" s="34"/>
      <c r="G62" s="35">
        <f>TRUNC(SUM(G61:G61),2)</f>
        <v>17.04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</row>
    <row r="63" spans="1:7" ht="45">
      <c r="A63" s="43" t="s">
        <v>289</v>
      </c>
      <c r="B63" s="21" t="s">
        <v>183</v>
      </c>
      <c r="C63" s="22" t="s">
        <v>184</v>
      </c>
      <c r="D63" s="43" t="s">
        <v>64</v>
      </c>
      <c r="E63" s="36">
        <f>46.08+9.78</f>
        <v>55.86</v>
      </c>
      <c r="F63" s="21">
        <f>TRUNC(F64,2)</f>
        <v>57.95</v>
      </c>
      <c r="G63" s="54">
        <f>TRUNC((E63*F63),2)</f>
        <v>3237.08</v>
      </c>
    </row>
    <row r="64" spans="1:97" s="31" customFormat="1" ht="45">
      <c r="A64" s="46"/>
      <c r="B64" s="32" t="s">
        <v>183</v>
      </c>
      <c r="C64" s="33" t="s">
        <v>184</v>
      </c>
      <c r="D64" s="65" t="s">
        <v>64</v>
      </c>
      <c r="E64" s="32">
        <v>1</v>
      </c>
      <c r="F64" s="34">
        <f>G66</f>
        <v>57.95</v>
      </c>
      <c r="G64" s="35">
        <f>TRUNC(E64*F64,2)</f>
        <v>57.95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</row>
    <row r="65" spans="1:97" s="31" customFormat="1" ht="15.75">
      <c r="A65" s="46"/>
      <c r="B65" s="32" t="s">
        <v>33</v>
      </c>
      <c r="C65" s="33" t="s">
        <v>34</v>
      </c>
      <c r="D65" s="65" t="s">
        <v>0</v>
      </c>
      <c r="E65" s="32">
        <v>3.502</v>
      </c>
      <c r="F65" s="34">
        <f>TRUNC(16.55,2)</f>
        <v>16.55</v>
      </c>
      <c r="G65" s="35">
        <f>TRUNC(E65*F65,2)</f>
        <v>57.95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</row>
    <row r="66" spans="1:97" s="31" customFormat="1" ht="15.75">
      <c r="A66" s="46"/>
      <c r="B66" s="32"/>
      <c r="C66" s="33"/>
      <c r="D66" s="65"/>
      <c r="E66" s="32" t="s">
        <v>1</v>
      </c>
      <c r="F66" s="34"/>
      <c r="G66" s="35">
        <f>TRUNC(SUM(G65:G65),2)</f>
        <v>57.95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</row>
    <row r="67" spans="1:97" s="31" customFormat="1" ht="45">
      <c r="A67" s="108" t="s">
        <v>290</v>
      </c>
      <c r="B67" s="109" t="s">
        <v>185</v>
      </c>
      <c r="C67" s="110" t="s">
        <v>186</v>
      </c>
      <c r="D67" s="108" t="s">
        <v>64</v>
      </c>
      <c r="E67" s="131">
        <v>33.34</v>
      </c>
      <c r="F67" s="109">
        <f>TRUNC(F68,2)</f>
        <v>22.66</v>
      </c>
      <c r="G67" s="54">
        <f>TRUNC((E67*F67),2)</f>
        <v>755.48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</row>
    <row r="68" spans="1:97" s="31" customFormat="1" ht="45">
      <c r="A68" s="46"/>
      <c r="B68" s="32" t="s">
        <v>185</v>
      </c>
      <c r="C68" s="33" t="s">
        <v>186</v>
      </c>
      <c r="D68" s="65" t="s">
        <v>64</v>
      </c>
      <c r="E68" s="32">
        <v>1</v>
      </c>
      <c r="F68" s="34">
        <f>G73</f>
        <v>22.66</v>
      </c>
      <c r="G68" s="35">
        <f>TRUNC(E68*F68,2)</f>
        <v>22.66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</row>
    <row r="69" spans="1:97" s="31" customFormat="1" ht="15.75">
      <c r="A69" s="46"/>
      <c r="B69" s="32" t="s">
        <v>33</v>
      </c>
      <c r="C69" s="33" t="s">
        <v>34</v>
      </c>
      <c r="D69" s="65" t="s">
        <v>0</v>
      </c>
      <c r="E69" s="32">
        <v>1.09901</v>
      </c>
      <c r="F69" s="34">
        <f>TRUNC(16.55,2)</f>
        <v>16.55</v>
      </c>
      <c r="G69" s="35">
        <f>TRUNC(E69*F69,2)</f>
        <v>18.18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</row>
    <row r="70" spans="1:97" s="31" customFormat="1" ht="30">
      <c r="A70" s="46"/>
      <c r="B70" s="32" t="s">
        <v>187</v>
      </c>
      <c r="C70" s="33" t="s">
        <v>188</v>
      </c>
      <c r="D70" s="65" t="s">
        <v>0</v>
      </c>
      <c r="E70" s="32">
        <v>0.13699</v>
      </c>
      <c r="F70" s="34">
        <f>TRUNC(25.68,2)</f>
        <v>25.68</v>
      </c>
      <c r="G70" s="35">
        <f>TRUNC(E70*F70,2)</f>
        <v>3.51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</row>
    <row r="71" spans="1:97" s="31" customFormat="1" ht="15.75">
      <c r="A71" s="46"/>
      <c r="B71" s="32" t="s">
        <v>189</v>
      </c>
      <c r="C71" s="33" t="s">
        <v>190</v>
      </c>
      <c r="D71" s="65" t="s">
        <v>0</v>
      </c>
      <c r="E71" s="32">
        <v>0.033</v>
      </c>
      <c r="F71" s="34">
        <f>TRUNC(2.083,2)</f>
        <v>2.08</v>
      </c>
      <c r="G71" s="35">
        <f>TRUNC(E71*F71,2)</f>
        <v>0.06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</row>
    <row r="72" spans="1:97" s="31" customFormat="1" ht="15.75">
      <c r="A72" s="46"/>
      <c r="B72" s="32" t="s">
        <v>191</v>
      </c>
      <c r="C72" s="33" t="s">
        <v>192</v>
      </c>
      <c r="D72" s="65" t="s">
        <v>0</v>
      </c>
      <c r="E72" s="32">
        <v>0.1</v>
      </c>
      <c r="F72" s="34">
        <f>TRUNC(9.1513,2)</f>
        <v>9.15</v>
      </c>
      <c r="G72" s="35">
        <f>TRUNC(E72*F72,2)</f>
        <v>0.91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</row>
    <row r="73" spans="1:97" s="31" customFormat="1" ht="15.75">
      <c r="A73" s="46"/>
      <c r="B73" s="32"/>
      <c r="C73" s="33"/>
      <c r="D73" s="65"/>
      <c r="E73" s="32" t="s">
        <v>1</v>
      </c>
      <c r="F73" s="34"/>
      <c r="G73" s="35">
        <f>TRUNC(SUM(G69:G72),2)</f>
        <v>22.66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</row>
    <row r="74" spans="1:97" s="31" customFormat="1" ht="60">
      <c r="A74" s="108" t="s">
        <v>299</v>
      </c>
      <c r="B74" s="109" t="s">
        <v>300</v>
      </c>
      <c r="C74" s="110" t="s">
        <v>301</v>
      </c>
      <c r="D74" s="108" t="s">
        <v>30</v>
      </c>
      <c r="E74" s="131">
        <v>262.5</v>
      </c>
      <c r="F74" s="109">
        <f>TRUNC(F75,2)</f>
        <v>30.88</v>
      </c>
      <c r="G74" s="54">
        <f>TRUNC((E74*F74),2)</f>
        <v>8106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</row>
    <row r="75" spans="1:97" s="31" customFormat="1" ht="60">
      <c r="A75" s="46"/>
      <c r="B75" s="32" t="s">
        <v>300</v>
      </c>
      <c r="C75" s="33" t="s">
        <v>301</v>
      </c>
      <c r="D75" s="65" t="s">
        <v>30</v>
      </c>
      <c r="E75" s="32">
        <v>1</v>
      </c>
      <c r="F75" s="34">
        <f>G81</f>
        <v>30.88</v>
      </c>
      <c r="G75" s="35">
        <f>TRUNC(E75*F75,2)</f>
        <v>30.88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</row>
    <row r="76" spans="1:97" s="31" customFormat="1" ht="15.75">
      <c r="A76" s="46"/>
      <c r="B76" s="32" t="s">
        <v>302</v>
      </c>
      <c r="C76" s="33" t="s">
        <v>303</v>
      </c>
      <c r="D76" s="65" t="s">
        <v>30</v>
      </c>
      <c r="E76" s="32">
        <v>0.525</v>
      </c>
      <c r="F76" s="34">
        <f>TRUNC(32.91,2)</f>
        <v>32.91</v>
      </c>
      <c r="G76" s="35">
        <f>TRUNC(E76*F76,2)</f>
        <v>17.27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</row>
    <row r="77" spans="1:97" s="31" customFormat="1" ht="30">
      <c r="A77" s="46"/>
      <c r="B77" s="32" t="s">
        <v>43</v>
      </c>
      <c r="C77" s="33" t="s">
        <v>44</v>
      </c>
      <c r="D77" s="65" t="s">
        <v>45</v>
      </c>
      <c r="E77" s="32">
        <v>0.05</v>
      </c>
      <c r="F77" s="34">
        <f>TRUNC(15.94,2)</f>
        <v>15.94</v>
      </c>
      <c r="G77" s="35">
        <f>TRUNC(E77*F77,2)</f>
        <v>0.79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</row>
    <row r="78" spans="1:97" s="31" customFormat="1" ht="15.75">
      <c r="A78" s="46"/>
      <c r="B78" s="32" t="s">
        <v>46</v>
      </c>
      <c r="C78" s="33" t="s">
        <v>47</v>
      </c>
      <c r="D78" s="65" t="s">
        <v>48</v>
      </c>
      <c r="E78" s="32">
        <v>0.8</v>
      </c>
      <c r="F78" s="34">
        <f>TRUNC(5.45,2)</f>
        <v>5.45</v>
      </c>
      <c r="G78" s="35">
        <f>TRUNC(E78*F78,2)</f>
        <v>4.36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</row>
    <row r="79" spans="1:97" s="31" customFormat="1" ht="15.75">
      <c r="A79" s="46"/>
      <c r="B79" s="32" t="s">
        <v>33</v>
      </c>
      <c r="C79" s="33" t="s">
        <v>34</v>
      </c>
      <c r="D79" s="65" t="s">
        <v>0</v>
      </c>
      <c r="E79" s="32">
        <v>0.20600000000000002</v>
      </c>
      <c r="F79" s="34">
        <f>TRUNC(16.55,2)</f>
        <v>16.55</v>
      </c>
      <c r="G79" s="35">
        <f>TRUNC(E79*F79,2)</f>
        <v>3.4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</row>
    <row r="80" spans="1:97" s="31" customFormat="1" ht="30">
      <c r="A80" s="46"/>
      <c r="B80" s="32" t="s">
        <v>54</v>
      </c>
      <c r="C80" s="33" t="s">
        <v>55</v>
      </c>
      <c r="D80" s="65" t="s">
        <v>0</v>
      </c>
      <c r="E80" s="32">
        <v>0.20600000000000002</v>
      </c>
      <c r="F80" s="34">
        <f>TRUNC(24.61,2)</f>
        <v>24.61</v>
      </c>
      <c r="G80" s="35">
        <f>TRUNC(E80*F80,2)</f>
        <v>5.06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</row>
    <row r="81" spans="1:97" s="31" customFormat="1" ht="15.75">
      <c r="A81" s="46"/>
      <c r="B81" s="32"/>
      <c r="C81" s="33"/>
      <c r="D81" s="65"/>
      <c r="E81" s="32" t="s">
        <v>1</v>
      </c>
      <c r="F81" s="34"/>
      <c r="G81" s="35">
        <f>TRUNC(SUM(G76:G80),2)</f>
        <v>30.88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</row>
    <row r="82" spans="1:97" s="31" customFormat="1" ht="15.75">
      <c r="A82" s="55" t="s">
        <v>26</v>
      </c>
      <c r="B82" s="56"/>
      <c r="C82" s="57"/>
      <c r="D82" s="162" t="s">
        <v>205</v>
      </c>
      <c r="E82" s="163"/>
      <c r="F82" s="164"/>
      <c r="G82" s="58">
        <f>G13+G24+G45+G59+G49+G54+G63+G67+G74</f>
        <v>30894.69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</row>
    <row r="83" spans="1:97" s="28" customFormat="1" ht="15.75">
      <c r="A83" s="91" t="s">
        <v>61</v>
      </c>
      <c r="B83" s="92"/>
      <c r="C83" s="93" t="s">
        <v>116</v>
      </c>
      <c r="D83" s="92"/>
      <c r="E83" s="92"/>
      <c r="F83" s="92"/>
      <c r="G83" s="94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</row>
    <row r="84" spans="1:7" ht="45">
      <c r="A84" s="43" t="s">
        <v>71</v>
      </c>
      <c r="B84" s="21" t="s">
        <v>69</v>
      </c>
      <c r="C84" s="22" t="s">
        <v>70</v>
      </c>
      <c r="D84" s="43" t="s">
        <v>30</v>
      </c>
      <c r="E84" s="36">
        <v>171.73</v>
      </c>
      <c r="F84" s="21">
        <f>TRUNC(F85,2)</f>
        <v>11.93</v>
      </c>
      <c r="G84" s="54">
        <f>TRUNC((E84*F84),2)</f>
        <v>2048.73</v>
      </c>
    </row>
    <row r="85" spans="1:97" s="31" customFormat="1" ht="45">
      <c r="A85" s="46"/>
      <c r="B85" s="32" t="s">
        <v>69</v>
      </c>
      <c r="C85" s="33" t="s">
        <v>70</v>
      </c>
      <c r="D85" s="65" t="s">
        <v>30</v>
      </c>
      <c r="E85" s="32">
        <v>1</v>
      </c>
      <c r="F85" s="34">
        <f>G87</f>
        <v>11.93</v>
      </c>
      <c r="G85" s="35">
        <f>TRUNC(E85*F85,2)</f>
        <v>11.93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</row>
    <row r="86" spans="1:97" s="31" customFormat="1" ht="15.75">
      <c r="A86" s="46"/>
      <c r="B86" s="32" t="s">
        <v>33</v>
      </c>
      <c r="C86" s="33" t="s">
        <v>34</v>
      </c>
      <c r="D86" s="65" t="s">
        <v>0</v>
      </c>
      <c r="E86" s="32">
        <v>0.721</v>
      </c>
      <c r="F86" s="34">
        <v>16.55</v>
      </c>
      <c r="G86" s="35">
        <f>TRUNC(E86*F86,2)</f>
        <v>11.93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</row>
    <row r="87" spans="1:97" s="31" customFormat="1" ht="15.75">
      <c r="A87" s="46"/>
      <c r="B87" s="32"/>
      <c r="C87" s="33"/>
      <c r="D87" s="65"/>
      <c r="E87" s="32" t="s">
        <v>1</v>
      </c>
      <c r="F87" s="34"/>
      <c r="G87" s="35">
        <f>TRUNC(SUM(G86:G86),2)</f>
        <v>11.93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</row>
    <row r="88" spans="1:7" ht="45">
      <c r="A88" s="43" t="s">
        <v>199</v>
      </c>
      <c r="B88" s="21" t="s">
        <v>119</v>
      </c>
      <c r="C88" s="22" t="s">
        <v>120</v>
      </c>
      <c r="D88" s="43" t="s">
        <v>48</v>
      </c>
      <c r="E88" s="36">
        <v>118.37</v>
      </c>
      <c r="F88" s="21">
        <f>TRUNC(F89,2)</f>
        <v>18.75</v>
      </c>
      <c r="G88" s="54">
        <f>TRUNC((E88*F88),2)</f>
        <v>2219.43</v>
      </c>
    </row>
    <row r="89" spans="1:97" s="31" customFormat="1" ht="45">
      <c r="A89" s="46"/>
      <c r="B89" s="32" t="s">
        <v>119</v>
      </c>
      <c r="C89" s="33" t="s">
        <v>120</v>
      </c>
      <c r="D89" s="65" t="s">
        <v>48</v>
      </c>
      <c r="E89" s="32">
        <v>1</v>
      </c>
      <c r="F89" s="34">
        <f>G91</f>
        <v>18.75</v>
      </c>
      <c r="G89" s="35">
        <f>TRUNC(E89*F89,2)</f>
        <v>18.75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</row>
    <row r="90" spans="1:97" s="31" customFormat="1" ht="15.75">
      <c r="A90" s="46"/>
      <c r="B90" s="32" t="s">
        <v>33</v>
      </c>
      <c r="C90" s="33" t="s">
        <v>34</v>
      </c>
      <c r="D90" s="65" t="s">
        <v>0</v>
      </c>
      <c r="E90" s="32">
        <v>1.1330000000000002</v>
      </c>
      <c r="F90" s="34">
        <v>16.55</v>
      </c>
      <c r="G90" s="35">
        <f>TRUNC(E90*F90,2)</f>
        <v>18.75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</row>
    <row r="91" spans="1:97" s="31" customFormat="1" ht="15.75">
      <c r="A91" s="46"/>
      <c r="B91" s="32"/>
      <c r="C91" s="33"/>
      <c r="D91" s="65"/>
      <c r="E91" s="32" t="s">
        <v>1</v>
      </c>
      <c r="F91" s="34"/>
      <c r="G91" s="35">
        <f>TRUNC(SUM(G90:G90),2)</f>
        <v>18.75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</row>
    <row r="92" spans="1:7" ht="60">
      <c r="A92" s="43" t="s">
        <v>200</v>
      </c>
      <c r="B92" s="21" t="s">
        <v>121</v>
      </c>
      <c r="C92" s="22" t="s">
        <v>122</v>
      </c>
      <c r="D92" s="43" t="s">
        <v>48</v>
      </c>
      <c r="E92" s="36">
        <v>118.37</v>
      </c>
      <c r="F92" s="21">
        <f>TRUNC(F93,2)</f>
        <v>65.96</v>
      </c>
      <c r="G92" s="54">
        <f>TRUNC((E92*F92),2)</f>
        <v>7807.68</v>
      </c>
    </row>
    <row r="93" spans="1:97" s="31" customFormat="1" ht="60">
      <c r="A93" s="46"/>
      <c r="B93" s="32" t="s">
        <v>121</v>
      </c>
      <c r="C93" s="33" t="s">
        <v>122</v>
      </c>
      <c r="D93" s="65" t="s">
        <v>48</v>
      </c>
      <c r="E93" s="32">
        <v>1</v>
      </c>
      <c r="F93" s="34">
        <f>G101</f>
        <v>65.96</v>
      </c>
      <c r="G93" s="35">
        <f aca="true" t="shared" si="2" ref="G93:G100">TRUNC(E93*F93,2)</f>
        <v>65.96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</row>
    <row r="94" spans="1:97" s="31" customFormat="1" ht="15.75">
      <c r="A94" s="46"/>
      <c r="B94" s="32" t="s">
        <v>33</v>
      </c>
      <c r="C94" s="33" t="s">
        <v>34</v>
      </c>
      <c r="D94" s="65" t="s">
        <v>0</v>
      </c>
      <c r="E94" s="32">
        <v>1.37299</v>
      </c>
      <c r="F94" s="34">
        <f>TRUNC(16.55,2)</f>
        <v>16.55</v>
      </c>
      <c r="G94" s="35">
        <f t="shared" si="2"/>
        <v>22.72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</row>
    <row r="95" spans="1:97" s="31" customFormat="1" ht="15.75">
      <c r="A95" s="46"/>
      <c r="B95" s="32" t="s">
        <v>123</v>
      </c>
      <c r="C95" s="33" t="s">
        <v>124</v>
      </c>
      <c r="D95" s="65" t="s">
        <v>0</v>
      </c>
      <c r="E95" s="32">
        <v>0.17201000000000002</v>
      </c>
      <c r="F95" s="34">
        <f>TRUNC(22.86,2)</f>
        <v>22.86</v>
      </c>
      <c r="G95" s="35">
        <f t="shared" si="2"/>
        <v>3.93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</row>
    <row r="96" spans="1:97" s="31" customFormat="1" ht="15.75">
      <c r="A96" s="46"/>
      <c r="B96" s="32" t="s">
        <v>125</v>
      </c>
      <c r="C96" s="33" t="s">
        <v>126</v>
      </c>
      <c r="D96" s="65" t="s">
        <v>64</v>
      </c>
      <c r="E96" s="32">
        <v>0.042</v>
      </c>
      <c r="F96" s="34">
        <f>TRUNC(74.6624,2)</f>
        <v>74.66</v>
      </c>
      <c r="G96" s="35">
        <f t="shared" si="2"/>
        <v>3.13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</row>
    <row r="97" spans="1:97" s="31" customFormat="1" ht="15.75">
      <c r="A97" s="46"/>
      <c r="B97" s="32" t="s">
        <v>127</v>
      </c>
      <c r="C97" s="33" t="s">
        <v>128</v>
      </c>
      <c r="D97" s="65" t="s">
        <v>64</v>
      </c>
      <c r="E97" s="32">
        <v>0.042</v>
      </c>
      <c r="F97" s="34">
        <f>TRUNC(63.7401,2)</f>
        <v>63.74</v>
      </c>
      <c r="G97" s="35">
        <f t="shared" si="2"/>
        <v>2.67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</row>
    <row r="98" spans="1:97" s="31" customFormat="1" ht="15.75">
      <c r="A98" s="46"/>
      <c r="B98" s="32" t="s">
        <v>129</v>
      </c>
      <c r="C98" s="33" t="s">
        <v>130</v>
      </c>
      <c r="D98" s="65" t="s">
        <v>30</v>
      </c>
      <c r="E98" s="32">
        <v>0.62</v>
      </c>
      <c r="F98" s="34">
        <f>TRUNC(33.8888,2)</f>
        <v>33.88</v>
      </c>
      <c r="G98" s="35">
        <f t="shared" si="2"/>
        <v>21</v>
      </c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</row>
    <row r="99" spans="1:97" s="31" customFormat="1" ht="15.75">
      <c r="A99" s="46"/>
      <c r="B99" s="32" t="s">
        <v>131</v>
      </c>
      <c r="C99" s="33" t="s">
        <v>132</v>
      </c>
      <c r="D99" s="65" t="s">
        <v>64</v>
      </c>
      <c r="E99" s="32">
        <v>0.042</v>
      </c>
      <c r="F99" s="34">
        <f>TRUNC(277.3833,2)</f>
        <v>277.38</v>
      </c>
      <c r="G99" s="35">
        <f t="shared" si="2"/>
        <v>11.64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</row>
    <row r="100" spans="1:97" s="31" customFormat="1" ht="15.75">
      <c r="A100" s="46"/>
      <c r="B100" s="32" t="s">
        <v>133</v>
      </c>
      <c r="C100" s="33" t="s">
        <v>134</v>
      </c>
      <c r="D100" s="65" t="s">
        <v>64</v>
      </c>
      <c r="E100" s="32">
        <v>0.0025</v>
      </c>
      <c r="F100" s="34">
        <f>TRUNC(348.842,2)</f>
        <v>348.84</v>
      </c>
      <c r="G100" s="35">
        <f t="shared" si="2"/>
        <v>0.87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</row>
    <row r="101" spans="1:97" s="31" customFormat="1" ht="15.75">
      <c r="A101" s="46"/>
      <c r="B101" s="32"/>
      <c r="C101" s="33"/>
      <c r="D101" s="65"/>
      <c r="E101" s="32" t="s">
        <v>1</v>
      </c>
      <c r="F101" s="34"/>
      <c r="G101" s="35">
        <f>TRUNC(SUM(G94:G100),2)</f>
        <v>65.96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</row>
    <row r="102" spans="1:7" ht="45">
      <c r="A102" s="43" t="s">
        <v>201</v>
      </c>
      <c r="B102" s="21" t="s">
        <v>135</v>
      </c>
      <c r="C102" s="22" t="s">
        <v>136</v>
      </c>
      <c r="D102" s="43" t="s">
        <v>30</v>
      </c>
      <c r="E102" s="36">
        <v>171.73</v>
      </c>
      <c r="F102" s="21">
        <f>TRUNC(F103,2)</f>
        <v>99.31</v>
      </c>
      <c r="G102" s="54">
        <f>TRUNC((E102*F102),2)</f>
        <v>17054.5</v>
      </c>
    </row>
    <row r="103" spans="1:97" s="31" customFormat="1" ht="45">
      <c r="A103" s="46"/>
      <c r="B103" s="32" t="s">
        <v>135</v>
      </c>
      <c r="C103" s="33" t="s">
        <v>136</v>
      </c>
      <c r="D103" s="65" t="s">
        <v>30</v>
      </c>
      <c r="E103" s="32">
        <v>1</v>
      </c>
      <c r="F103" s="34">
        <f>G112</f>
        <v>99.31</v>
      </c>
      <c r="G103" s="35">
        <f aca="true" t="shared" si="3" ref="G103:G111">TRUNC(E103*F103,2)</f>
        <v>99.31</v>
      </c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</row>
    <row r="104" spans="1:97" s="31" customFormat="1" ht="30">
      <c r="A104" s="46"/>
      <c r="B104" s="32" t="s">
        <v>137</v>
      </c>
      <c r="C104" s="33" t="s">
        <v>138</v>
      </c>
      <c r="D104" s="65" t="s">
        <v>30</v>
      </c>
      <c r="E104" s="32">
        <v>1.1224</v>
      </c>
      <c r="F104" s="34">
        <f>TRUNC(22,2)</f>
        <v>22</v>
      </c>
      <c r="G104" s="35">
        <f t="shared" si="3"/>
        <v>24.69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</row>
    <row r="105" spans="1:97" s="31" customFormat="1" ht="30">
      <c r="A105" s="46"/>
      <c r="B105" s="32" t="s">
        <v>139</v>
      </c>
      <c r="C105" s="33" t="s">
        <v>140</v>
      </c>
      <c r="D105" s="65" t="s">
        <v>48</v>
      </c>
      <c r="E105" s="32">
        <v>0.25</v>
      </c>
      <c r="F105" s="34">
        <f>TRUNC(5.57,2)</f>
        <v>5.57</v>
      </c>
      <c r="G105" s="35">
        <f t="shared" si="3"/>
        <v>1.39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</row>
    <row r="106" spans="1:97" s="31" customFormat="1" ht="15.75">
      <c r="A106" s="46"/>
      <c r="B106" s="32" t="s">
        <v>141</v>
      </c>
      <c r="C106" s="33" t="s">
        <v>142</v>
      </c>
      <c r="D106" s="65" t="s">
        <v>30</v>
      </c>
      <c r="E106" s="32">
        <v>1.128</v>
      </c>
      <c r="F106" s="34">
        <f>TRUNC(1,2)</f>
        <v>1</v>
      </c>
      <c r="G106" s="35">
        <f t="shared" si="3"/>
        <v>1.12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</row>
    <row r="107" spans="1:97" s="31" customFormat="1" ht="15.75">
      <c r="A107" s="46"/>
      <c r="B107" s="32" t="s">
        <v>143</v>
      </c>
      <c r="C107" s="33" t="s">
        <v>144</v>
      </c>
      <c r="D107" s="65" t="s">
        <v>48</v>
      </c>
      <c r="E107" s="32">
        <v>0.2</v>
      </c>
      <c r="F107" s="34">
        <f>TRUNC(1.84,2)</f>
        <v>1.84</v>
      </c>
      <c r="G107" s="35">
        <f t="shared" si="3"/>
        <v>0.36</v>
      </c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</row>
    <row r="108" spans="1:97" s="31" customFormat="1" ht="15.75">
      <c r="A108" s="46"/>
      <c r="B108" s="32" t="s">
        <v>113</v>
      </c>
      <c r="C108" s="33" t="s">
        <v>114</v>
      </c>
      <c r="D108" s="65" t="s">
        <v>0</v>
      </c>
      <c r="E108" s="32">
        <v>0.5573</v>
      </c>
      <c r="F108" s="34">
        <f>TRUNC(22.56,2)</f>
        <v>22.56</v>
      </c>
      <c r="G108" s="35">
        <f t="shared" si="3"/>
        <v>12.57</v>
      </c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</row>
    <row r="109" spans="1:97" s="31" customFormat="1" ht="15.75">
      <c r="A109" s="46"/>
      <c r="B109" s="32" t="s">
        <v>145</v>
      </c>
      <c r="C109" s="33" t="s">
        <v>146</v>
      </c>
      <c r="D109" s="65" t="s">
        <v>0</v>
      </c>
      <c r="E109" s="32">
        <v>0.3317</v>
      </c>
      <c r="F109" s="34">
        <f>TRUNC(28.64,2)</f>
        <v>28.64</v>
      </c>
      <c r="G109" s="35">
        <f t="shared" si="3"/>
        <v>9.49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</row>
    <row r="110" spans="1:97" s="31" customFormat="1" ht="15.75">
      <c r="A110" s="46"/>
      <c r="B110" s="32" t="s">
        <v>147</v>
      </c>
      <c r="C110" s="33" t="s">
        <v>148</v>
      </c>
      <c r="D110" s="65" t="s">
        <v>0</v>
      </c>
      <c r="E110" s="32">
        <v>0.2256</v>
      </c>
      <c r="F110" s="34">
        <f>TRUNC(28.52,2)</f>
        <v>28.52</v>
      </c>
      <c r="G110" s="35">
        <f t="shared" si="3"/>
        <v>6.43</v>
      </c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</row>
    <row r="111" spans="1:97" s="31" customFormat="1" ht="30">
      <c r="A111" s="46"/>
      <c r="B111" s="32" t="s">
        <v>149</v>
      </c>
      <c r="C111" s="33" t="s">
        <v>150</v>
      </c>
      <c r="D111" s="65" t="s">
        <v>64</v>
      </c>
      <c r="E111" s="32">
        <v>0.1213</v>
      </c>
      <c r="F111" s="34">
        <f>TRUNC(356.67,2)</f>
        <v>356.67</v>
      </c>
      <c r="G111" s="35">
        <f t="shared" si="3"/>
        <v>43.26</v>
      </c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</row>
    <row r="112" spans="1:97" s="31" customFormat="1" ht="15.75">
      <c r="A112" s="46"/>
      <c r="B112" s="32"/>
      <c r="C112" s="33"/>
      <c r="D112" s="65"/>
      <c r="E112" s="32" t="s">
        <v>1</v>
      </c>
      <c r="F112" s="34"/>
      <c r="G112" s="35">
        <f>TRUNC(SUM(G104:G111),2)</f>
        <v>99.31</v>
      </c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</row>
    <row r="113" spans="1:7" ht="60">
      <c r="A113" s="43" t="s">
        <v>202</v>
      </c>
      <c r="B113" s="21" t="s">
        <v>165</v>
      </c>
      <c r="C113" s="22" t="s">
        <v>164</v>
      </c>
      <c r="D113" s="43" t="s">
        <v>30</v>
      </c>
      <c r="E113" s="36">
        <f>26.13+3.88</f>
        <v>30.009999999999998</v>
      </c>
      <c r="F113" s="21">
        <f>TRUNC(F114,2)</f>
        <v>133.72</v>
      </c>
      <c r="G113" s="54">
        <f>TRUNC((E113*F113),2)</f>
        <v>4012.93</v>
      </c>
    </row>
    <row r="114" spans="1:97" s="31" customFormat="1" ht="60">
      <c r="A114" s="46"/>
      <c r="B114" s="32" t="s">
        <v>151</v>
      </c>
      <c r="C114" s="33" t="s">
        <v>152</v>
      </c>
      <c r="D114" s="65" t="s">
        <v>30</v>
      </c>
      <c r="E114" s="32">
        <v>1</v>
      </c>
      <c r="F114" s="34">
        <f>G122</f>
        <v>133.72</v>
      </c>
      <c r="G114" s="35">
        <f aca="true" t="shared" si="4" ref="G114:G121">TRUNC(E114*F114,2)</f>
        <v>133.72</v>
      </c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</row>
    <row r="115" spans="1:97" s="31" customFormat="1" ht="30">
      <c r="A115" s="46"/>
      <c r="B115" s="32" t="s">
        <v>153</v>
      </c>
      <c r="C115" s="33" t="s">
        <v>154</v>
      </c>
      <c r="D115" s="65" t="s">
        <v>30</v>
      </c>
      <c r="E115" s="32">
        <v>1.05</v>
      </c>
      <c r="F115" s="34">
        <v>64.61</v>
      </c>
      <c r="G115" s="35">
        <f t="shared" si="4"/>
        <v>67.84</v>
      </c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</row>
    <row r="116" spans="1:97" s="31" customFormat="1" ht="15.75">
      <c r="A116" s="46"/>
      <c r="B116" s="32" t="s">
        <v>155</v>
      </c>
      <c r="C116" s="33" t="s">
        <v>182</v>
      </c>
      <c r="D116" s="65" t="s">
        <v>45</v>
      </c>
      <c r="E116" s="32">
        <v>0.1</v>
      </c>
      <c r="F116" s="34">
        <v>32.88</v>
      </c>
      <c r="G116" s="35">
        <f t="shared" si="4"/>
        <v>3.28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</row>
    <row r="117" spans="1:97" s="31" customFormat="1" ht="15.75">
      <c r="A117" s="46"/>
      <c r="B117" s="32" t="s">
        <v>156</v>
      </c>
      <c r="C117" s="33" t="s">
        <v>157</v>
      </c>
      <c r="D117" s="65" t="s">
        <v>45</v>
      </c>
      <c r="E117" s="32">
        <v>0.1</v>
      </c>
      <c r="F117" s="34">
        <v>1.4</v>
      </c>
      <c r="G117" s="35">
        <f t="shared" si="4"/>
        <v>0.14</v>
      </c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</row>
    <row r="118" spans="1:97" s="31" customFormat="1" ht="15.75">
      <c r="A118" s="46"/>
      <c r="B118" s="32" t="s">
        <v>33</v>
      </c>
      <c r="C118" s="33" t="s">
        <v>34</v>
      </c>
      <c r="D118" s="65" t="s">
        <v>0</v>
      </c>
      <c r="E118" s="32">
        <v>1.1330000000000002</v>
      </c>
      <c r="F118" s="34">
        <v>16.55</v>
      </c>
      <c r="G118" s="35">
        <f t="shared" si="4"/>
        <v>18.75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</row>
    <row r="119" spans="1:97" s="31" customFormat="1" ht="15.75">
      <c r="A119" s="46"/>
      <c r="B119" s="32" t="s">
        <v>158</v>
      </c>
      <c r="C119" s="33" t="s">
        <v>159</v>
      </c>
      <c r="D119" s="65" t="s">
        <v>0</v>
      </c>
      <c r="E119" s="32">
        <v>1.1330000000000002</v>
      </c>
      <c r="F119" s="34">
        <v>24.61</v>
      </c>
      <c r="G119" s="35">
        <f t="shared" si="4"/>
        <v>27.88</v>
      </c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</row>
    <row r="120" spans="1:97" s="31" customFormat="1" ht="15.75">
      <c r="A120" s="46"/>
      <c r="B120" s="32" t="s">
        <v>160</v>
      </c>
      <c r="C120" s="33" t="s">
        <v>161</v>
      </c>
      <c r="D120" s="65" t="s">
        <v>64</v>
      </c>
      <c r="E120" s="32">
        <v>0.035</v>
      </c>
      <c r="F120" s="34">
        <v>410.1515</v>
      </c>
      <c r="G120" s="35">
        <f t="shared" si="4"/>
        <v>14.35</v>
      </c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</row>
    <row r="121" spans="1:97" s="31" customFormat="1" ht="15.75">
      <c r="A121" s="46"/>
      <c r="B121" s="32" t="s">
        <v>162</v>
      </c>
      <c r="C121" s="33" t="s">
        <v>163</v>
      </c>
      <c r="D121" s="65" t="s">
        <v>64</v>
      </c>
      <c r="E121" s="32">
        <v>0.002</v>
      </c>
      <c r="F121" s="34">
        <v>740.9185</v>
      </c>
      <c r="G121" s="35">
        <f t="shared" si="4"/>
        <v>1.48</v>
      </c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</row>
    <row r="122" spans="1:97" s="31" customFormat="1" ht="15.75">
      <c r="A122" s="46"/>
      <c r="B122" s="32"/>
      <c r="C122" s="33"/>
      <c r="D122" s="65"/>
      <c r="E122" s="32" t="s">
        <v>1</v>
      </c>
      <c r="F122" s="34"/>
      <c r="G122" s="35">
        <f>TRUNC(SUM(G115:G121),2)</f>
        <v>133.72</v>
      </c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</row>
    <row r="123" spans="1:7" ht="15.75">
      <c r="A123" s="43"/>
      <c r="B123" s="21"/>
      <c r="C123" s="22"/>
      <c r="D123" s="43"/>
      <c r="E123" s="36"/>
      <c r="F123" s="21"/>
      <c r="G123" s="54"/>
    </row>
    <row r="124" spans="1:97" s="31" customFormat="1" ht="15.75">
      <c r="A124" s="46"/>
      <c r="B124" s="32"/>
      <c r="C124" s="33"/>
      <c r="D124" s="65"/>
      <c r="E124" s="32"/>
      <c r="F124" s="34"/>
      <c r="G124" s="35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</row>
    <row r="125" spans="1:97" s="31" customFormat="1" ht="15.75">
      <c r="A125" s="46"/>
      <c r="B125" s="32"/>
      <c r="C125" s="33"/>
      <c r="D125" s="65"/>
      <c r="E125" s="32"/>
      <c r="F125" s="34"/>
      <c r="G125" s="35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</row>
    <row r="126" spans="1:97" s="31" customFormat="1" ht="15.75">
      <c r="A126" s="55" t="s">
        <v>26</v>
      </c>
      <c r="B126" s="56"/>
      <c r="C126" s="57"/>
      <c r="D126" s="162" t="s">
        <v>206</v>
      </c>
      <c r="E126" s="163"/>
      <c r="F126" s="164"/>
      <c r="G126" s="58">
        <f>G84+G88+G92+G102+G113+G123</f>
        <v>33143.27</v>
      </c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</row>
    <row r="127" spans="1:97" s="28" customFormat="1" ht="15.75">
      <c r="A127" s="91" t="s">
        <v>72</v>
      </c>
      <c r="B127" s="92"/>
      <c r="C127" s="93" t="s">
        <v>203</v>
      </c>
      <c r="D127" s="92"/>
      <c r="E127" s="92"/>
      <c r="F127" s="92"/>
      <c r="G127" s="94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</row>
    <row r="128" spans="1:7" ht="90">
      <c r="A128" s="43" t="s">
        <v>100</v>
      </c>
      <c r="B128" s="21" t="s">
        <v>98</v>
      </c>
      <c r="C128" s="22" t="s">
        <v>214</v>
      </c>
      <c r="D128" s="43" t="s">
        <v>64</v>
      </c>
      <c r="E128" s="36">
        <f>6.83+2.88+1.35+9.79</f>
        <v>20.85</v>
      </c>
      <c r="F128" s="21">
        <f>TRUNC(F129,2)</f>
        <v>1760.53</v>
      </c>
      <c r="G128" s="54">
        <f>TRUNC((E128*F128),2)</f>
        <v>36707.05</v>
      </c>
    </row>
    <row r="129" spans="1:97" s="31" customFormat="1" ht="75">
      <c r="A129" s="46"/>
      <c r="B129" s="32" t="s">
        <v>98</v>
      </c>
      <c r="C129" s="33" t="s">
        <v>73</v>
      </c>
      <c r="D129" s="65" t="s">
        <v>64</v>
      </c>
      <c r="E129" s="32">
        <v>1</v>
      </c>
      <c r="F129" s="34">
        <f>G146</f>
        <v>1760.53</v>
      </c>
      <c r="G129" s="35">
        <f aca="true" t="shared" si="5" ref="G129:G145">TRUNC(E129*F129,2)</f>
        <v>1760.53</v>
      </c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</row>
    <row r="130" spans="1:97" s="123" customFormat="1" ht="31.5">
      <c r="A130" s="116"/>
      <c r="B130" s="117" t="s">
        <v>193</v>
      </c>
      <c r="C130" s="118" t="s">
        <v>194</v>
      </c>
      <c r="D130" s="119" t="s">
        <v>64</v>
      </c>
      <c r="E130" s="117">
        <v>1</v>
      </c>
      <c r="F130" s="120">
        <f>TRUNC(413.192084,2)</f>
        <v>413.19</v>
      </c>
      <c r="G130" s="121">
        <f t="shared" si="5"/>
        <v>413.19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</row>
    <row r="131" spans="1:97" s="31" customFormat="1" ht="15.75">
      <c r="A131" s="46"/>
      <c r="B131" s="32" t="s">
        <v>74</v>
      </c>
      <c r="C131" s="33" t="s">
        <v>75</v>
      </c>
      <c r="D131" s="65" t="s">
        <v>45</v>
      </c>
      <c r="E131" s="32">
        <f>((121.34+151.68+193.26)/20.85)</f>
        <v>22.36354916067146</v>
      </c>
      <c r="F131" s="34">
        <v>9.75</v>
      </c>
      <c r="G131" s="35">
        <f t="shared" si="5"/>
        <v>218.04</v>
      </c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</row>
    <row r="132" spans="1:97" s="31" customFormat="1" ht="15.75">
      <c r="A132" s="46"/>
      <c r="B132" s="32" t="s">
        <v>212</v>
      </c>
      <c r="C132" s="33" t="s">
        <v>213</v>
      </c>
      <c r="D132" s="65" t="s">
        <v>45</v>
      </c>
      <c r="E132" s="32">
        <f>(72.44+119.52)/20.85</f>
        <v>9.20671462829736</v>
      </c>
      <c r="F132" s="34">
        <v>10.1</v>
      </c>
      <c r="G132" s="35">
        <f t="shared" si="5"/>
        <v>92.98</v>
      </c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</row>
    <row r="133" spans="1:97" s="123" customFormat="1" ht="15.75">
      <c r="A133" s="116"/>
      <c r="B133" s="117" t="s">
        <v>76</v>
      </c>
      <c r="C133" s="118" t="s">
        <v>77</v>
      </c>
      <c r="D133" s="119" t="s">
        <v>45</v>
      </c>
      <c r="E133" s="117"/>
      <c r="F133" s="120">
        <v>9.8</v>
      </c>
      <c r="G133" s="121">
        <f t="shared" si="5"/>
        <v>0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</row>
    <row r="134" spans="1:97" s="123" customFormat="1" ht="15.75">
      <c r="A134" s="116"/>
      <c r="B134" s="117" t="s">
        <v>78</v>
      </c>
      <c r="C134" s="118" t="s">
        <v>79</v>
      </c>
      <c r="D134" s="119" t="s">
        <v>45</v>
      </c>
      <c r="E134" s="117"/>
      <c r="F134" s="120">
        <v>8.8</v>
      </c>
      <c r="G134" s="121">
        <f t="shared" si="5"/>
        <v>0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</row>
    <row r="135" spans="1:97" s="123" customFormat="1" ht="15.75">
      <c r="A135" s="116"/>
      <c r="B135" s="117" t="s">
        <v>80</v>
      </c>
      <c r="C135" s="118" t="s">
        <v>81</v>
      </c>
      <c r="D135" s="119" t="s">
        <v>45</v>
      </c>
      <c r="E135" s="117"/>
      <c r="F135" s="120">
        <v>8.6</v>
      </c>
      <c r="G135" s="121">
        <f t="shared" si="5"/>
        <v>0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</row>
    <row r="136" spans="1:97" s="123" customFormat="1" ht="15.75">
      <c r="A136" s="116"/>
      <c r="B136" s="117" t="s">
        <v>82</v>
      </c>
      <c r="C136" s="118" t="s">
        <v>83</v>
      </c>
      <c r="D136" s="119" t="s">
        <v>45</v>
      </c>
      <c r="E136" s="117"/>
      <c r="F136" s="120">
        <v>8.6</v>
      </c>
      <c r="G136" s="121">
        <f t="shared" si="5"/>
        <v>0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</row>
    <row r="137" spans="1:97" s="123" customFormat="1" ht="15.75">
      <c r="A137" s="116"/>
      <c r="B137" s="117" t="s">
        <v>84</v>
      </c>
      <c r="C137" s="118" t="s">
        <v>85</v>
      </c>
      <c r="D137" s="119" t="s">
        <v>45</v>
      </c>
      <c r="E137" s="117"/>
      <c r="F137" s="120">
        <v>9.8</v>
      </c>
      <c r="G137" s="121">
        <f t="shared" si="5"/>
        <v>0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</row>
    <row r="138" spans="1:97" s="31" customFormat="1" ht="15.75">
      <c r="A138" s="46"/>
      <c r="B138" s="32" t="s">
        <v>86</v>
      </c>
      <c r="C138" s="33" t="s">
        <v>87</v>
      </c>
      <c r="D138" s="65" t="s">
        <v>45</v>
      </c>
      <c r="E138" s="32">
        <v>1.8</v>
      </c>
      <c r="F138" s="34">
        <v>11.9</v>
      </c>
      <c r="G138" s="35">
        <f t="shared" si="5"/>
        <v>21.42</v>
      </c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</row>
    <row r="139" spans="1:97" s="31" customFormat="1" ht="15.75">
      <c r="A139" s="46"/>
      <c r="B139" s="32" t="s">
        <v>33</v>
      </c>
      <c r="C139" s="33" t="s">
        <v>34</v>
      </c>
      <c r="D139" s="65" t="s">
        <v>0</v>
      </c>
      <c r="E139" s="32">
        <v>9.4245</v>
      </c>
      <c r="F139" s="34">
        <v>16.55</v>
      </c>
      <c r="G139" s="35">
        <f t="shared" si="5"/>
        <v>155.97</v>
      </c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</row>
    <row r="140" spans="1:97" s="31" customFormat="1" ht="15.75">
      <c r="A140" s="46"/>
      <c r="B140" s="32" t="s">
        <v>88</v>
      </c>
      <c r="C140" s="33" t="s">
        <v>89</v>
      </c>
      <c r="D140" s="65" t="s">
        <v>0</v>
      </c>
      <c r="E140" s="32">
        <v>6.3345</v>
      </c>
      <c r="F140" s="34">
        <v>22.86</v>
      </c>
      <c r="G140" s="35">
        <f t="shared" si="5"/>
        <v>144.8</v>
      </c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</row>
    <row r="141" spans="1:97" s="31" customFormat="1" ht="30">
      <c r="A141" s="46"/>
      <c r="B141" s="32" t="s">
        <v>90</v>
      </c>
      <c r="C141" s="33" t="s">
        <v>91</v>
      </c>
      <c r="D141" s="65" t="s">
        <v>0</v>
      </c>
      <c r="E141" s="32">
        <v>0.515</v>
      </c>
      <c r="F141" s="34">
        <v>22.86</v>
      </c>
      <c r="G141" s="35">
        <f t="shared" si="5"/>
        <v>11.77</v>
      </c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</row>
    <row r="142" spans="1:97" s="31" customFormat="1" ht="15.75">
      <c r="A142" s="46"/>
      <c r="B142" s="32" t="s">
        <v>65</v>
      </c>
      <c r="C142" s="33" t="s">
        <v>66</v>
      </c>
      <c r="D142" s="65" t="s">
        <v>0</v>
      </c>
      <c r="E142" s="32">
        <v>0.515</v>
      </c>
      <c r="F142" s="34">
        <v>22.86</v>
      </c>
      <c r="G142" s="35">
        <f t="shared" si="5"/>
        <v>11.77</v>
      </c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</row>
    <row r="143" spans="1:97" s="123" customFormat="1" ht="15.75">
      <c r="A143" s="116"/>
      <c r="B143" s="117" t="s">
        <v>92</v>
      </c>
      <c r="C143" s="118" t="s">
        <v>93</v>
      </c>
      <c r="D143" s="119" t="s">
        <v>30</v>
      </c>
      <c r="E143" s="117">
        <v>7</v>
      </c>
      <c r="F143" s="120">
        <v>98.5485</v>
      </c>
      <c r="G143" s="121">
        <f t="shared" si="5"/>
        <v>689.83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</row>
    <row r="144" spans="1:97" s="31" customFormat="1" ht="15.75">
      <c r="A144" s="46"/>
      <c r="B144" s="32" t="s">
        <v>94</v>
      </c>
      <c r="C144" s="33" t="s">
        <v>95</v>
      </c>
      <c r="D144" s="65" t="s">
        <v>0</v>
      </c>
      <c r="E144" s="32">
        <v>0.805</v>
      </c>
      <c r="F144" s="34">
        <v>0.3532</v>
      </c>
      <c r="G144" s="35">
        <f t="shared" si="5"/>
        <v>0.28</v>
      </c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</row>
    <row r="145" spans="1:97" s="31" customFormat="1" ht="15.75">
      <c r="A145" s="46"/>
      <c r="B145" s="32" t="s">
        <v>96</v>
      </c>
      <c r="C145" s="33" t="s">
        <v>97</v>
      </c>
      <c r="D145" s="65" t="s">
        <v>0</v>
      </c>
      <c r="E145" s="32">
        <v>0.345</v>
      </c>
      <c r="F145" s="34">
        <v>1.403</v>
      </c>
      <c r="G145" s="35">
        <f t="shared" si="5"/>
        <v>0.48</v>
      </c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</row>
    <row r="146" spans="1:97" s="31" customFormat="1" ht="15.75">
      <c r="A146" s="46"/>
      <c r="B146" s="32"/>
      <c r="C146" s="33"/>
      <c r="D146" s="65"/>
      <c r="E146" s="32" t="s">
        <v>1</v>
      </c>
      <c r="F146" s="34"/>
      <c r="G146" s="35">
        <f>TRUNC(SUM(G130:G145),2)</f>
        <v>1760.53</v>
      </c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</row>
    <row r="147" spans="1:7" ht="60">
      <c r="A147" s="43" t="s">
        <v>101</v>
      </c>
      <c r="B147" s="21" t="s">
        <v>215</v>
      </c>
      <c r="C147" s="22" t="s">
        <v>216</v>
      </c>
      <c r="D147" s="43" t="s">
        <v>30</v>
      </c>
      <c r="E147" s="36">
        <v>212</v>
      </c>
      <c r="F147" s="124">
        <f>TRUNC(F148,2)</f>
        <v>69.06</v>
      </c>
      <c r="G147" s="54">
        <f>TRUNC((E147*F147),2)</f>
        <v>14640.72</v>
      </c>
    </row>
    <row r="148" spans="1:97" s="31" customFormat="1" ht="60">
      <c r="A148" s="46"/>
      <c r="B148" s="32" t="s">
        <v>215</v>
      </c>
      <c r="C148" s="33" t="s">
        <v>216</v>
      </c>
      <c r="D148" s="65" t="s">
        <v>30</v>
      </c>
      <c r="E148" s="32">
        <v>1</v>
      </c>
      <c r="F148" s="34">
        <f>G153</f>
        <v>69.06</v>
      </c>
      <c r="G148" s="35">
        <f>TRUNC(E148*F148,2)</f>
        <v>69.06</v>
      </c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</row>
    <row r="149" spans="1:97" s="31" customFormat="1" ht="15.75">
      <c r="A149" s="46"/>
      <c r="B149" s="32" t="s">
        <v>217</v>
      </c>
      <c r="C149" s="33" t="s">
        <v>218</v>
      </c>
      <c r="D149" s="65" t="s">
        <v>3</v>
      </c>
      <c r="E149" s="32">
        <v>13</v>
      </c>
      <c r="F149" s="34">
        <f>TRUNC(2.3574,2)</f>
        <v>2.35</v>
      </c>
      <c r="G149" s="35">
        <f>TRUNC(E149*F149,2)</f>
        <v>30.55</v>
      </c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</row>
    <row r="150" spans="1:97" s="31" customFormat="1" ht="15.75">
      <c r="A150" s="46"/>
      <c r="B150" s="32" t="s">
        <v>33</v>
      </c>
      <c r="C150" s="33" t="s">
        <v>34</v>
      </c>
      <c r="D150" s="65" t="s">
        <v>0</v>
      </c>
      <c r="E150" s="32">
        <v>0.8549</v>
      </c>
      <c r="F150" s="34">
        <f>TRUNC(16.55,2)</f>
        <v>16.55</v>
      </c>
      <c r="G150" s="35">
        <f>TRUNC(E150*F150,2)</f>
        <v>14.14</v>
      </c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</row>
    <row r="151" spans="1:97" s="31" customFormat="1" ht="15.75">
      <c r="A151" s="46"/>
      <c r="B151" s="32" t="s">
        <v>65</v>
      </c>
      <c r="C151" s="33" t="s">
        <v>66</v>
      </c>
      <c r="D151" s="65" t="s">
        <v>0</v>
      </c>
      <c r="E151" s="32">
        <v>0.8549</v>
      </c>
      <c r="F151" s="34">
        <f>TRUNC(22.86,2)</f>
        <v>22.86</v>
      </c>
      <c r="G151" s="35">
        <f>TRUNC(E151*F151,2)</f>
        <v>19.54</v>
      </c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</row>
    <row r="152" spans="1:97" s="31" customFormat="1" ht="15.75">
      <c r="A152" s="46"/>
      <c r="B152" s="32" t="s">
        <v>219</v>
      </c>
      <c r="C152" s="33" t="s">
        <v>220</v>
      </c>
      <c r="D152" s="65" t="s">
        <v>64</v>
      </c>
      <c r="E152" s="32">
        <v>0.015</v>
      </c>
      <c r="F152" s="34">
        <f>TRUNC(322.572,2)</f>
        <v>322.57</v>
      </c>
      <c r="G152" s="35">
        <f>TRUNC(E152*F152,2)</f>
        <v>4.83</v>
      </c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</row>
    <row r="153" spans="1:97" s="31" customFormat="1" ht="15.75">
      <c r="A153" s="46"/>
      <c r="B153" s="32"/>
      <c r="C153" s="33"/>
      <c r="D153" s="65"/>
      <c r="E153" s="32" t="s">
        <v>1</v>
      </c>
      <c r="F153" s="34"/>
      <c r="G153" s="35">
        <f>TRUNC(SUM(G149:G152),2)</f>
        <v>69.06</v>
      </c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</row>
    <row r="154" spans="1:97" s="31" customFormat="1" ht="45">
      <c r="A154" s="108" t="s">
        <v>204</v>
      </c>
      <c r="B154" s="109" t="s">
        <v>102</v>
      </c>
      <c r="C154" s="110" t="s">
        <v>103</v>
      </c>
      <c r="D154" s="108" t="s">
        <v>30</v>
      </c>
      <c r="E154" s="111">
        <f>133.94+139.64+174.54</f>
        <v>448.12</v>
      </c>
      <c r="F154" s="109">
        <f>TRUNC(F155,2)</f>
        <v>31.42</v>
      </c>
      <c r="G154" s="54">
        <f>TRUNC((E154*F154),2)</f>
        <v>14079.93</v>
      </c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</row>
    <row r="155" spans="1:97" s="31" customFormat="1" ht="45">
      <c r="A155" s="46"/>
      <c r="B155" s="32" t="s">
        <v>102</v>
      </c>
      <c r="C155" s="33" t="s">
        <v>103</v>
      </c>
      <c r="D155" s="65" t="s">
        <v>30</v>
      </c>
      <c r="E155" s="32">
        <v>1</v>
      </c>
      <c r="F155" s="34">
        <f>G160</f>
        <v>31.42</v>
      </c>
      <c r="G155" s="35">
        <f>TRUNC(E155*F155,2)</f>
        <v>31.42</v>
      </c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</row>
    <row r="156" spans="1:97" s="31" customFormat="1" ht="15.75">
      <c r="A156" s="46"/>
      <c r="B156" s="32" t="s">
        <v>33</v>
      </c>
      <c r="C156" s="33" t="s">
        <v>34</v>
      </c>
      <c r="D156" s="65" t="s">
        <v>0</v>
      </c>
      <c r="E156" s="32">
        <v>0.41200000000000003</v>
      </c>
      <c r="F156" s="34">
        <f>TRUNC(16.55,2)</f>
        <v>16.55</v>
      </c>
      <c r="G156" s="35">
        <f>TRUNC(E156*F156,2)</f>
        <v>6.81</v>
      </c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</row>
    <row r="157" spans="1:97" s="31" customFormat="1" ht="15.75">
      <c r="A157" s="46"/>
      <c r="B157" s="32" t="s">
        <v>65</v>
      </c>
      <c r="C157" s="33" t="s">
        <v>66</v>
      </c>
      <c r="D157" s="65" t="s">
        <v>0</v>
      </c>
      <c r="E157" s="32">
        <v>0.41200000000000003</v>
      </c>
      <c r="F157" s="34">
        <f>TRUNC(22.86,2)</f>
        <v>22.86</v>
      </c>
      <c r="G157" s="35">
        <f>TRUNC(E157*F157,2)</f>
        <v>9.41</v>
      </c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</row>
    <row r="158" spans="1:97" s="31" customFormat="1" ht="30">
      <c r="A158" s="46"/>
      <c r="B158" s="32" t="s">
        <v>104</v>
      </c>
      <c r="C158" s="33" t="s">
        <v>105</v>
      </c>
      <c r="D158" s="65" t="s">
        <v>30</v>
      </c>
      <c r="E158" s="32">
        <v>1</v>
      </c>
      <c r="F158" s="34">
        <f>TRUNC(5.894,2)</f>
        <v>5.89</v>
      </c>
      <c r="G158" s="35">
        <f>TRUNC(E158*F158,2)</f>
        <v>5.89</v>
      </c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</row>
    <row r="159" spans="1:97" s="31" customFormat="1" ht="15.75">
      <c r="A159" s="46"/>
      <c r="B159" s="32" t="s">
        <v>106</v>
      </c>
      <c r="C159" s="33" t="s">
        <v>107</v>
      </c>
      <c r="D159" s="65" t="s">
        <v>64</v>
      </c>
      <c r="E159" s="32">
        <v>0.03</v>
      </c>
      <c r="F159" s="34">
        <f>TRUNC(310.5909,2)</f>
        <v>310.59</v>
      </c>
      <c r="G159" s="35">
        <f>TRUNC(E159*F159,2)</f>
        <v>9.31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</row>
    <row r="160" spans="1:97" s="31" customFormat="1" ht="15.75">
      <c r="A160" s="46"/>
      <c r="B160" s="32"/>
      <c r="C160" s="33"/>
      <c r="D160" s="65"/>
      <c r="E160" s="32" t="s">
        <v>1</v>
      </c>
      <c r="F160" s="34"/>
      <c r="G160" s="35">
        <f>TRUNC(SUM(G156:G159),2)</f>
        <v>31.42</v>
      </c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</row>
    <row r="161" spans="1:97" s="31" customFormat="1" ht="45">
      <c r="A161" s="108" t="s">
        <v>228</v>
      </c>
      <c r="B161" s="109" t="s">
        <v>230</v>
      </c>
      <c r="C161" s="110" t="s">
        <v>229</v>
      </c>
      <c r="D161" s="108" t="s">
        <v>48</v>
      </c>
      <c r="E161" s="111">
        <v>122.32</v>
      </c>
      <c r="F161" s="125">
        <f>TRUNC(G162,2)</f>
        <v>53.55</v>
      </c>
      <c r="G161" s="54">
        <f>TRUNC((E161*F161),2)</f>
        <v>6550.23</v>
      </c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</row>
    <row r="162" spans="1:97" s="31" customFormat="1" ht="60">
      <c r="A162" s="46"/>
      <c r="B162" s="32" t="s">
        <v>102</v>
      </c>
      <c r="C162" s="33" t="s">
        <v>221</v>
      </c>
      <c r="D162" s="65" t="s">
        <v>48</v>
      </c>
      <c r="E162" s="32">
        <f>(0.14*0.1)/(0.25*0.03)</f>
        <v>1.866666666666667</v>
      </c>
      <c r="F162" s="34">
        <f>G172</f>
        <v>28.69</v>
      </c>
      <c r="G162" s="121">
        <f aca="true" t="shared" si="6" ref="G162:G171">TRUNC(E162*F162,2)</f>
        <v>53.55</v>
      </c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</row>
    <row r="163" spans="1:97" s="31" customFormat="1" ht="15.75">
      <c r="A163" s="46"/>
      <c r="B163" s="32" t="s">
        <v>222</v>
      </c>
      <c r="C163" s="33" t="s">
        <v>223</v>
      </c>
      <c r="D163" s="65" t="s">
        <v>30</v>
      </c>
      <c r="E163" s="32">
        <v>0.2</v>
      </c>
      <c r="F163" s="34">
        <f>TRUNC(20.8626,2)</f>
        <v>20.86</v>
      </c>
      <c r="G163" s="35">
        <f t="shared" si="6"/>
        <v>4.17</v>
      </c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</row>
    <row r="164" spans="1:97" s="31" customFormat="1" ht="30">
      <c r="A164" s="46"/>
      <c r="B164" s="32" t="s">
        <v>43</v>
      </c>
      <c r="C164" s="33" t="s">
        <v>44</v>
      </c>
      <c r="D164" s="65" t="s">
        <v>45</v>
      </c>
      <c r="E164" s="32">
        <v>0.02</v>
      </c>
      <c r="F164" s="34">
        <f>TRUNC(15.94,2)</f>
        <v>15.94</v>
      </c>
      <c r="G164" s="35">
        <f t="shared" si="6"/>
        <v>0.31</v>
      </c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</row>
    <row r="165" spans="1:97" s="31" customFormat="1" ht="15.75">
      <c r="A165" s="46"/>
      <c r="B165" s="32" t="s">
        <v>224</v>
      </c>
      <c r="C165" s="33" t="s">
        <v>225</v>
      </c>
      <c r="D165" s="65" t="s">
        <v>48</v>
      </c>
      <c r="E165" s="32">
        <v>0.18</v>
      </c>
      <c r="F165" s="34">
        <f>TRUNC(6.2736,2)</f>
        <v>6.27</v>
      </c>
      <c r="G165" s="35">
        <f t="shared" si="6"/>
        <v>1.12</v>
      </c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</row>
    <row r="166" spans="1:97" s="31" customFormat="1" ht="15.75">
      <c r="A166" s="46"/>
      <c r="B166" s="32" t="s">
        <v>226</v>
      </c>
      <c r="C166" s="33" t="s">
        <v>227</v>
      </c>
      <c r="D166" s="65" t="s">
        <v>48</v>
      </c>
      <c r="E166" s="32">
        <v>0.13</v>
      </c>
      <c r="F166" s="34">
        <f>TRUNC(9.23,2)</f>
        <v>9.23</v>
      </c>
      <c r="G166" s="35">
        <f t="shared" si="6"/>
        <v>1.19</v>
      </c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</row>
    <row r="167" spans="1:97" s="31" customFormat="1" ht="15.75">
      <c r="A167" s="46"/>
      <c r="B167" s="32" t="s">
        <v>86</v>
      </c>
      <c r="C167" s="33" t="s">
        <v>87</v>
      </c>
      <c r="D167" s="65" t="s">
        <v>45</v>
      </c>
      <c r="E167" s="32">
        <v>0.02</v>
      </c>
      <c r="F167" s="34">
        <f>TRUNC(11.9,2)</f>
        <v>11.9</v>
      </c>
      <c r="G167" s="35">
        <f t="shared" si="6"/>
        <v>0.23</v>
      </c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</row>
    <row r="168" spans="1:97" s="31" customFormat="1" ht="15.75">
      <c r="A168" s="46"/>
      <c r="B168" s="32" t="s">
        <v>33</v>
      </c>
      <c r="C168" s="33" t="s">
        <v>34</v>
      </c>
      <c r="D168" s="65" t="s">
        <v>0</v>
      </c>
      <c r="E168" s="32">
        <v>0.4635</v>
      </c>
      <c r="F168" s="34">
        <f>TRUNC(16.55,2)</f>
        <v>16.55</v>
      </c>
      <c r="G168" s="35">
        <f t="shared" si="6"/>
        <v>7.67</v>
      </c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</row>
    <row r="169" spans="1:97" s="31" customFormat="1" ht="30">
      <c r="A169" s="46"/>
      <c r="B169" s="32" t="s">
        <v>90</v>
      </c>
      <c r="C169" s="33" t="s">
        <v>91</v>
      </c>
      <c r="D169" s="65" t="s">
        <v>0</v>
      </c>
      <c r="E169" s="32">
        <v>0.13390000000000002</v>
      </c>
      <c r="F169" s="34">
        <f>TRUNC(22.86,2)</f>
        <v>22.86</v>
      </c>
      <c r="G169" s="35">
        <f t="shared" si="6"/>
        <v>3.06</v>
      </c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</row>
    <row r="170" spans="1:97" s="31" customFormat="1" ht="15.75">
      <c r="A170" s="46"/>
      <c r="B170" s="32" t="s">
        <v>65</v>
      </c>
      <c r="C170" s="33" t="s">
        <v>66</v>
      </c>
      <c r="D170" s="65" t="s">
        <v>0</v>
      </c>
      <c r="E170" s="32">
        <v>0.309</v>
      </c>
      <c r="F170" s="34">
        <f>TRUNC(22.86,2)</f>
        <v>22.86</v>
      </c>
      <c r="G170" s="35">
        <f t="shared" si="6"/>
        <v>7.06</v>
      </c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</row>
    <row r="171" spans="1:97" s="31" customFormat="1" ht="15.75">
      <c r="A171" s="46"/>
      <c r="B171" s="32" t="s">
        <v>131</v>
      </c>
      <c r="C171" s="33" t="s">
        <v>132</v>
      </c>
      <c r="D171" s="65" t="s">
        <v>64</v>
      </c>
      <c r="E171" s="32">
        <v>0.014</v>
      </c>
      <c r="F171" s="34">
        <f>TRUNC(277.3833,2)</f>
        <v>277.38</v>
      </c>
      <c r="G171" s="35">
        <f t="shared" si="6"/>
        <v>3.88</v>
      </c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</row>
    <row r="172" spans="1:97" s="31" customFormat="1" ht="15.75">
      <c r="A172" s="46"/>
      <c r="B172" s="32"/>
      <c r="C172" s="33"/>
      <c r="D172" s="65"/>
      <c r="E172" s="32" t="s">
        <v>1</v>
      </c>
      <c r="F172" s="34"/>
      <c r="G172" s="35">
        <f>TRUNC(SUM(G163:G171),2)</f>
        <v>28.69</v>
      </c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</row>
    <row r="173" spans="1:97" s="31" customFormat="1" ht="15.75">
      <c r="A173" s="55" t="s">
        <v>26</v>
      </c>
      <c r="B173" s="56"/>
      <c r="C173" s="57"/>
      <c r="D173" s="162" t="s">
        <v>207</v>
      </c>
      <c r="E173" s="163"/>
      <c r="F173" s="164"/>
      <c r="G173" s="58">
        <f>G128+G147+G154+G161</f>
        <v>71977.93000000001</v>
      </c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</row>
    <row r="174" spans="1:97" s="28" customFormat="1" ht="15.75">
      <c r="A174" s="91" t="s">
        <v>99</v>
      </c>
      <c r="B174" s="92"/>
      <c r="C174" s="93" t="s">
        <v>296</v>
      </c>
      <c r="D174" s="92"/>
      <c r="E174" s="92"/>
      <c r="F174" s="92"/>
      <c r="G174" s="94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</row>
    <row r="175" spans="1:97" s="31" customFormat="1" ht="45">
      <c r="A175" s="108" t="s">
        <v>108</v>
      </c>
      <c r="B175" s="109" t="s">
        <v>28</v>
      </c>
      <c r="C175" s="110" t="s">
        <v>250</v>
      </c>
      <c r="D175" s="108" t="s">
        <v>30</v>
      </c>
      <c r="E175" s="111">
        <v>129.67</v>
      </c>
      <c r="F175" s="109">
        <f>TRUNC(F176,2)</f>
        <v>203.42</v>
      </c>
      <c r="G175" s="54">
        <f>TRUNC((E175*F175),2)</f>
        <v>26377.47</v>
      </c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</row>
    <row r="176" spans="1:97" s="31" customFormat="1" ht="60">
      <c r="A176" s="46"/>
      <c r="B176" s="32" t="s">
        <v>28</v>
      </c>
      <c r="C176" s="33" t="s">
        <v>29</v>
      </c>
      <c r="D176" s="65" t="s">
        <v>30</v>
      </c>
      <c r="E176" s="32">
        <v>1</v>
      </c>
      <c r="F176" s="34">
        <f>G180</f>
        <v>203.42</v>
      </c>
      <c r="G176" s="35">
        <f>TRUNC(E176*F176,2)</f>
        <v>203.42</v>
      </c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</row>
    <row r="177" spans="1:97" s="31" customFormat="1" ht="45">
      <c r="A177" s="46"/>
      <c r="B177" s="32" t="s">
        <v>251</v>
      </c>
      <c r="C177" s="33" t="s">
        <v>248</v>
      </c>
      <c r="D177" s="65" t="s">
        <v>30</v>
      </c>
      <c r="E177" s="32">
        <v>1</v>
      </c>
      <c r="F177" s="34">
        <f>F184</f>
        <v>164.01000000000002</v>
      </c>
      <c r="G177" s="35">
        <f>TRUNC(E177*F177,2)</f>
        <v>164.01</v>
      </c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</row>
    <row r="178" spans="1:97" s="31" customFormat="1" ht="15.75">
      <c r="A178" s="46"/>
      <c r="B178" s="32" t="s">
        <v>65</v>
      </c>
      <c r="C178" s="33" t="s">
        <v>66</v>
      </c>
      <c r="D178" s="65" t="s">
        <v>0</v>
      </c>
      <c r="E178" s="32">
        <v>1</v>
      </c>
      <c r="F178" s="34">
        <v>22.86</v>
      </c>
      <c r="G178" s="35">
        <f>TRUNC(E178*F178,2)</f>
        <v>22.86</v>
      </c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</row>
    <row r="179" spans="1:97" s="31" customFormat="1" ht="15.75">
      <c r="A179" s="46"/>
      <c r="B179" s="32" t="s">
        <v>33</v>
      </c>
      <c r="C179" s="33" t="s">
        <v>34</v>
      </c>
      <c r="D179" s="65" t="s">
        <v>0</v>
      </c>
      <c r="E179" s="32">
        <v>1</v>
      </c>
      <c r="F179" s="34">
        <v>16.55</v>
      </c>
      <c r="G179" s="35">
        <f>TRUNC(E179*F179,2)</f>
        <v>16.55</v>
      </c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</row>
    <row r="180" spans="1:97" s="31" customFormat="1" ht="15.75">
      <c r="A180" s="46"/>
      <c r="B180" s="32"/>
      <c r="C180" s="33"/>
      <c r="D180" s="65"/>
      <c r="E180" s="32" t="s">
        <v>1</v>
      </c>
      <c r="F180" s="34"/>
      <c r="G180" s="35">
        <f>TRUNC(SUM(G177:G179),2)</f>
        <v>203.42</v>
      </c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</row>
    <row r="181" spans="1:97" s="31" customFormat="1" ht="45">
      <c r="A181" s="55"/>
      <c r="B181" s="140" t="s">
        <v>241</v>
      </c>
      <c r="C181" s="57" t="s">
        <v>248</v>
      </c>
      <c r="D181" s="55" t="s">
        <v>242</v>
      </c>
      <c r="E181" s="56">
        <v>1</v>
      </c>
      <c r="F181" s="142">
        <v>152</v>
      </c>
      <c r="G181" s="142">
        <f>TRUNC(E181*F181,2)</f>
        <v>152</v>
      </c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</row>
    <row r="182" spans="1:97" s="31" customFormat="1" ht="45">
      <c r="A182" s="55"/>
      <c r="B182" s="140" t="s">
        <v>247</v>
      </c>
      <c r="C182" s="57" t="s">
        <v>248</v>
      </c>
      <c r="D182" s="55" t="s">
        <v>242</v>
      </c>
      <c r="E182" s="56">
        <v>1</v>
      </c>
      <c r="F182" s="142">
        <f>(18128.46+5398.4)/129.67</f>
        <v>181.43641551631066</v>
      </c>
      <c r="G182" s="142">
        <f>TRUNC(E182*F182,2)</f>
        <v>181.43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</row>
    <row r="183" spans="1:97" s="114" customFormat="1" ht="45">
      <c r="A183" s="141"/>
      <c r="B183" s="140" t="s">
        <v>304</v>
      </c>
      <c r="C183" s="57" t="s">
        <v>248</v>
      </c>
      <c r="D183" s="55" t="s">
        <v>242</v>
      </c>
      <c r="E183" s="56">
        <v>1</v>
      </c>
      <c r="F183" s="142">
        <f>(13500+5883)*1.1/130</f>
        <v>164.01000000000002</v>
      </c>
      <c r="G183" s="142">
        <f>TRUNC(E183*F183,2)</f>
        <v>164.01</v>
      </c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</row>
    <row r="184" spans="1:97" s="31" customFormat="1" ht="15.75">
      <c r="A184" s="55"/>
      <c r="B184" s="56"/>
      <c r="C184" s="134" t="s">
        <v>243</v>
      </c>
      <c r="D184" s="135"/>
      <c r="E184" s="136"/>
      <c r="F184" s="142">
        <f>MEDIAN((F181:F183))</f>
        <v>164.01000000000002</v>
      </c>
      <c r="G184" s="14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</row>
    <row r="185" spans="1:97" s="31" customFormat="1" ht="15.75">
      <c r="A185" s="46"/>
      <c r="B185" s="32"/>
      <c r="C185" s="33"/>
      <c r="D185" s="65"/>
      <c r="E185" s="32"/>
      <c r="F185" s="34"/>
      <c r="G185" s="35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</row>
    <row r="186" spans="1:97" s="31" customFormat="1" ht="45">
      <c r="A186" s="108" t="s">
        <v>109</v>
      </c>
      <c r="B186" s="109" t="s">
        <v>35</v>
      </c>
      <c r="C186" s="110" t="s">
        <v>252</v>
      </c>
      <c r="D186" s="108" t="s">
        <v>245</v>
      </c>
      <c r="E186" s="111">
        <v>1</v>
      </c>
      <c r="F186" s="109">
        <f>TRUNC(F187,2)</f>
        <v>2818.23</v>
      </c>
      <c r="G186" s="54">
        <f>TRUNC((E186*F186),2)</f>
        <v>2818.23</v>
      </c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</row>
    <row r="187" spans="1:97" s="31" customFormat="1" ht="60">
      <c r="A187" s="46"/>
      <c r="B187" s="32" t="s">
        <v>28</v>
      </c>
      <c r="C187" s="33" t="s">
        <v>29</v>
      </c>
      <c r="D187" s="65" t="s">
        <v>30</v>
      </c>
      <c r="E187" s="32">
        <v>1</v>
      </c>
      <c r="F187" s="34">
        <f>G191</f>
        <v>2818.23</v>
      </c>
      <c r="G187" s="35">
        <f>TRUNC(E187*F187,2)</f>
        <v>2818.23</v>
      </c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</row>
    <row r="188" spans="1:97" s="31" customFormat="1" ht="45">
      <c r="A188" s="46"/>
      <c r="B188" s="32" t="s">
        <v>251</v>
      </c>
      <c r="C188" s="33" t="s">
        <v>249</v>
      </c>
      <c r="D188" s="65" t="s">
        <v>245</v>
      </c>
      <c r="E188" s="32">
        <v>1</v>
      </c>
      <c r="F188" s="34">
        <f>F195</f>
        <v>2700</v>
      </c>
      <c r="G188" s="35">
        <f>TRUNC(E188*F188,2)</f>
        <v>2700</v>
      </c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</row>
    <row r="189" spans="1:97" s="31" customFormat="1" ht="15.75">
      <c r="A189" s="46"/>
      <c r="B189" s="32" t="s">
        <v>65</v>
      </c>
      <c r="C189" s="33" t="s">
        <v>66</v>
      </c>
      <c r="D189" s="65" t="s">
        <v>0</v>
      </c>
      <c r="E189" s="32">
        <v>3</v>
      </c>
      <c r="F189" s="34">
        <v>22.86</v>
      </c>
      <c r="G189" s="35">
        <f>TRUNC(E189*F189,2)</f>
        <v>68.58</v>
      </c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</row>
    <row r="190" spans="1:97" s="31" customFormat="1" ht="15.75">
      <c r="A190" s="46"/>
      <c r="B190" s="32" t="s">
        <v>33</v>
      </c>
      <c r="C190" s="33" t="s">
        <v>34</v>
      </c>
      <c r="D190" s="65" t="s">
        <v>0</v>
      </c>
      <c r="E190" s="32">
        <v>3</v>
      </c>
      <c r="F190" s="34">
        <v>16.55</v>
      </c>
      <c r="G190" s="35">
        <f>TRUNC(E190*F190,2)</f>
        <v>49.65</v>
      </c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</row>
    <row r="191" spans="1:97" s="31" customFormat="1" ht="15.75">
      <c r="A191" s="46"/>
      <c r="B191" s="32"/>
      <c r="C191" s="33"/>
      <c r="D191" s="65"/>
      <c r="E191" s="32" t="s">
        <v>1</v>
      </c>
      <c r="F191" s="34"/>
      <c r="G191" s="35">
        <f>TRUNC(SUM(G188:G190),2)</f>
        <v>2818.23</v>
      </c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</row>
    <row r="192" spans="1:97" s="31" customFormat="1" ht="45">
      <c r="A192" s="55"/>
      <c r="B192" s="140" t="s">
        <v>241</v>
      </c>
      <c r="C192" s="57" t="s">
        <v>249</v>
      </c>
      <c r="D192" s="55" t="s">
        <v>245</v>
      </c>
      <c r="E192" s="56">
        <v>1</v>
      </c>
      <c r="F192" s="142">
        <v>2700</v>
      </c>
      <c r="G192" s="143">
        <f>TRUNC(E192*F192,2)</f>
        <v>2700</v>
      </c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</row>
    <row r="193" spans="1:97" s="31" customFormat="1" ht="45">
      <c r="A193" s="55"/>
      <c r="B193" s="140" t="s">
        <v>247</v>
      </c>
      <c r="C193" s="57" t="s">
        <v>249</v>
      </c>
      <c r="D193" s="55" t="s">
        <v>245</v>
      </c>
      <c r="E193" s="56">
        <v>1</v>
      </c>
      <c r="F193" s="142">
        <v>3271.88</v>
      </c>
      <c r="G193" s="143">
        <f>TRUNC(E193*F193,2)</f>
        <v>3271.88</v>
      </c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</row>
    <row r="194" spans="1:97" s="31" customFormat="1" ht="45">
      <c r="A194" s="55"/>
      <c r="B194" s="140" t="s">
        <v>304</v>
      </c>
      <c r="C194" s="57" t="s">
        <v>249</v>
      </c>
      <c r="D194" s="55" t="s">
        <v>245</v>
      </c>
      <c r="E194" s="56">
        <v>1</v>
      </c>
      <c r="F194" s="142">
        <f>1275*1.1</f>
        <v>1402.5</v>
      </c>
      <c r="G194" s="143">
        <f>TRUNC(E194*F194,2)</f>
        <v>1402.5</v>
      </c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</row>
    <row r="195" spans="1:97" s="31" customFormat="1" ht="15.75">
      <c r="A195" s="55"/>
      <c r="B195" s="140"/>
      <c r="C195" s="134" t="s">
        <v>243</v>
      </c>
      <c r="D195" s="135"/>
      <c r="E195" s="136"/>
      <c r="F195" s="144">
        <f>MEDIAN((F192:F194))</f>
        <v>2700</v>
      </c>
      <c r="G195" s="143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</row>
    <row r="196" spans="1:97" s="31" customFormat="1" ht="15.75">
      <c r="A196" s="55"/>
      <c r="B196" s="56"/>
      <c r="C196" s="134"/>
      <c r="D196" s="135"/>
      <c r="E196" s="136"/>
      <c r="F196" s="132"/>
      <c r="G196" s="133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</row>
    <row r="197" spans="1:97" s="31" customFormat="1" ht="45">
      <c r="A197" s="108" t="s">
        <v>246</v>
      </c>
      <c r="B197" s="109" t="s">
        <v>35</v>
      </c>
      <c r="C197" s="110" t="s">
        <v>244</v>
      </c>
      <c r="D197" s="108" t="s">
        <v>245</v>
      </c>
      <c r="E197" s="111">
        <v>1</v>
      </c>
      <c r="F197" s="109">
        <f>TRUNC(F198,2)</f>
        <v>6464.64</v>
      </c>
      <c r="G197" s="54">
        <f>TRUNC((E197*F197),2)</f>
        <v>6464.64</v>
      </c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</row>
    <row r="198" spans="1:97" s="31" customFormat="1" ht="60">
      <c r="A198" s="46"/>
      <c r="B198" s="32" t="s">
        <v>28</v>
      </c>
      <c r="C198" s="33" t="s">
        <v>29</v>
      </c>
      <c r="D198" s="65" t="s">
        <v>30</v>
      </c>
      <c r="E198" s="32">
        <v>1</v>
      </c>
      <c r="F198" s="34">
        <f>G202</f>
        <v>6464.64</v>
      </c>
      <c r="G198" s="35">
        <f>TRUNC(E198*F198,2)</f>
        <v>6464.64</v>
      </c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</row>
    <row r="199" spans="1:97" s="114" customFormat="1" ht="45">
      <c r="A199" s="112"/>
      <c r="B199" s="32" t="s">
        <v>251</v>
      </c>
      <c r="C199" s="33" t="s">
        <v>244</v>
      </c>
      <c r="D199" s="65" t="s">
        <v>30</v>
      </c>
      <c r="E199" s="32">
        <v>1</v>
      </c>
      <c r="F199" s="34">
        <f>F206</f>
        <v>6300</v>
      </c>
      <c r="G199" s="35">
        <f>TRUNC(E199*F199,2)</f>
        <v>6300</v>
      </c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</row>
    <row r="200" spans="1:97" s="31" customFormat="1" ht="15.75">
      <c r="A200" s="46"/>
      <c r="B200" s="32" t="s">
        <v>31</v>
      </c>
      <c r="C200" s="33" t="s">
        <v>32</v>
      </c>
      <c r="D200" s="65" t="s">
        <v>0</v>
      </c>
      <c r="E200" s="32">
        <v>4</v>
      </c>
      <c r="F200" s="34">
        <v>24.61</v>
      </c>
      <c r="G200" s="35">
        <f>TRUNC(E200*F200,2)</f>
        <v>98.44</v>
      </c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</row>
    <row r="201" spans="1:97" s="31" customFormat="1" ht="15.75">
      <c r="A201" s="46"/>
      <c r="B201" s="32" t="s">
        <v>33</v>
      </c>
      <c r="C201" s="33" t="s">
        <v>34</v>
      </c>
      <c r="D201" s="65" t="s">
        <v>0</v>
      </c>
      <c r="E201" s="32">
        <v>4</v>
      </c>
      <c r="F201" s="34">
        <v>16.55</v>
      </c>
      <c r="G201" s="35">
        <f>TRUNC(E201*F201,2)</f>
        <v>66.2</v>
      </c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</row>
    <row r="202" spans="1:97" s="31" customFormat="1" ht="15.75">
      <c r="A202" s="46"/>
      <c r="B202" s="32"/>
      <c r="C202" s="33"/>
      <c r="D202" s="65"/>
      <c r="E202" s="32" t="s">
        <v>1</v>
      </c>
      <c r="F202" s="34"/>
      <c r="G202" s="35">
        <f>TRUNC(SUM(G199:G201),2)</f>
        <v>6464.64</v>
      </c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</row>
    <row r="203" spans="1:97" s="31" customFormat="1" ht="45">
      <c r="A203" s="55"/>
      <c r="B203" s="140" t="s">
        <v>241</v>
      </c>
      <c r="C203" s="57" t="s">
        <v>244</v>
      </c>
      <c r="D203" s="55" t="s">
        <v>245</v>
      </c>
      <c r="E203" s="56">
        <v>1</v>
      </c>
      <c r="F203" s="142">
        <v>6300</v>
      </c>
      <c r="G203" s="142">
        <f>TRUNC(E203*F203,2)</f>
        <v>6300</v>
      </c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</row>
    <row r="204" spans="1:97" s="31" customFormat="1" ht="45">
      <c r="A204" s="55"/>
      <c r="B204" s="140" t="s">
        <v>247</v>
      </c>
      <c r="C204" s="57" t="s">
        <v>244</v>
      </c>
      <c r="D204" s="55" t="s">
        <v>245</v>
      </c>
      <c r="E204" s="56">
        <v>1</v>
      </c>
      <c r="F204" s="142">
        <v>7337.28</v>
      </c>
      <c r="G204" s="142">
        <f>TRUNC(E204*F204,2)</f>
        <v>7337.28</v>
      </c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</row>
    <row r="205" spans="1:97" s="31" customFormat="1" ht="45">
      <c r="A205" s="55"/>
      <c r="B205" s="140" t="s">
        <v>304</v>
      </c>
      <c r="C205" s="57" t="s">
        <v>244</v>
      </c>
      <c r="D205" s="55" t="s">
        <v>245</v>
      </c>
      <c r="E205" s="56">
        <v>1</v>
      </c>
      <c r="F205" s="142">
        <f>3825*1.1</f>
        <v>4207.5</v>
      </c>
      <c r="G205" s="142">
        <f>TRUNC(E205*F205,2)</f>
        <v>4207.5</v>
      </c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</row>
    <row r="206" spans="1:97" s="31" customFormat="1" ht="15.75">
      <c r="A206" s="55"/>
      <c r="B206" s="56"/>
      <c r="C206" s="134" t="s">
        <v>243</v>
      </c>
      <c r="D206" s="135"/>
      <c r="E206" s="136"/>
      <c r="F206" s="144">
        <f>MEDIAN((F203:F205))</f>
        <v>6300</v>
      </c>
      <c r="G206" s="14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</row>
    <row r="207" spans="1:97" s="31" customFormat="1" ht="15.75">
      <c r="A207" s="55"/>
      <c r="B207" s="56"/>
      <c r="C207" s="134"/>
      <c r="D207" s="137"/>
      <c r="E207" s="138"/>
      <c r="F207" s="139"/>
      <c r="G207" s="133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</row>
    <row r="208" spans="1:97" s="31" customFormat="1" ht="15.75">
      <c r="A208" s="55" t="s">
        <v>26</v>
      </c>
      <c r="B208" s="56"/>
      <c r="C208" s="57"/>
      <c r="D208" s="162" t="s">
        <v>208</v>
      </c>
      <c r="E208" s="163"/>
      <c r="F208" s="164"/>
      <c r="G208" s="58">
        <f>G175+G186+G197</f>
        <v>35660.340000000004</v>
      </c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</row>
    <row r="209" spans="1:97" s="28" customFormat="1" ht="15.75">
      <c r="A209" s="91" t="s">
        <v>110</v>
      </c>
      <c r="B209" s="92"/>
      <c r="C209" s="93" t="s">
        <v>111</v>
      </c>
      <c r="D209" s="92"/>
      <c r="E209" s="92"/>
      <c r="F209" s="92"/>
      <c r="G209" s="94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</row>
    <row r="210" spans="1:97" s="31" customFormat="1" ht="15.75">
      <c r="A210" s="108" t="s">
        <v>112</v>
      </c>
      <c r="B210" s="109" t="s">
        <v>233</v>
      </c>
      <c r="C210" s="110" t="s">
        <v>234</v>
      </c>
      <c r="D210" s="108" t="s">
        <v>30</v>
      </c>
      <c r="E210" s="111">
        <f>E154</f>
        <v>448.12</v>
      </c>
      <c r="F210" s="125">
        <f>TRUNC(F211,2)</f>
        <v>15.29</v>
      </c>
      <c r="G210" s="54">
        <f>TRUNC((E210*F210),2)</f>
        <v>6851.75</v>
      </c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</row>
    <row r="211" spans="1:97" s="31" customFormat="1" ht="15.75">
      <c r="A211" s="46"/>
      <c r="B211" s="32" t="s">
        <v>233</v>
      </c>
      <c r="C211" s="33" t="s">
        <v>234</v>
      </c>
      <c r="D211" s="65" t="s">
        <v>30</v>
      </c>
      <c r="E211" s="32">
        <v>1</v>
      </c>
      <c r="F211" s="34">
        <f>G215</f>
        <v>15.29</v>
      </c>
      <c r="G211" s="35">
        <f>TRUNC(E211*F211,2)</f>
        <v>15.29</v>
      </c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</row>
    <row r="212" spans="1:97" s="31" customFormat="1" ht="15.75">
      <c r="A212" s="46"/>
      <c r="B212" s="32" t="s">
        <v>195</v>
      </c>
      <c r="C212" s="33" t="s">
        <v>196</v>
      </c>
      <c r="D212" s="65" t="s">
        <v>45</v>
      </c>
      <c r="E212" s="32">
        <v>1.14</v>
      </c>
      <c r="F212" s="34">
        <f>TRUNC(6.93,2)</f>
        <v>6.93</v>
      </c>
      <c r="G212" s="35">
        <f>TRUNC(E212*F212,2)</f>
        <v>7.9</v>
      </c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</row>
    <row r="213" spans="1:97" s="31" customFormat="1" ht="15.75">
      <c r="A213" s="46"/>
      <c r="B213" s="32" t="s">
        <v>113</v>
      </c>
      <c r="C213" s="33" t="s">
        <v>114</v>
      </c>
      <c r="D213" s="65" t="s">
        <v>0</v>
      </c>
      <c r="E213" s="32">
        <v>0.069</v>
      </c>
      <c r="F213" s="34">
        <f>TRUNC(23.42,2)</f>
        <v>23.42</v>
      </c>
      <c r="G213" s="35">
        <f>TRUNC(E213*F213,2)</f>
        <v>1.61</v>
      </c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</row>
    <row r="214" spans="1:97" s="31" customFormat="1" ht="15.75">
      <c r="A214" s="46"/>
      <c r="B214" s="32" t="s">
        <v>197</v>
      </c>
      <c r="C214" s="33" t="s">
        <v>198</v>
      </c>
      <c r="D214" s="65" t="s">
        <v>0</v>
      </c>
      <c r="E214" s="32">
        <v>0.188</v>
      </c>
      <c r="F214" s="34">
        <f>TRUNC(30.79,2)</f>
        <v>30.79</v>
      </c>
      <c r="G214" s="35">
        <f>TRUNC(E214*F214,2)</f>
        <v>5.78</v>
      </c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</row>
    <row r="215" spans="1:97" s="31" customFormat="1" ht="15.75">
      <c r="A215" s="46"/>
      <c r="B215" s="32"/>
      <c r="C215" s="33"/>
      <c r="D215" s="65"/>
      <c r="E215" s="32" t="s">
        <v>1</v>
      </c>
      <c r="F215" s="34"/>
      <c r="G215" s="35">
        <f>TRUNC(SUM(G212:G214),2)</f>
        <v>15.29</v>
      </c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</row>
    <row r="216" spans="1:97" s="31" customFormat="1" ht="30">
      <c r="A216" s="108" t="s">
        <v>235</v>
      </c>
      <c r="B216" s="109" t="s">
        <v>236</v>
      </c>
      <c r="C216" s="110" t="s">
        <v>237</v>
      </c>
      <c r="D216" s="108" t="s">
        <v>30</v>
      </c>
      <c r="E216" s="111">
        <f>E210</f>
        <v>448.12</v>
      </c>
      <c r="F216" s="125">
        <f>TRUNC(F217,2)</f>
        <v>17.1</v>
      </c>
      <c r="G216" s="54">
        <f>TRUNC((E216*F216),2)</f>
        <v>7662.85</v>
      </c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</row>
    <row r="217" spans="1:97" s="31" customFormat="1" ht="30">
      <c r="A217" s="46"/>
      <c r="B217" s="32" t="s">
        <v>236</v>
      </c>
      <c r="C217" s="33" t="s">
        <v>237</v>
      </c>
      <c r="D217" s="65" t="s">
        <v>30</v>
      </c>
      <c r="E217" s="32">
        <v>1</v>
      </c>
      <c r="F217" s="34">
        <f>TRUNC(17.10388,2)</f>
        <v>17.1</v>
      </c>
      <c r="G217" s="35">
        <f>TRUNC(E217*F217,2)</f>
        <v>17.1</v>
      </c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</row>
    <row r="218" spans="1:97" s="31" customFormat="1" ht="15.75">
      <c r="A218" s="46"/>
      <c r="B218" s="32" t="s">
        <v>238</v>
      </c>
      <c r="C218" s="33" t="s">
        <v>239</v>
      </c>
      <c r="D218" s="65" t="s">
        <v>240</v>
      </c>
      <c r="E218" s="32">
        <v>0.2</v>
      </c>
      <c r="F218" s="34">
        <f>TRUNC(22.49,2)</f>
        <v>22.49</v>
      </c>
      <c r="G218" s="35">
        <f>TRUNC(E218*F218,2)</f>
        <v>4.49</v>
      </c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</row>
    <row r="219" spans="1:97" s="31" customFormat="1" ht="15.75">
      <c r="A219" s="46"/>
      <c r="B219" s="32" t="s">
        <v>113</v>
      </c>
      <c r="C219" s="33" t="s">
        <v>114</v>
      </c>
      <c r="D219" s="65" t="s">
        <v>0</v>
      </c>
      <c r="E219" s="32">
        <v>0.086</v>
      </c>
      <c r="F219" s="34">
        <f>TRUNC(23.42,2)</f>
        <v>23.42</v>
      </c>
      <c r="G219" s="35">
        <f>TRUNC(E219*F219,2)</f>
        <v>2.01</v>
      </c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</row>
    <row r="220" spans="1:97" s="31" customFormat="1" ht="15.75">
      <c r="A220" s="46"/>
      <c r="B220" s="32" t="s">
        <v>197</v>
      </c>
      <c r="C220" s="33" t="s">
        <v>198</v>
      </c>
      <c r="D220" s="65" t="s">
        <v>0</v>
      </c>
      <c r="E220" s="32">
        <v>0.344</v>
      </c>
      <c r="F220" s="34">
        <f>TRUNC(30.79,2)</f>
        <v>30.79</v>
      </c>
      <c r="G220" s="35">
        <f>TRUNC(E220*F220,2)</f>
        <v>10.59</v>
      </c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</row>
    <row r="221" spans="1:97" s="31" customFormat="1" ht="15.75">
      <c r="A221" s="46"/>
      <c r="B221" s="32"/>
      <c r="C221" s="33"/>
      <c r="D221" s="65"/>
      <c r="E221" s="32" t="s">
        <v>1</v>
      </c>
      <c r="F221" s="34"/>
      <c r="G221" s="35">
        <f>TRUNC(SUM(G218:G220),2)</f>
        <v>17.09</v>
      </c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</row>
    <row r="222" spans="1:97" s="31" customFormat="1" ht="15.75">
      <c r="A222" s="55" t="s">
        <v>26</v>
      </c>
      <c r="B222" s="56"/>
      <c r="C222" s="57"/>
      <c r="D222" s="162" t="s">
        <v>209</v>
      </c>
      <c r="E222" s="163"/>
      <c r="F222" s="164"/>
      <c r="G222" s="58">
        <f>G210+G216</f>
        <v>14514.6</v>
      </c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</row>
    <row r="223" spans="1:97" s="28" customFormat="1" ht="15.75">
      <c r="A223" s="91" t="s">
        <v>115</v>
      </c>
      <c r="B223" s="92"/>
      <c r="C223" s="93" t="s">
        <v>166</v>
      </c>
      <c r="D223" s="92"/>
      <c r="E223" s="92"/>
      <c r="F223" s="92"/>
      <c r="G223" s="94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</row>
    <row r="224" spans="1:7" ht="45">
      <c r="A224" s="43" t="s">
        <v>117</v>
      </c>
      <c r="B224" s="21" t="s">
        <v>231</v>
      </c>
      <c r="C224" s="22" t="s">
        <v>232</v>
      </c>
      <c r="D224" s="43" t="s">
        <v>64</v>
      </c>
      <c r="E224" s="36">
        <v>69.96</v>
      </c>
      <c r="F224" s="21">
        <f>TRUNC(F225,2)</f>
        <v>23.86</v>
      </c>
      <c r="G224" s="54">
        <f>TRUNC((E224*F224),2)</f>
        <v>1669.24</v>
      </c>
    </row>
    <row r="225" spans="1:97" s="31" customFormat="1" ht="45">
      <c r="A225" s="46"/>
      <c r="B225" s="32" t="s">
        <v>231</v>
      </c>
      <c r="C225" s="33" t="s">
        <v>232</v>
      </c>
      <c r="D225" s="65" t="s">
        <v>64</v>
      </c>
      <c r="E225" s="32">
        <v>1</v>
      </c>
      <c r="F225" s="34">
        <f>G227</f>
        <v>23.86</v>
      </c>
      <c r="G225" s="35">
        <f>TRUNC(E225*F225,2)</f>
        <v>23.86</v>
      </c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</row>
    <row r="226" spans="1:97" s="31" customFormat="1" ht="15.75">
      <c r="A226" s="46"/>
      <c r="B226" s="32" t="s">
        <v>33</v>
      </c>
      <c r="C226" s="33" t="s">
        <v>34</v>
      </c>
      <c r="D226" s="65" t="s">
        <v>0</v>
      </c>
      <c r="E226" s="32">
        <v>1.442</v>
      </c>
      <c r="F226" s="34">
        <f>TRUNC(16.55,2)</f>
        <v>16.55</v>
      </c>
      <c r="G226" s="35">
        <f>TRUNC(E226*F226,2)</f>
        <v>23.86</v>
      </c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</row>
    <row r="227" spans="1:97" s="31" customFormat="1" ht="15.75">
      <c r="A227" s="46"/>
      <c r="B227" s="32"/>
      <c r="C227" s="33"/>
      <c r="D227" s="65"/>
      <c r="E227" s="32" t="s">
        <v>1</v>
      </c>
      <c r="F227" s="34"/>
      <c r="G227" s="35">
        <f>TRUNC(SUM(G226:G226),2)</f>
        <v>23.86</v>
      </c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</row>
    <row r="228" spans="1:7" ht="60">
      <c r="A228" s="43" t="s">
        <v>118</v>
      </c>
      <c r="B228" s="21" t="s">
        <v>167</v>
      </c>
      <c r="C228" s="22" t="s">
        <v>168</v>
      </c>
      <c r="D228" s="43" t="s">
        <v>3</v>
      </c>
      <c r="E228" s="36">
        <v>21</v>
      </c>
      <c r="F228" s="21">
        <f>TRUNC(F229,2)</f>
        <v>239.69</v>
      </c>
      <c r="G228" s="54">
        <f>TRUNC((E228*F228),2)</f>
        <v>5033.49</v>
      </c>
    </row>
    <row r="229" spans="1:97" s="31" customFormat="1" ht="60">
      <c r="A229" s="46"/>
      <c r="B229" s="32" t="s">
        <v>167</v>
      </c>
      <c r="C229" s="33" t="s">
        <v>168</v>
      </c>
      <c r="D229" s="65" t="s">
        <v>3</v>
      </c>
      <c r="E229" s="32">
        <v>1</v>
      </c>
      <c r="F229" s="34">
        <f>TRUNC(239.69642,2)</f>
        <v>239.69</v>
      </c>
      <c r="G229" s="35">
        <f>TRUNC(E229*F229,2)</f>
        <v>239.69</v>
      </c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</row>
    <row r="230" spans="1:97" s="31" customFormat="1" ht="15.75">
      <c r="A230" s="46"/>
      <c r="B230" s="32" t="s">
        <v>33</v>
      </c>
      <c r="C230" s="33" t="s">
        <v>34</v>
      </c>
      <c r="D230" s="65" t="s">
        <v>0</v>
      </c>
      <c r="E230" s="32">
        <v>0.618</v>
      </c>
      <c r="F230" s="34">
        <f>TRUNC(15.69,2)</f>
        <v>15.69</v>
      </c>
      <c r="G230" s="35">
        <f>TRUNC(E230*F230,2)</f>
        <v>9.69</v>
      </c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</row>
    <row r="231" spans="1:97" s="31" customFormat="1" ht="30">
      <c r="A231" s="46"/>
      <c r="B231" s="32" t="s">
        <v>169</v>
      </c>
      <c r="C231" s="33" t="s">
        <v>170</v>
      </c>
      <c r="D231" s="65" t="s">
        <v>3</v>
      </c>
      <c r="E231" s="32">
        <v>1</v>
      </c>
      <c r="F231" s="34">
        <f>TRUNC(230,2)</f>
        <v>230</v>
      </c>
      <c r="G231" s="35">
        <f>TRUNC(E231*F231,2)</f>
        <v>230</v>
      </c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</row>
    <row r="232" spans="1:97" s="31" customFormat="1" ht="15.75">
      <c r="A232" s="46"/>
      <c r="B232" s="32"/>
      <c r="C232" s="33"/>
      <c r="D232" s="65"/>
      <c r="E232" s="32" t="s">
        <v>1</v>
      </c>
      <c r="F232" s="34"/>
      <c r="G232" s="35">
        <f>TRUNC(SUM(G230:G231),2)</f>
        <v>239.69</v>
      </c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</row>
    <row r="233" spans="1:97" s="238" customFormat="1" ht="18.75">
      <c r="A233" s="230" t="s">
        <v>26</v>
      </c>
      <c r="B233" s="231"/>
      <c r="C233" s="232"/>
      <c r="D233" s="233" t="s">
        <v>210</v>
      </c>
      <c r="E233" s="234"/>
      <c r="F233" s="235"/>
      <c r="G233" s="236">
        <f>G224+G228</f>
        <v>6702.73</v>
      </c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  <c r="AB233" s="237"/>
      <c r="AC233" s="237"/>
      <c r="AD233" s="237"/>
      <c r="AE233" s="237"/>
      <c r="AF233" s="237"/>
      <c r="AG233" s="237"/>
      <c r="AH233" s="237"/>
      <c r="AI233" s="237"/>
      <c r="AJ233" s="237"/>
      <c r="AK233" s="237"/>
      <c r="AL233" s="237"/>
      <c r="AM233" s="237"/>
      <c r="AN233" s="237"/>
      <c r="AO233" s="237"/>
      <c r="AP233" s="237"/>
      <c r="AQ233" s="237"/>
      <c r="AR233" s="237"/>
      <c r="AS233" s="237"/>
      <c r="AT233" s="237"/>
      <c r="AU233" s="237"/>
      <c r="AV233" s="237"/>
      <c r="AW233" s="237"/>
      <c r="AX233" s="237"/>
      <c r="AY233" s="237"/>
      <c r="AZ233" s="237"/>
      <c r="BA233" s="237"/>
      <c r="BB233" s="237"/>
      <c r="BC233" s="237"/>
      <c r="BD233" s="237"/>
      <c r="BE233" s="237"/>
      <c r="BF233" s="237"/>
      <c r="BG233" s="237"/>
      <c r="BH233" s="237"/>
      <c r="BI233" s="237"/>
      <c r="BJ233" s="237"/>
      <c r="BK233" s="237"/>
      <c r="BL233" s="237"/>
      <c r="BM233" s="237"/>
      <c r="BN233" s="237"/>
      <c r="BO233" s="237"/>
      <c r="BP233" s="237"/>
      <c r="BQ233" s="237"/>
      <c r="BR233" s="237"/>
      <c r="BS233" s="237"/>
      <c r="BT233" s="237"/>
      <c r="BU233" s="237"/>
      <c r="BV233" s="237"/>
      <c r="BW233" s="237"/>
      <c r="BX233" s="237"/>
      <c r="BY233" s="237"/>
      <c r="BZ233" s="237"/>
      <c r="CA233" s="237"/>
      <c r="CB233" s="237"/>
      <c r="CC233" s="237"/>
      <c r="CD233" s="237"/>
      <c r="CE233" s="237"/>
      <c r="CF233" s="237"/>
      <c r="CG233" s="237"/>
      <c r="CH233" s="237"/>
      <c r="CI233" s="237"/>
      <c r="CJ233" s="237"/>
      <c r="CK233" s="237"/>
      <c r="CL233" s="237"/>
      <c r="CM233" s="237"/>
      <c r="CN233" s="237"/>
      <c r="CO233" s="237"/>
      <c r="CP233" s="237"/>
      <c r="CQ233" s="237"/>
      <c r="CR233" s="237"/>
      <c r="CS233" s="237"/>
    </row>
    <row r="234" spans="1:97" s="39" customFormat="1" ht="15.75">
      <c r="A234" s="47" t="s">
        <v>26</v>
      </c>
      <c r="B234" s="40"/>
      <c r="C234" s="41"/>
      <c r="D234" s="162" t="s">
        <v>27</v>
      </c>
      <c r="E234" s="163"/>
      <c r="F234" s="164"/>
      <c r="G234" s="49">
        <f>G82+G126+G173+G208+G222+G233</f>
        <v>192893.56000000003</v>
      </c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</row>
    <row r="249" ht="15">
      <c r="D249" s="59"/>
    </row>
    <row r="252" ht="15">
      <c r="B252" s="59"/>
    </row>
    <row r="255" ht="15">
      <c r="G255" s="44"/>
    </row>
    <row r="256" ht="15">
      <c r="G256" s="44"/>
    </row>
    <row r="257" ht="15">
      <c r="G257" s="44"/>
    </row>
    <row r="258" ht="15">
      <c r="G258" s="44"/>
    </row>
    <row r="259" ht="15">
      <c r="G259" s="44"/>
    </row>
    <row r="261" ht="15">
      <c r="G261" s="44"/>
    </row>
    <row r="307" ht="15">
      <c r="G307" s="44"/>
    </row>
  </sheetData>
  <sheetProtection/>
  <mergeCells count="20">
    <mergeCell ref="D3:G3"/>
    <mergeCell ref="D4:G4"/>
    <mergeCell ref="D5:G5"/>
    <mergeCell ref="D6:G6"/>
    <mergeCell ref="D7:G7"/>
    <mergeCell ref="D233:F233"/>
    <mergeCell ref="D8:G8"/>
    <mergeCell ref="D10:D11"/>
    <mergeCell ref="D234:F234"/>
    <mergeCell ref="A9:G9"/>
    <mergeCell ref="A10:A11"/>
    <mergeCell ref="B10:B11"/>
    <mergeCell ref="F10:G10"/>
    <mergeCell ref="C10:C11"/>
    <mergeCell ref="D208:F208"/>
    <mergeCell ref="E10:E11"/>
    <mergeCell ref="D222:F222"/>
    <mergeCell ref="D173:F173"/>
    <mergeCell ref="D126:F126"/>
    <mergeCell ref="D82:F82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46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23"/>
  <sheetViews>
    <sheetView view="pageBreakPreview" zoomScale="80" zoomScaleSheetLayoutView="80" zoomScalePageLayoutView="0" workbookViewId="0" topLeftCell="A41">
      <selection activeCell="E51" sqref="E51"/>
    </sheetView>
  </sheetViews>
  <sheetFormatPr defaultColWidth="9.140625" defaultRowHeight="15"/>
  <cols>
    <col min="1" max="1" width="9.140625" style="42" customWidth="1"/>
    <col min="2" max="2" width="23.7109375" style="0" customWidth="1"/>
    <col min="3" max="3" width="104.00390625" style="1" customWidth="1"/>
    <col min="4" max="4" width="14.57421875" style="0" customWidth="1"/>
    <col min="5" max="5" width="11.7109375" style="0" customWidth="1"/>
    <col min="6" max="6" width="17.57421875" style="0" bestFit="1" customWidth="1"/>
    <col min="7" max="7" width="21.421875" style="0" bestFit="1" customWidth="1"/>
    <col min="8" max="8" width="9.140625" style="50" customWidth="1"/>
    <col min="9" max="10" width="9.8515625" style="50" bestFit="1" customWidth="1"/>
    <col min="11" max="97" width="9.140625" style="50" customWidth="1"/>
  </cols>
  <sheetData>
    <row r="1" spans="1:7" ht="15.75">
      <c r="A1" s="2"/>
      <c r="B1" s="3"/>
      <c r="C1" s="4" t="s">
        <v>5</v>
      </c>
      <c r="D1" s="5"/>
      <c r="E1" s="6"/>
      <c r="F1" s="7"/>
      <c r="G1" s="7"/>
    </row>
    <row r="2" spans="1:7" ht="15.75">
      <c r="A2" s="8"/>
      <c r="B2" s="9"/>
      <c r="C2" s="10" t="s">
        <v>6</v>
      </c>
      <c r="D2" s="11"/>
      <c r="E2" s="12"/>
      <c r="F2" s="13"/>
      <c r="G2" s="13"/>
    </row>
    <row r="3" spans="1:7" ht="15.75">
      <c r="A3" s="8"/>
      <c r="B3" s="9"/>
      <c r="C3" s="10" t="s">
        <v>37</v>
      </c>
      <c r="D3" s="175" t="s">
        <v>175</v>
      </c>
      <c r="E3" s="176"/>
      <c r="F3" s="176"/>
      <c r="G3" s="177"/>
    </row>
    <row r="4" spans="1:7" ht="15.75" customHeight="1">
      <c r="A4" s="8"/>
      <c r="B4" s="9"/>
      <c r="C4" s="14" t="s">
        <v>174</v>
      </c>
      <c r="D4" s="178" t="s">
        <v>176</v>
      </c>
      <c r="E4" s="179"/>
      <c r="F4" s="179"/>
      <c r="G4" s="180"/>
    </row>
    <row r="5" spans="1:7" ht="15.75">
      <c r="A5" s="8"/>
      <c r="B5" s="9"/>
      <c r="C5" s="37" t="s">
        <v>298</v>
      </c>
      <c r="D5" s="181" t="s">
        <v>178</v>
      </c>
      <c r="E5" s="182"/>
      <c r="F5" s="182"/>
      <c r="G5" s="183"/>
    </row>
    <row r="6" spans="1:7" ht="15.75">
      <c r="A6" s="8"/>
      <c r="B6" s="9"/>
      <c r="C6" s="15" t="s">
        <v>181</v>
      </c>
      <c r="D6" s="184" t="s">
        <v>177</v>
      </c>
      <c r="E6" s="185"/>
      <c r="F6" s="185"/>
      <c r="G6" s="186"/>
    </row>
    <row r="7" spans="1:7" ht="15.75">
      <c r="A7" s="8"/>
      <c r="B7" s="9"/>
      <c r="C7" s="38"/>
      <c r="D7" s="184" t="s">
        <v>179</v>
      </c>
      <c r="E7" s="185"/>
      <c r="F7" s="185"/>
      <c r="G7" s="186"/>
    </row>
    <row r="8" spans="1:7" ht="15.75">
      <c r="A8" s="16"/>
      <c r="B8" s="17"/>
      <c r="C8" s="18"/>
      <c r="D8" s="167" t="s">
        <v>180</v>
      </c>
      <c r="E8" s="168"/>
      <c r="F8" s="168"/>
      <c r="G8" s="169"/>
    </row>
    <row r="9" spans="1:7" ht="15">
      <c r="A9" s="172" t="s">
        <v>7</v>
      </c>
      <c r="B9" s="173"/>
      <c r="C9" s="173"/>
      <c r="D9" s="173"/>
      <c r="E9" s="173"/>
      <c r="F9" s="173"/>
      <c r="G9" s="173"/>
    </row>
    <row r="10" spans="1:7" ht="15.75">
      <c r="A10" s="170" t="s">
        <v>8</v>
      </c>
      <c r="B10" s="161" t="s">
        <v>9</v>
      </c>
      <c r="C10" s="160" t="s">
        <v>10</v>
      </c>
      <c r="D10" s="170" t="s">
        <v>3</v>
      </c>
      <c r="E10" s="165" t="s">
        <v>11</v>
      </c>
      <c r="F10" s="165" t="s">
        <v>12</v>
      </c>
      <c r="G10" s="165"/>
    </row>
    <row r="11" spans="1:7" ht="15.75">
      <c r="A11" s="171"/>
      <c r="B11" s="174"/>
      <c r="C11" s="161"/>
      <c r="D11" s="171"/>
      <c r="E11" s="166"/>
      <c r="F11" s="19" t="s">
        <v>13</v>
      </c>
      <c r="G11" s="20" t="s">
        <v>1</v>
      </c>
    </row>
    <row r="12" spans="1:97" s="28" customFormat="1" ht="15.75">
      <c r="A12" s="45" t="s">
        <v>4</v>
      </c>
      <c r="B12" s="29"/>
      <c r="C12" s="30" t="s">
        <v>38</v>
      </c>
      <c r="D12" s="29"/>
      <c r="E12" s="29"/>
      <c r="F12" s="29"/>
      <c r="G12" s="48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</row>
    <row r="13" spans="1:7" ht="45">
      <c r="A13" s="43" t="s">
        <v>2</v>
      </c>
      <c r="B13" s="21" t="s">
        <v>41</v>
      </c>
      <c r="C13" s="22" t="s">
        <v>42</v>
      </c>
      <c r="D13" s="43" t="s">
        <v>30</v>
      </c>
      <c r="E13" s="36">
        <v>6</v>
      </c>
      <c r="F13" s="21">
        <v>463.42</v>
      </c>
      <c r="G13" s="54">
        <f>TRUNC((E13*F13),2)</f>
        <v>2780.52</v>
      </c>
    </row>
    <row r="14" spans="1:7" ht="60">
      <c r="A14" s="43" t="s">
        <v>36</v>
      </c>
      <c r="B14" s="21" t="s">
        <v>271</v>
      </c>
      <c r="C14" s="22" t="s">
        <v>272</v>
      </c>
      <c r="D14" s="43" t="s">
        <v>30</v>
      </c>
      <c r="E14" s="36">
        <v>12</v>
      </c>
      <c r="F14" s="21">
        <v>470.02</v>
      </c>
      <c r="G14" s="54">
        <f aca="true" t="shared" si="0" ref="G14:G21">TRUNC((E14*F14),2)</f>
        <v>5640.24</v>
      </c>
    </row>
    <row r="15" spans="1:7" ht="75">
      <c r="A15" s="43" t="s">
        <v>39</v>
      </c>
      <c r="B15" s="21" t="s">
        <v>283</v>
      </c>
      <c r="C15" s="22" t="s">
        <v>284</v>
      </c>
      <c r="D15" s="43" t="s">
        <v>285</v>
      </c>
      <c r="E15" s="36">
        <v>4</v>
      </c>
      <c r="F15" s="21">
        <v>850</v>
      </c>
      <c r="G15" s="54">
        <f t="shared" si="0"/>
        <v>3400</v>
      </c>
    </row>
    <row r="16" spans="1:7" ht="45">
      <c r="A16" s="43" t="s">
        <v>40</v>
      </c>
      <c r="B16" s="21" t="s">
        <v>62</v>
      </c>
      <c r="C16" s="22" t="s">
        <v>63</v>
      </c>
      <c r="D16" s="43" t="s">
        <v>64</v>
      </c>
      <c r="E16" s="36">
        <v>4.746</v>
      </c>
      <c r="F16" s="21">
        <v>87.29</v>
      </c>
      <c r="G16" s="54">
        <f t="shared" si="0"/>
        <v>414.27</v>
      </c>
    </row>
    <row r="17" spans="1:7" ht="60">
      <c r="A17" s="43" t="s">
        <v>60</v>
      </c>
      <c r="B17" s="21" t="s">
        <v>67</v>
      </c>
      <c r="C17" s="22" t="s">
        <v>68</v>
      </c>
      <c r="D17" s="43" t="s">
        <v>64</v>
      </c>
      <c r="E17" s="36">
        <v>9.79</v>
      </c>
      <c r="F17" s="21">
        <v>322.34</v>
      </c>
      <c r="G17" s="54">
        <f t="shared" si="0"/>
        <v>3155.7</v>
      </c>
    </row>
    <row r="18" spans="1:7" ht="30">
      <c r="A18" s="43" t="s">
        <v>291</v>
      </c>
      <c r="B18" s="21" t="s">
        <v>292</v>
      </c>
      <c r="C18" s="22" t="s">
        <v>293</v>
      </c>
      <c r="D18" s="43" t="s">
        <v>30</v>
      </c>
      <c r="E18" s="36">
        <f>(1.5*1.3*62)+((10.1+11.7)*3.1)+(1*2.8)+(3.06*2.8)</f>
        <v>199.84800000000004</v>
      </c>
      <c r="F18" s="21">
        <v>17.04</v>
      </c>
      <c r="G18" s="54">
        <f t="shared" si="0"/>
        <v>3405.4</v>
      </c>
    </row>
    <row r="19" spans="1:7" ht="45">
      <c r="A19" s="43" t="s">
        <v>289</v>
      </c>
      <c r="B19" s="21" t="s">
        <v>183</v>
      </c>
      <c r="C19" s="22" t="s">
        <v>184</v>
      </c>
      <c r="D19" s="43" t="s">
        <v>64</v>
      </c>
      <c r="E19" s="36">
        <v>55.86</v>
      </c>
      <c r="F19" s="21">
        <v>57.95</v>
      </c>
      <c r="G19" s="54">
        <f t="shared" si="0"/>
        <v>3237.08</v>
      </c>
    </row>
    <row r="20" spans="1:97" s="31" customFormat="1" ht="45">
      <c r="A20" s="43" t="s">
        <v>290</v>
      </c>
      <c r="B20" s="109" t="s">
        <v>185</v>
      </c>
      <c r="C20" s="110" t="s">
        <v>186</v>
      </c>
      <c r="D20" s="108" t="s">
        <v>64</v>
      </c>
      <c r="E20" s="131">
        <v>33.34</v>
      </c>
      <c r="F20" s="109">
        <v>22.66</v>
      </c>
      <c r="G20" s="54">
        <f t="shared" si="0"/>
        <v>755.48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</row>
    <row r="21" spans="1:97" s="31" customFormat="1" ht="60">
      <c r="A21" s="108" t="s">
        <v>299</v>
      </c>
      <c r="B21" s="109" t="s">
        <v>300</v>
      </c>
      <c r="C21" s="110" t="s">
        <v>301</v>
      </c>
      <c r="D21" s="108" t="s">
        <v>30</v>
      </c>
      <c r="E21" s="131">
        <v>262.5</v>
      </c>
      <c r="F21" s="109">
        <v>30.88</v>
      </c>
      <c r="G21" s="54">
        <f t="shared" si="0"/>
        <v>8106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</row>
    <row r="22" spans="1:97" s="31" customFormat="1" ht="15.75">
      <c r="A22" s="55" t="s">
        <v>26</v>
      </c>
      <c r="B22" s="56"/>
      <c r="C22" s="57"/>
      <c r="D22" s="162" t="s">
        <v>205</v>
      </c>
      <c r="E22" s="163"/>
      <c r="F22" s="164"/>
      <c r="G22" s="58">
        <f>SUM(G13:G21)</f>
        <v>30894.69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</row>
    <row r="23" spans="1:97" s="28" customFormat="1" ht="15.75">
      <c r="A23" s="91" t="s">
        <v>61</v>
      </c>
      <c r="B23" s="92"/>
      <c r="C23" s="93" t="s">
        <v>116</v>
      </c>
      <c r="D23" s="92"/>
      <c r="E23" s="92"/>
      <c r="F23" s="92"/>
      <c r="G23" s="94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</row>
    <row r="24" spans="1:7" ht="45">
      <c r="A24" s="43" t="s">
        <v>71</v>
      </c>
      <c r="B24" s="21" t="s">
        <v>69</v>
      </c>
      <c r="C24" s="22" t="s">
        <v>70</v>
      </c>
      <c r="D24" s="43" t="s">
        <v>30</v>
      </c>
      <c r="E24" s="36">
        <v>171.73</v>
      </c>
      <c r="F24" s="21">
        <v>11.93</v>
      </c>
      <c r="G24" s="54">
        <f>TRUNC((E24*F24),2)</f>
        <v>2048.73</v>
      </c>
    </row>
    <row r="25" spans="1:7" ht="45">
      <c r="A25" s="43" t="s">
        <v>199</v>
      </c>
      <c r="B25" s="21" t="s">
        <v>119</v>
      </c>
      <c r="C25" s="22" t="s">
        <v>120</v>
      </c>
      <c r="D25" s="43" t="s">
        <v>48</v>
      </c>
      <c r="E25" s="36">
        <v>118.37</v>
      </c>
      <c r="F25" s="21">
        <v>18.75</v>
      </c>
      <c r="G25" s="54">
        <f>TRUNC((E25*F25),2)</f>
        <v>2219.43</v>
      </c>
    </row>
    <row r="26" spans="1:7" ht="60">
      <c r="A26" s="43" t="s">
        <v>200</v>
      </c>
      <c r="B26" s="21" t="s">
        <v>121</v>
      </c>
      <c r="C26" s="22" t="s">
        <v>122</v>
      </c>
      <c r="D26" s="43" t="s">
        <v>48</v>
      </c>
      <c r="E26" s="36">
        <v>118.37</v>
      </c>
      <c r="F26" s="21">
        <v>65.96</v>
      </c>
      <c r="G26" s="54">
        <f>TRUNC((E26*F26),2)</f>
        <v>7807.68</v>
      </c>
    </row>
    <row r="27" spans="1:7" ht="45">
      <c r="A27" s="43" t="s">
        <v>201</v>
      </c>
      <c r="B27" s="21" t="s">
        <v>135</v>
      </c>
      <c r="C27" s="22" t="s">
        <v>136</v>
      </c>
      <c r="D27" s="43" t="s">
        <v>30</v>
      </c>
      <c r="E27" s="36">
        <v>171.73</v>
      </c>
      <c r="F27" s="21">
        <v>99.31</v>
      </c>
      <c r="G27" s="54">
        <f>TRUNC((E27*F27),2)</f>
        <v>17054.5</v>
      </c>
    </row>
    <row r="28" spans="1:7" ht="60">
      <c r="A28" s="43" t="s">
        <v>202</v>
      </c>
      <c r="B28" s="21" t="s">
        <v>165</v>
      </c>
      <c r="C28" s="22" t="s">
        <v>164</v>
      </c>
      <c r="D28" s="43" t="s">
        <v>30</v>
      </c>
      <c r="E28" s="36">
        <v>30.009999999999998</v>
      </c>
      <c r="F28" s="21">
        <v>133.72</v>
      </c>
      <c r="G28" s="54">
        <f>TRUNC((E28*F28),2)</f>
        <v>4012.93</v>
      </c>
    </row>
    <row r="29" spans="1:7" ht="15.75">
      <c r="A29" s="43"/>
      <c r="B29" s="21"/>
      <c r="C29" s="22"/>
      <c r="D29" s="43"/>
      <c r="E29" s="36"/>
      <c r="F29" s="21"/>
      <c r="G29" s="54"/>
    </row>
    <row r="30" spans="1:97" s="31" customFormat="1" ht="15.75">
      <c r="A30" s="55" t="s">
        <v>26</v>
      </c>
      <c r="B30" s="56"/>
      <c r="C30" s="57"/>
      <c r="D30" s="162" t="s">
        <v>206</v>
      </c>
      <c r="E30" s="163"/>
      <c r="F30" s="164"/>
      <c r="G30" s="58">
        <f>SUM(G24:G29)</f>
        <v>33143.27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</row>
    <row r="31" spans="1:97" s="28" customFormat="1" ht="15.75">
      <c r="A31" s="91" t="s">
        <v>72</v>
      </c>
      <c r="B31" s="92"/>
      <c r="C31" s="93" t="s">
        <v>203</v>
      </c>
      <c r="D31" s="92"/>
      <c r="E31" s="92"/>
      <c r="F31" s="92"/>
      <c r="G31" s="9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</row>
    <row r="32" spans="1:7" ht="90">
      <c r="A32" s="43" t="s">
        <v>100</v>
      </c>
      <c r="B32" s="21" t="s">
        <v>98</v>
      </c>
      <c r="C32" s="22" t="s">
        <v>214</v>
      </c>
      <c r="D32" s="43" t="s">
        <v>64</v>
      </c>
      <c r="E32" s="36">
        <v>20.85</v>
      </c>
      <c r="F32" s="21">
        <v>1760.53</v>
      </c>
      <c r="G32" s="54">
        <f>TRUNC((E32*F32),2)</f>
        <v>36707.05</v>
      </c>
    </row>
    <row r="33" spans="1:7" ht="60">
      <c r="A33" s="43" t="s">
        <v>101</v>
      </c>
      <c r="B33" s="21" t="s">
        <v>215</v>
      </c>
      <c r="C33" s="22" t="s">
        <v>216</v>
      </c>
      <c r="D33" s="43" t="s">
        <v>30</v>
      </c>
      <c r="E33" s="36">
        <v>212</v>
      </c>
      <c r="F33" s="124">
        <v>69.06</v>
      </c>
      <c r="G33" s="54">
        <f>TRUNC((E33*F33),2)</f>
        <v>14640.72</v>
      </c>
    </row>
    <row r="34" spans="1:97" s="31" customFormat="1" ht="45">
      <c r="A34" s="108" t="s">
        <v>204</v>
      </c>
      <c r="B34" s="109" t="s">
        <v>102</v>
      </c>
      <c r="C34" s="110" t="s">
        <v>103</v>
      </c>
      <c r="D34" s="108" t="s">
        <v>30</v>
      </c>
      <c r="E34" s="111">
        <v>448.12</v>
      </c>
      <c r="F34" s="109">
        <v>31.42</v>
      </c>
      <c r="G34" s="54">
        <f>TRUNC((E34*F34),2)</f>
        <v>14079.93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</row>
    <row r="35" spans="1:97" s="31" customFormat="1" ht="45">
      <c r="A35" s="108" t="s">
        <v>228</v>
      </c>
      <c r="B35" s="109" t="s">
        <v>230</v>
      </c>
      <c r="C35" s="110" t="s">
        <v>229</v>
      </c>
      <c r="D35" s="108" t="s">
        <v>48</v>
      </c>
      <c r="E35" s="111">
        <v>122.32</v>
      </c>
      <c r="F35" s="125">
        <v>53.55</v>
      </c>
      <c r="G35" s="54">
        <f>TRUNC((E35*F35),2)</f>
        <v>6550.23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</row>
    <row r="36" spans="1:97" s="31" customFormat="1" ht="15.75">
      <c r="A36" s="55" t="s">
        <v>26</v>
      </c>
      <c r="B36" s="56"/>
      <c r="C36" s="57"/>
      <c r="D36" s="162" t="s">
        <v>207</v>
      </c>
      <c r="E36" s="163"/>
      <c r="F36" s="164"/>
      <c r="G36" s="58">
        <f>SUM(G32:G35)</f>
        <v>71977.93000000001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</row>
    <row r="37" spans="1:97" s="28" customFormat="1" ht="15.75">
      <c r="A37" s="91" t="s">
        <v>99</v>
      </c>
      <c r="B37" s="92"/>
      <c r="C37" s="93" t="s">
        <v>296</v>
      </c>
      <c r="D37" s="92"/>
      <c r="E37" s="92"/>
      <c r="F37" s="92"/>
      <c r="G37" s="94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</row>
    <row r="38" spans="1:97" s="31" customFormat="1" ht="45">
      <c r="A38" s="108" t="s">
        <v>108</v>
      </c>
      <c r="B38" s="109" t="s">
        <v>28</v>
      </c>
      <c r="C38" s="110" t="s">
        <v>250</v>
      </c>
      <c r="D38" s="108" t="s">
        <v>30</v>
      </c>
      <c r="E38" s="111">
        <v>129.67</v>
      </c>
      <c r="F38" s="109">
        <v>206.12</v>
      </c>
      <c r="G38" s="54">
        <f>TRUNC((E38*F38),2)</f>
        <v>26727.58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</row>
    <row r="39" spans="1:97" s="31" customFormat="1" ht="45">
      <c r="A39" s="108" t="s">
        <v>109</v>
      </c>
      <c r="B39" s="109" t="s">
        <v>35</v>
      </c>
      <c r="C39" s="110" t="s">
        <v>252</v>
      </c>
      <c r="D39" s="108" t="s">
        <v>245</v>
      </c>
      <c r="E39" s="111">
        <v>1</v>
      </c>
      <c r="F39" s="109">
        <v>3104.17</v>
      </c>
      <c r="G39" s="54">
        <f>TRUNC((E39*F39),2)</f>
        <v>3104.17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</row>
    <row r="40" spans="1:97" s="31" customFormat="1" ht="45">
      <c r="A40" s="108" t="s">
        <v>246</v>
      </c>
      <c r="B40" s="109" t="s">
        <v>35</v>
      </c>
      <c r="C40" s="110" t="s">
        <v>244</v>
      </c>
      <c r="D40" s="108" t="s">
        <v>245</v>
      </c>
      <c r="E40" s="111">
        <v>1</v>
      </c>
      <c r="F40" s="109">
        <v>6983.28</v>
      </c>
      <c r="G40" s="54">
        <f>TRUNC((E40*F40),2)</f>
        <v>6983.28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</row>
    <row r="41" spans="1:97" s="31" customFormat="1" ht="15.75">
      <c r="A41" s="55" t="s">
        <v>26</v>
      </c>
      <c r="B41" s="56"/>
      <c r="C41" s="57"/>
      <c r="D41" s="162" t="s">
        <v>208</v>
      </c>
      <c r="E41" s="163"/>
      <c r="F41" s="164"/>
      <c r="G41" s="58">
        <f>SUM(G38:G40)</f>
        <v>36815.03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</row>
    <row r="42" spans="1:97" s="28" customFormat="1" ht="15.75">
      <c r="A42" s="91" t="s">
        <v>110</v>
      </c>
      <c r="B42" s="92"/>
      <c r="C42" s="93" t="s">
        <v>111</v>
      </c>
      <c r="D42" s="92"/>
      <c r="E42" s="92"/>
      <c r="F42" s="92"/>
      <c r="G42" s="94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</row>
    <row r="43" spans="1:97" s="31" customFormat="1" ht="15.75">
      <c r="A43" s="108" t="s">
        <v>112</v>
      </c>
      <c r="B43" s="109" t="s">
        <v>233</v>
      </c>
      <c r="C43" s="110" t="s">
        <v>234</v>
      </c>
      <c r="D43" s="108" t="s">
        <v>30</v>
      </c>
      <c r="E43" s="111">
        <v>448.12</v>
      </c>
      <c r="F43" s="125">
        <v>15.29</v>
      </c>
      <c r="G43" s="54">
        <f>TRUNC((E43*F43),2)</f>
        <v>6851.75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</row>
    <row r="44" spans="1:97" s="31" customFormat="1" ht="30">
      <c r="A44" s="108" t="s">
        <v>235</v>
      </c>
      <c r="B44" s="109" t="s">
        <v>236</v>
      </c>
      <c r="C44" s="110" t="s">
        <v>237</v>
      </c>
      <c r="D44" s="108" t="s">
        <v>30</v>
      </c>
      <c r="E44" s="111">
        <v>448.12</v>
      </c>
      <c r="F44" s="125">
        <v>17.1</v>
      </c>
      <c r="G44" s="54">
        <f>TRUNC((E44*F44),2)</f>
        <v>7662.85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</row>
    <row r="45" spans="1:97" s="31" customFormat="1" ht="15.75">
      <c r="A45" s="55" t="s">
        <v>26</v>
      </c>
      <c r="B45" s="56"/>
      <c r="C45" s="57"/>
      <c r="D45" s="162" t="s">
        <v>209</v>
      </c>
      <c r="E45" s="163"/>
      <c r="F45" s="164"/>
      <c r="G45" s="58">
        <f>SUM(G43:G44)</f>
        <v>14514.6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</row>
    <row r="46" spans="1:97" s="28" customFormat="1" ht="15.75">
      <c r="A46" s="91" t="s">
        <v>115</v>
      </c>
      <c r="B46" s="92"/>
      <c r="C46" s="93" t="s">
        <v>166</v>
      </c>
      <c r="D46" s="92"/>
      <c r="E46" s="92"/>
      <c r="F46" s="92"/>
      <c r="G46" s="94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</row>
    <row r="47" spans="1:7" ht="45">
      <c r="A47" s="43" t="s">
        <v>117</v>
      </c>
      <c r="B47" s="21" t="s">
        <v>231</v>
      </c>
      <c r="C47" s="22" t="s">
        <v>232</v>
      </c>
      <c r="D47" s="43" t="s">
        <v>64</v>
      </c>
      <c r="E47" s="36">
        <v>69.96</v>
      </c>
      <c r="F47" s="21">
        <v>23.86</v>
      </c>
      <c r="G47" s="54">
        <f>TRUNC((E47*F47),2)</f>
        <v>1669.24</v>
      </c>
    </row>
    <row r="48" spans="1:7" ht="60">
      <c r="A48" s="43" t="s">
        <v>118</v>
      </c>
      <c r="B48" s="21" t="s">
        <v>167</v>
      </c>
      <c r="C48" s="22" t="s">
        <v>168</v>
      </c>
      <c r="D48" s="43" t="s">
        <v>3</v>
      </c>
      <c r="E48" s="36">
        <v>21</v>
      </c>
      <c r="F48" s="21">
        <v>239.69</v>
      </c>
      <c r="G48" s="54">
        <f>TRUNC((E48*F48),2)</f>
        <v>5033.49</v>
      </c>
    </row>
    <row r="49" spans="1:97" s="31" customFormat="1" ht="15.75">
      <c r="A49" s="55" t="s">
        <v>26</v>
      </c>
      <c r="B49" s="56"/>
      <c r="C49" s="57"/>
      <c r="D49" s="162" t="s">
        <v>210</v>
      </c>
      <c r="E49" s="163"/>
      <c r="F49" s="164"/>
      <c r="G49" s="58">
        <f>SUM(G47:G48)</f>
        <v>6702.73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</row>
    <row r="50" spans="1:97" s="39" customFormat="1" ht="15.75">
      <c r="A50" s="47" t="s">
        <v>26</v>
      </c>
      <c r="B50" s="40"/>
      <c r="C50" s="41"/>
      <c r="D50" s="162" t="s">
        <v>27</v>
      </c>
      <c r="E50" s="163"/>
      <c r="F50" s="164"/>
      <c r="G50" s="49">
        <f>G22+G30+G36+G41+G45+G49</f>
        <v>194048.25000000003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</row>
    <row r="65" spans="1:7" s="50" customFormat="1" ht="15">
      <c r="A65" s="42"/>
      <c r="B65"/>
      <c r="C65" s="1"/>
      <c r="D65" s="59"/>
      <c r="E65"/>
      <c r="F65"/>
      <c r="G65"/>
    </row>
    <row r="68" spans="1:7" s="50" customFormat="1" ht="15">
      <c r="A68" s="42"/>
      <c r="B68" s="59"/>
      <c r="C68" s="1"/>
      <c r="D68"/>
      <c r="E68"/>
      <c r="F68"/>
      <c r="G68"/>
    </row>
    <row r="71" spans="1:7" s="50" customFormat="1" ht="15">
      <c r="A71" s="42"/>
      <c r="B71"/>
      <c r="C71" s="1"/>
      <c r="D71"/>
      <c r="E71"/>
      <c r="F71"/>
      <c r="G71" s="44"/>
    </row>
    <row r="72" spans="1:7" s="50" customFormat="1" ht="15">
      <c r="A72" s="42"/>
      <c r="B72"/>
      <c r="C72" s="1"/>
      <c r="D72"/>
      <c r="E72"/>
      <c r="F72"/>
      <c r="G72" s="44"/>
    </row>
    <row r="73" spans="1:7" s="50" customFormat="1" ht="15">
      <c r="A73" s="42"/>
      <c r="B73"/>
      <c r="C73" s="1"/>
      <c r="D73"/>
      <c r="E73"/>
      <c r="F73"/>
      <c r="G73" s="44"/>
    </row>
    <row r="74" spans="1:7" s="50" customFormat="1" ht="15">
      <c r="A74" s="42"/>
      <c r="B74"/>
      <c r="C74" s="1"/>
      <c r="D74"/>
      <c r="E74"/>
      <c r="F74"/>
      <c r="G74" s="44"/>
    </row>
    <row r="75" spans="1:7" s="50" customFormat="1" ht="15">
      <c r="A75" s="42"/>
      <c r="B75"/>
      <c r="C75" s="1"/>
      <c r="D75"/>
      <c r="E75"/>
      <c r="F75"/>
      <c r="G75" s="44"/>
    </row>
    <row r="77" spans="1:7" s="50" customFormat="1" ht="15">
      <c r="A77" s="42"/>
      <c r="B77"/>
      <c r="C77" s="1"/>
      <c r="D77"/>
      <c r="E77"/>
      <c r="F77"/>
      <c r="G77" s="44"/>
    </row>
    <row r="123" spans="1:7" s="50" customFormat="1" ht="15">
      <c r="A123" s="42"/>
      <c r="B123"/>
      <c r="C123" s="1"/>
      <c r="D123"/>
      <c r="E123"/>
      <c r="F123"/>
      <c r="G123" s="44"/>
    </row>
  </sheetData>
  <sheetProtection/>
  <mergeCells count="20">
    <mergeCell ref="D50:F50"/>
    <mergeCell ref="D22:F22"/>
    <mergeCell ref="D30:F30"/>
    <mergeCell ref="D36:F36"/>
    <mergeCell ref="D41:F41"/>
    <mergeCell ref="D45:F45"/>
    <mergeCell ref="D49:F49"/>
    <mergeCell ref="A9:G9"/>
    <mergeCell ref="A10:A11"/>
    <mergeCell ref="B10:B11"/>
    <mergeCell ref="C10:C11"/>
    <mergeCell ref="D10:D11"/>
    <mergeCell ref="E10:E11"/>
    <mergeCell ref="F10:G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46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50"/>
  <sheetViews>
    <sheetView view="pageBreakPreview" zoomScale="80" zoomScaleSheetLayoutView="80" zoomScalePageLayoutView="0" workbookViewId="0" topLeftCell="A4">
      <selection activeCell="C5" sqref="C5"/>
    </sheetView>
  </sheetViews>
  <sheetFormatPr defaultColWidth="9.140625" defaultRowHeight="15"/>
  <cols>
    <col min="1" max="1" width="9.140625" style="42" customWidth="1"/>
    <col min="2" max="2" width="23.7109375" style="0" customWidth="1"/>
    <col min="3" max="3" width="104.00390625" style="1" customWidth="1"/>
    <col min="4" max="4" width="14.57421875" style="0" customWidth="1"/>
    <col min="5" max="5" width="11.7109375" style="0" customWidth="1"/>
    <col min="6" max="6" width="17.57421875" style="0" bestFit="1" customWidth="1"/>
    <col min="7" max="7" width="17.57421875" style="0" customWidth="1"/>
    <col min="8" max="8" width="21.421875" style="0" bestFit="1" customWidth="1"/>
    <col min="9" max="9" width="21.421875" style="0" customWidth="1"/>
    <col min="10" max="10" width="9.140625" style="50" customWidth="1"/>
    <col min="11" max="12" width="9.8515625" style="50" bestFit="1" customWidth="1"/>
    <col min="13" max="99" width="9.140625" style="50" customWidth="1"/>
  </cols>
  <sheetData>
    <row r="1" spans="1:99" ht="15.75">
      <c r="A1" s="2"/>
      <c r="B1" s="3"/>
      <c r="C1" s="4" t="s">
        <v>5</v>
      </c>
      <c r="D1" s="5"/>
      <c r="E1" s="6"/>
      <c r="F1" s="7"/>
      <c r="G1" s="7"/>
      <c r="H1" s="50"/>
      <c r="I1" s="50"/>
      <c r="CT1"/>
      <c r="CU1"/>
    </row>
    <row r="2" spans="1:99" ht="15.75">
      <c r="A2" s="8"/>
      <c r="B2" s="9"/>
      <c r="C2" s="10" t="s">
        <v>6</v>
      </c>
      <c r="D2" s="11"/>
      <c r="E2" s="12"/>
      <c r="F2" s="13"/>
      <c r="G2" s="13"/>
      <c r="H2" s="50"/>
      <c r="I2" s="50"/>
      <c r="CT2"/>
      <c r="CU2"/>
    </row>
    <row r="3" spans="1:99" ht="15.75">
      <c r="A3" s="8"/>
      <c r="B3" s="9"/>
      <c r="C3" s="10" t="s">
        <v>37</v>
      </c>
      <c r="D3" s="175" t="s">
        <v>175</v>
      </c>
      <c r="E3" s="176"/>
      <c r="F3" s="176"/>
      <c r="G3" s="177"/>
      <c r="H3" s="50"/>
      <c r="I3" s="50"/>
      <c r="CT3"/>
      <c r="CU3"/>
    </row>
    <row r="4" spans="1:99" ht="15.75" customHeight="1">
      <c r="A4" s="8"/>
      <c r="B4" s="9"/>
      <c r="C4" s="14" t="s">
        <v>174</v>
      </c>
      <c r="D4" s="178" t="s">
        <v>176</v>
      </c>
      <c r="E4" s="179"/>
      <c r="F4" s="179"/>
      <c r="G4" s="180"/>
      <c r="H4" s="50"/>
      <c r="I4" s="50"/>
      <c r="CT4"/>
      <c r="CU4"/>
    </row>
    <row r="5" spans="1:99" ht="15.75">
      <c r="A5" s="8"/>
      <c r="B5" s="9"/>
      <c r="C5" s="37" t="s">
        <v>298</v>
      </c>
      <c r="D5" s="181" t="s">
        <v>178</v>
      </c>
      <c r="E5" s="182"/>
      <c r="F5" s="182"/>
      <c r="G5" s="183"/>
      <c r="H5" s="50"/>
      <c r="I5" s="50"/>
      <c r="CT5"/>
      <c r="CU5"/>
    </row>
    <row r="6" spans="1:99" ht="15.75">
      <c r="A6" s="8"/>
      <c r="B6" s="9"/>
      <c r="C6" s="15" t="s">
        <v>181</v>
      </c>
      <c r="D6" s="184" t="s">
        <v>177</v>
      </c>
      <c r="E6" s="185"/>
      <c r="F6" s="185"/>
      <c r="G6" s="186"/>
      <c r="H6" s="50"/>
      <c r="I6" s="50"/>
      <c r="CT6"/>
      <c r="CU6"/>
    </row>
    <row r="7" spans="1:99" ht="15.75">
      <c r="A7" s="8"/>
      <c r="B7" s="9"/>
      <c r="C7" s="38"/>
      <c r="D7" s="184" t="s">
        <v>179</v>
      </c>
      <c r="E7" s="185"/>
      <c r="F7" s="185"/>
      <c r="G7" s="186"/>
      <c r="H7" s="50"/>
      <c r="I7" s="50"/>
      <c r="CT7"/>
      <c r="CU7"/>
    </row>
    <row r="8" spans="1:99" ht="15.75">
      <c r="A8" s="16"/>
      <c r="B8" s="17"/>
      <c r="C8" s="18"/>
      <c r="D8" s="167" t="s">
        <v>180</v>
      </c>
      <c r="E8" s="168"/>
      <c r="F8" s="168"/>
      <c r="G8" s="169"/>
      <c r="H8" s="50"/>
      <c r="I8" s="50"/>
      <c r="CT8"/>
      <c r="CU8"/>
    </row>
    <row r="9" spans="1:9" ht="15" customHeight="1">
      <c r="A9" s="192" t="s">
        <v>306</v>
      </c>
      <c r="B9" s="193"/>
      <c r="C9" s="193"/>
      <c r="D9" s="193"/>
      <c r="E9" s="193"/>
      <c r="F9" s="193"/>
      <c r="G9" s="193"/>
      <c r="H9" s="193"/>
      <c r="I9" s="193"/>
    </row>
    <row r="10" spans="1:9" ht="15.75">
      <c r="A10" s="194" t="s">
        <v>8</v>
      </c>
      <c r="B10" s="196" t="s">
        <v>9</v>
      </c>
      <c r="C10" s="198" t="s">
        <v>10</v>
      </c>
      <c r="D10" s="194" t="s">
        <v>3</v>
      </c>
      <c r="E10" s="187" t="s">
        <v>11</v>
      </c>
      <c r="F10" s="189" t="s">
        <v>12</v>
      </c>
      <c r="G10" s="190"/>
      <c r="H10" s="190"/>
      <c r="I10" s="191"/>
    </row>
    <row r="11" spans="1:9" ht="15.75">
      <c r="A11" s="195"/>
      <c r="B11" s="197"/>
      <c r="C11" s="196"/>
      <c r="D11" s="195"/>
      <c r="E11" s="188"/>
      <c r="F11" s="95" t="s">
        <v>13</v>
      </c>
      <c r="G11" s="96" t="s">
        <v>171</v>
      </c>
      <c r="H11" s="97" t="s">
        <v>1</v>
      </c>
      <c r="I11" s="126" t="s">
        <v>172</v>
      </c>
    </row>
    <row r="12" spans="1:99" s="28" customFormat="1" ht="15">
      <c r="A12" s="147" t="str">
        <f>'MEMÓRIA ONERADA resumida'!A12</f>
        <v>1.0</v>
      </c>
      <c r="B12" s="147">
        <f>'MEMÓRIA ONERADA resumida'!B12</f>
        <v>0</v>
      </c>
      <c r="C12" s="148" t="str">
        <f>'MEMÓRIA ONERADA resumida'!C12</f>
        <v>SERVIÇOS PRELIMINARES</v>
      </c>
      <c r="D12" s="147">
        <f>'MEMÓRIA ONERADA resumida'!D12</f>
        <v>0</v>
      </c>
      <c r="E12" s="147">
        <f>'MEMÓRIA ONERADA resumida'!E12</f>
        <v>0</v>
      </c>
      <c r="F12" s="147">
        <f>'MEMÓRIA ONERADA resumida'!F12</f>
        <v>0</v>
      </c>
      <c r="G12" s="149"/>
      <c r="H12" s="149"/>
      <c r="I12" s="149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</row>
    <row r="13" spans="1:9" ht="30">
      <c r="A13" s="145" t="str">
        <f>'MEMÓRIA ONERADA resumida'!A13</f>
        <v>1.1</v>
      </c>
      <c r="B13" s="145" t="str">
        <f>'MEMÓRIA ONERADA resumida'!B13</f>
        <v>02.020.0001-0</v>
      </c>
      <c r="C13" s="146" t="str">
        <f>'MEMÓRIA ONERADA resumida'!C13</f>
        <v>PLACA DE IDENTIFICACAO DE OBRA PUBLICA,INCLUSIVE PINTURA E SUPORTES DE MADEIRA.FORNECIMENTO E COLOCACAO (OBS.:3% - DESGASTE DE FERRAMENTAS E EPI).</v>
      </c>
      <c r="D13" s="145" t="str">
        <f>'MEMÓRIA ONERADA resumida'!D13</f>
        <v>M2</v>
      </c>
      <c r="E13" s="145">
        <f>'MEMÓRIA ONERADA resumida'!E13</f>
        <v>6</v>
      </c>
      <c r="F13" s="150">
        <f>'MEMÓRIA ONERADA resumida'!F13</f>
        <v>463.42</v>
      </c>
      <c r="G13" s="151">
        <f>TRUNC((F13*1.2247),2)</f>
        <v>567.55</v>
      </c>
      <c r="H13" s="151">
        <f>TRUNC((E13*F13),2)</f>
        <v>2780.52</v>
      </c>
      <c r="I13" s="151">
        <f>TRUNC((E13*G13),2)</f>
        <v>3405.3</v>
      </c>
    </row>
    <row r="14" spans="1:9" ht="60">
      <c r="A14" s="145" t="str">
        <f>'MEMÓRIA ONERADA resumida'!A14</f>
        <v>1.2</v>
      </c>
      <c r="B14" s="145" t="str">
        <f>'MEMÓRIA ONERADA resumida'!B14</f>
        <v>02.004.0010-0</v>
      </c>
      <c r="C14" s="146" t="str">
        <f>'MEMÓRIA ONERADA resumida'!C14</f>
        <v>BARRACAO DE OBRA EM CHAPA DE MADEIRA COMPENSADA DE 6MM DE ESPESSURA,RESINADA,SIMPLES,REAPROVEITAMENTO DE 2 VEZES,PISO EM CIMENTADO,COBERTURA COM TELHAS DE FIBROCIMENTO SEM AMIANTO,ESPESSURA 6MM,INCLUSIVE INSTALACOES (OBS.:3% - DESGASTE DE FERRAMENTAS E EPI).</v>
      </c>
      <c r="D14" s="145" t="str">
        <f>'MEMÓRIA ONERADA resumida'!D14</f>
        <v>M2</v>
      </c>
      <c r="E14" s="145">
        <f>'MEMÓRIA ONERADA resumida'!E14</f>
        <v>12</v>
      </c>
      <c r="F14" s="150">
        <f>'MEMÓRIA ONERADA resumida'!F14</f>
        <v>470.02</v>
      </c>
      <c r="G14" s="151">
        <f aca="true" t="shared" si="0" ref="G14:G20">TRUNC((F14*1.2247),2)</f>
        <v>575.63</v>
      </c>
      <c r="H14" s="151">
        <f aca="true" t="shared" si="1" ref="H14:H20">TRUNC((E14*F14),2)</f>
        <v>5640.24</v>
      </c>
      <c r="I14" s="151">
        <f aca="true" t="shared" si="2" ref="I14:I20">TRUNC((E14*G14),2)</f>
        <v>6907.56</v>
      </c>
    </row>
    <row r="15" spans="1:9" ht="60">
      <c r="A15" s="145" t="str">
        <f>'MEMÓRIA ONERADA resumida'!A15</f>
        <v>1.3</v>
      </c>
      <c r="B15" s="145" t="str">
        <f>'MEMÓRIA ONERADA resumida'!B15</f>
        <v>02.006.0050-0</v>
      </c>
      <c r="C15" s="146" t="str">
        <f>'MEMÓRIA ONERADA resumida'!C15</f>
        <v>ALUGUEL DE BANHEIRO QUIMICO,PORTATIL,MEDINDO 2,31M ALTURA X 1,56M LARGURA E 1,16M PROFUNDIDADE,INCLUSIVE INSTALACAO E RE TIRADA DO EQUIPAMENTO,FORNECIMENTO DE QUIMICA DESODORIZANTE,BACTERICIDA E BACTERIOSTATICA,PAPEL HIGIENICO E VEICULO PROP RIO COM UNIDADE MOVEL DE SUCCAO PARA LIMPEZA</v>
      </c>
      <c r="D15" s="145" t="str">
        <f>'MEMÓRIA ONERADA resumida'!D15</f>
        <v>UNXMES</v>
      </c>
      <c r="E15" s="145">
        <f>'MEMÓRIA ONERADA resumida'!E15</f>
        <v>4</v>
      </c>
      <c r="F15" s="150">
        <f>'MEMÓRIA ONERADA resumida'!F15</f>
        <v>850</v>
      </c>
      <c r="G15" s="151">
        <f>TRUNC((F15*1.1668),2)</f>
        <v>991.78</v>
      </c>
      <c r="H15" s="151">
        <f t="shared" si="1"/>
        <v>3400</v>
      </c>
      <c r="I15" s="151">
        <f t="shared" si="2"/>
        <v>3967.12</v>
      </c>
    </row>
    <row r="16" spans="1:9" ht="30">
      <c r="A16" s="145" t="str">
        <f>'MEMÓRIA ONERADA resumida'!A16</f>
        <v>1.4</v>
      </c>
      <c r="B16" s="145" t="str">
        <f>'MEMÓRIA ONERADA resumida'!B16</f>
        <v>05.001.0023-0</v>
      </c>
      <c r="C16" s="146" t="str">
        <f>'MEMÓRIA ONERADA resumida'!C16</f>
        <v>DEMOLICAO MANUAL DE ALVENARIA DE TIJOLOS FURADOS,INCLUSIVE EMPILHAMENTO LATERAL DENTRO DO CANTEIRO DE SERVICO (OBS.:3%- DESGASTE DE FERRAMENTAS E EPI).</v>
      </c>
      <c r="D16" s="145" t="str">
        <f>'MEMÓRIA ONERADA resumida'!D16</f>
        <v>M3</v>
      </c>
      <c r="E16" s="145">
        <f>'MEMÓRIA ONERADA resumida'!E16</f>
        <v>4.746</v>
      </c>
      <c r="F16" s="150">
        <f>'MEMÓRIA ONERADA resumida'!F16</f>
        <v>87.29</v>
      </c>
      <c r="G16" s="151">
        <f t="shared" si="0"/>
        <v>106.9</v>
      </c>
      <c r="H16" s="151">
        <f t="shared" si="1"/>
        <v>414.27</v>
      </c>
      <c r="I16" s="151">
        <f t="shared" si="2"/>
        <v>507.34</v>
      </c>
    </row>
    <row r="17" spans="1:9" ht="45">
      <c r="A17" s="145" t="str">
        <f>'MEMÓRIA ONERADA resumida'!A17</f>
        <v>1.5</v>
      </c>
      <c r="B17" s="145" t="str">
        <f>'MEMÓRIA ONERADA resumida'!B17</f>
        <v>05.001.0002-1</v>
      </c>
      <c r="C17" s="146" t="str">
        <f>'MEMÓRIA ONERADA resumida'!C17</f>
        <v>DEMOLICAO MANUAL DE CONCRETO ARMADO COMPREENDENDO PILARES,VIGAS E LAJES,EM ESTRUTURA APRESENTANDO POSICAO ESPECIAL,INCLU SIVE EMPILHAMENTO LATERAL DENTRO DO CANTEIRO DE SERVICO (OBS.:3%- DESGASTE DE FERRAMENTAS E EPI).</v>
      </c>
      <c r="D17" s="145" t="str">
        <f>'MEMÓRIA ONERADA resumida'!D17</f>
        <v>M3</v>
      </c>
      <c r="E17" s="145">
        <f>'MEMÓRIA ONERADA resumida'!E17</f>
        <v>9.79</v>
      </c>
      <c r="F17" s="150">
        <f>'MEMÓRIA ONERADA resumida'!F17</f>
        <v>322.34</v>
      </c>
      <c r="G17" s="151">
        <f t="shared" si="0"/>
        <v>394.76</v>
      </c>
      <c r="H17" s="151">
        <f t="shared" si="1"/>
        <v>3155.7</v>
      </c>
      <c r="I17" s="151">
        <f t="shared" si="2"/>
        <v>3864.7</v>
      </c>
    </row>
    <row r="18" spans="1:9" ht="30">
      <c r="A18" s="145" t="str">
        <f>'MEMÓRIA ONERADA resumida'!A18</f>
        <v>1.6</v>
      </c>
      <c r="B18" s="145" t="str">
        <f>'MEMÓRIA ONERADA resumida'!B18</f>
        <v>05.001.0147-0</v>
      </c>
      <c r="C18" s="146" t="str">
        <f>'MEMÓRIA ONERADA resumida'!C18</f>
        <v>ARRANCAMENTO DE GRADES,GRADIS,ALAMBRADOS,CERCAS E PORTOES (OBS.:3%-DESGASTE DE FERRAMENTAS E EPI).</v>
      </c>
      <c r="D18" s="145" t="str">
        <f>'MEMÓRIA ONERADA resumida'!D18</f>
        <v>M2</v>
      </c>
      <c r="E18" s="145">
        <f>'MEMÓRIA ONERADA resumida'!E18</f>
        <v>199.84800000000004</v>
      </c>
      <c r="F18" s="150">
        <f>'MEMÓRIA ONERADA resumida'!F18</f>
        <v>17.04</v>
      </c>
      <c r="G18" s="151">
        <f t="shared" si="0"/>
        <v>20.86</v>
      </c>
      <c r="H18" s="151">
        <f t="shared" si="1"/>
        <v>3405.4</v>
      </c>
      <c r="I18" s="151">
        <f t="shared" si="2"/>
        <v>4168.82</v>
      </c>
    </row>
    <row r="19" spans="1:9" ht="30">
      <c r="A19" s="145" t="str">
        <f>'MEMÓRIA ONERADA resumida'!A19</f>
        <v>1.7</v>
      </c>
      <c r="B19" s="145" t="str">
        <f>'MEMÓRIA ONERADA resumida'!B19</f>
        <v>03.001.0001-1</v>
      </c>
      <c r="C19" s="146" t="str">
        <f>'MEMÓRIA ONERADA resumida'!C19</f>
        <v>ESCAVACAO MANUAL DE VALA/CAVA EM MATERIAL DE 1¦ CATEGORIA (A(AREIA,ARGILA OU PICARRA),ATE 1,50M DE PROFUNDIDADE,EXCLUSIV E ESCORAMENTO E ESGOTAMENTO (OBS.:3% - DESGASTE DE FERRAMENTAS E EPI).</v>
      </c>
      <c r="D19" s="145" t="str">
        <f>'MEMÓRIA ONERADA resumida'!D19</f>
        <v>M3</v>
      </c>
      <c r="E19" s="145">
        <f>'MEMÓRIA ONERADA resumida'!E19</f>
        <v>55.86</v>
      </c>
      <c r="F19" s="150">
        <f>'MEMÓRIA ONERADA resumida'!F19</f>
        <v>57.95</v>
      </c>
      <c r="G19" s="151">
        <f t="shared" si="0"/>
        <v>70.97</v>
      </c>
      <c r="H19" s="151">
        <f t="shared" si="1"/>
        <v>3237.08</v>
      </c>
      <c r="I19" s="151">
        <f t="shared" si="2"/>
        <v>3964.38</v>
      </c>
    </row>
    <row r="20" spans="1:9" ht="30">
      <c r="A20" s="145" t="str">
        <f>'MEMÓRIA ONERADA resumida'!A20</f>
        <v>1.8</v>
      </c>
      <c r="B20" s="145" t="str">
        <f>'MEMÓRIA ONERADA resumida'!B20</f>
        <v>03.011.0015-1</v>
      </c>
      <c r="C20" s="146" t="str">
        <f>'MEMÓRIA ONERADA resumida'!C20</f>
        <v>REATERRO DE VALA/CAVA COM MATERIAL DE BOA QUALIDADE,UTILIZANDO VIBRO COMPACTADOR PORTATIL,EXCLUSIVE MATERIAL (OBS.:3%-DESGASTE DE FERRAMENTAS E EPI).</v>
      </c>
      <c r="D20" s="145" t="str">
        <f>'MEMÓRIA ONERADA resumida'!D20</f>
        <v>M3</v>
      </c>
      <c r="E20" s="145">
        <f>'MEMÓRIA ONERADA resumida'!E20</f>
        <v>33.34</v>
      </c>
      <c r="F20" s="150">
        <f>'MEMÓRIA ONERADA resumida'!F20</f>
        <v>22.66</v>
      </c>
      <c r="G20" s="151">
        <f t="shared" si="0"/>
        <v>27.75</v>
      </c>
      <c r="H20" s="151">
        <f t="shared" si="1"/>
        <v>755.48</v>
      </c>
      <c r="I20" s="151">
        <f t="shared" si="2"/>
        <v>925.18</v>
      </c>
    </row>
    <row r="21" spans="1:9" ht="30">
      <c r="A21" s="145" t="str">
        <f>'MEMÓRIA ONERADA resumida'!A21</f>
        <v>1.9</v>
      </c>
      <c r="B21" s="145" t="str">
        <f>'MEMÓRIA ONERADA resumida'!B21</f>
        <v>02.002.0012-0</v>
      </c>
      <c r="C21" s="146" t="str">
        <f>'MEMÓRIA ONERADA resumida'!C21</f>
        <v>TAPUME DE VEDACAO OU PROTECAO,EXECUTADO COM TELHAS TRAPEZOIDAIS DE ACO GALVANIZADO,ESPESSURA DE 0,5MM,ESTAS COM 2 VEZES DE UTILIZACAO,INCLUSIVE ENGRADAMENTO DE MADEIRA,UTILIZADO 2VEZES,EXCLUSIVE PINTURA (OBS.:3% - DESGASTE DE FERRAMENTAS E EPI).</v>
      </c>
      <c r="D21" s="145" t="str">
        <f>'MEMÓRIA ONERADA resumida'!D21</f>
        <v>M2</v>
      </c>
      <c r="E21" s="145">
        <f>'MEMÓRIA ONERADA resumida'!E21</f>
        <v>262.5</v>
      </c>
      <c r="F21" s="150">
        <f>'MEMÓRIA ONERADA resumida'!F21</f>
        <v>30.88</v>
      </c>
      <c r="G21" s="151">
        <f>TRUNC((F21*1.2247),2)</f>
        <v>37.81</v>
      </c>
      <c r="H21" s="151">
        <f>TRUNC((E21*F21),2)</f>
        <v>8106</v>
      </c>
      <c r="I21" s="151">
        <f>TRUNC((E21*G21),2)</f>
        <v>9925.12</v>
      </c>
    </row>
    <row r="22" spans="1:99" s="28" customFormat="1" ht="15">
      <c r="A22" s="147"/>
      <c r="B22" s="147"/>
      <c r="C22" s="148"/>
      <c r="D22" s="147"/>
      <c r="E22" s="147"/>
      <c r="F22" s="152"/>
      <c r="G22" s="147" t="s">
        <v>205</v>
      </c>
      <c r="H22" s="153">
        <f>SUM(H13:H21)</f>
        <v>30894.69</v>
      </c>
      <c r="I22" s="153">
        <f>SUM(I13:I21)</f>
        <v>37635.520000000004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</row>
    <row r="23" spans="1:99" s="28" customFormat="1" ht="15">
      <c r="A23" s="147" t="str">
        <f>'MEMÓRIA ONERADA resumida'!A23</f>
        <v>2.0</v>
      </c>
      <c r="B23" s="147"/>
      <c r="C23" s="148" t="str">
        <f>'MEMÓRIA ONERADA resumida'!C23</f>
        <v>CALÇADA DE CONCRETO</v>
      </c>
      <c r="D23" s="147"/>
      <c r="E23" s="147"/>
      <c r="F23" s="152"/>
      <c r="G23" s="153"/>
      <c r="H23" s="153"/>
      <c r="I23" s="153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</row>
    <row r="24" spans="1:9" ht="45">
      <c r="A24" s="145" t="str">
        <f>'MEMÓRIA ONERADA resumida'!A24</f>
        <v>2.1</v>
      </c>
      <c r="B24" s="145" t="str">
        <f>'MEMÓRIA ONERADA resumida'!B24</f>
        <v>05.001.0018-0</v>
      </c>
      <c r="C24" s="146" t="str">
        <f>'MEMÓRIA ONERADA resumida'!C24</f>
        <v>DEMOLICAO MANUAL DE PISO CIMENTADO E DA RESPECTIVA BASE DE CONCRETO,OU PASSEIO DE CONCRETO,INCLUSIVE EMPILHAMENTO LATERA L DENTRO DO CANTEIRO DE SERVICO (OBS.:3%-DESGASTE DE FERRAMENTAS E EPI).</v>
      </c>
      <c r="D24" s="145" t="str">
        <f>'MEMÓRIA ONERADA resumida'!D24</f>
        <v>M2</v>
      </c>
      <c r="E24" s="145">
        <f>'MEMÓRIA ONERADA resumida'!E24</f>
        <v>171.73</v>
      </c>
      <c r="F24" s="150">
        <f>'MEMÓRIA ONERADA resumida'!F24</f>
        <v>11.93</v>
      </c>
      <c r="G24" s="151">
        <f>TRUNC((F24*1.2247),2)</f>
        <v>14.61</v>
      </c>
      <c r="H24" s="151">
        <f>TRUNC((E24*F24),2)</f>
        <v>2048.73</v>
      </c>
      <c r="I24" s="151">
        <f>TRUNC((E24*G24),2)</f>
        <v>2508.97</v>
      </c>
    </row>
    <row r="25" spans="1:9" ht="30">
      <c r="A25" s="145" t="str">
        <f>'MEMÓRIA ONERADA resumida'!A25</f>
        <v>2.2</v>
      </c>
      <c r="B25" s="145" t="str">
        <f>'MEMÓRIA ONERADA resumida'!B25</f>
        <v>05.001.0142-0</v>
      </c>
      <c r="C25" s="146" t="str">
        <f>'MEMÓRIA ONERADA resumida'!C25</f>
        <v>ARRANCAMENTO DE MEIOS-FIOS,DE GRANITO OU CONCRETO,RETOS OU CURVOS,INCLUSIVE EMPILHAMENTO LATERAL DENTRO DO CANTEIRO DE S ERVICO (OBS.:3%-DESGASTE DE FERRAMENTAS E EPI).</v>
      </c>
      <c r="D25" s="145" t="str">
        <f>'MEMÓRIA ONERADA resumida'!D25</f>
        <v>M</v>
      </c>
      <c r="E25" s="145">
        <f>'MEMÓRIA ONERADA resumida'!E25</f>
        <v>118.37</v>
      </c>
      <c r="F25" s="150">
        <f>'MEMÓRIA ONERADA resumida'!F25</f>
        <v>18.75</v>
      </c>
      <c r="G25" s="151">
        <f>TRUNC((F25*1.2247),2)</f>
        <v>22.96</v>
      </c>
      <c r="H25" s="151">
        <f>TRUNC((E25*F25),2)</f>
        <v>2219.43</v>
      </c>
      <c r="I25" s="151">
        <f>TRUNC((E25*G25),2)</f>
        <v>2717.77</v>
      </c>
    </row>
    <row r="26" spans="1:9" ht="45">
      <c r="A26" s="145" t="str">
        <f>'MEMÓRIA ONERADA resumida'!A26</f>
        <v>2.3</v>
      </c>
      <c r="B26" s="145" t="str">
        <f>'MEMÓRIA ONERADA resumida'!B26</f>
        <v>08.027.0042-0</v>
      </c>
      <c r="C26" s="146" t="str">
        <f>'MEMÓRIA ONERADA resumida'!C26</f>
        <v>MEIO-FIO RETO DE CONCRETO SIMPLES FCK=15MPA,PRE-MOLDADO,TIPO DER-RJ,MEDINDO 0,15M NA BASE E COM ALTURA DE 0,30M,REJUNTAM ENTO COM ARGAMASSA DE CIMENTO E AREIA NO TRACO 1:3,5,COM FORNECIMENTO DE TODOS OS MATERIAIS,ESCAVACAO E REATERRO (OBS.:3%- DESGASTE DE FERRAMENTAS E EPI).</v>
      </c>
      <c r="D26" s="145" t="str">
        <f>'MEMÓRIA ONERADA resumida'!D26</f>
        <v>M</v>
      </c>
      <c r="E26" s="145">
        <f>'MEMÓRIA ONERADA resumida'!E26</f>
        <v>118.37</v>
      </c>
      <c r="F26" s="150">
        <f>'MEMÓRIA ONERADA resumida'!F26</f>
        <v>65.96</v>
      </c>
      <c r="G26" s="151">
        <f>TRUNC((F26*1.2247),2)</f>
        <v>80.78</v>
      </c>
      <c r="H26" s="151">
        <f>TRUNC((E26*F26),2)</f>
        <v>7807.68</v>
      </c>
      <c r="I26" s="151">
        <f>TRUNC((E26*G26),2)</f>
        <v>9561.92</v>
      </c>
    </row>
    <row r="27" spans="1:9" ht="30">
      <c r="A27" s="145" t="str">
        <f>'MEMÓRIA ONERADA resumida'!A27</f>
        <v>2.4</v>
      </c>
      <c r="B27" s="145" t="str">
        <f>'MEMÓRIA ONERADA resumida'!B27</f>
        <v>So00000094996</v>
      </c>
      <c r="C27" s="146" t="str">
        <f>'MEMÓRIA ONERADA resumida'!C27</f>
        <v>EXECUÇÃO DE PASSEIO (CALÇADA) OU PISO DE CONCRETO COM CONCRETO MOLDADO IN LOCO, FEITO EM OBRA, ACABAMENTO CONVENCIONAL, ESPESSURA 10 CM, ARMADO. AF_07/2016</v>
      </c>
      <c r="D27" s="145" t="str">
        <f>'MEMÓRIA ONERADA resumida'!D27</f>
        <v>M2</v>
      </c>
      <c r="E27" s="145">
        <f>'MEMÓRIA ONERADA resumida'!E27</f>
        <v>171.73</v>
      </c>
      <c r="F27" s="150">
        <f>'MEMÓRIA ONERADA resumida'!F27</f>
        <v>99.31</v>
      </c>
      <c r="G27" s="151">
        <f>TRUNC((F27*1.2247),2)</f>
        <v>121.62</v>
      </c>
      <c r="H27" s="151">
        <f>TRUNC((E27*F27),2)</f>
        <v>17054.5</v>
      </c>
      <c r="I27" s="151">
        <f>TRUNC((E27*G27),2)</f>
        <v>20885.8</v>
      </c>
    </row>
    <row r="28" spans="1:9" ht="45">
      <c r="A28" s="145" t="str">
        <f>'MEMÓRIA ONERADA resumida'!A28</f>
        <v>2.5</v>
      </c>
      <c r="B28" s="145" t="str">
        <f>'MEMÓRIA ONERADA resumida'!B28</f>
        <v>13.333.0010-5</v>
      </c>
      <c r="C28" s="146" t="str">
        <f>'MEMÓRIA ONERADA resumida'!C28</f>
        <v>REVESTIMENTO DE PISO COM CERAMICA TATIL ALERTA E DIRECIONAL,(LADRILHO HIDRAULICO),PARA PESSOAS COM NECESSIDADES ESPECIFICAS,ASSEN TES SOBRE SUPERFICIE EM OSSO,CONFORME ITEM 13.330.0010 (OBS.:3%-DESGASTE DE FERRAMENTAS E EPI).</v>
      </c>
      <c r="D28" s="145" t="str">
        <f>'MEMÓRIA ONERADA resumida'!D28</f>
        <v>M2</v>
      </c>
      <c r="E28" s="145">
        <f>'MEMÓRIA ONERADA resumida'!E28</f>
        <v>30.009999999999998</v>
      </c>
      <c r="F28" s="150">
        <f>'MEMÓRIA ONERADA resumida'!F28</f>
        <v>133.72</v>
      </c>
      <c r="G28" s="151">
        <f>TRUNC((F28*1.2247),2)</f>
        <v>163.76</v>
      </c>
      <c r="H28" s="151">
        <f>TRUNC((E28*F28),2)</f>
        <v>4012.93</v>
      </c>
      <c r="I28" s="151">
        <f>TRUNC((E28*G28),2)</f>
        <v>4914.43</v>
      </c>
    </row>
    <row r="29" spans="1:99" s="28" customFormat="1" ht="15">
      <c r="A29" s="147">
        <f>'MEMÓRIA ONERADA resumida'!A29</f>
        <v>0</v>
      </c>
      <c r="B29" s="147"/>
      <c r="C29" s="148"/>
      <c r="D29" s="147"/>
      <c r="E29" s="147"/>
      <c r="F29" s="152"/>
      <c r="G29" s="153"/>
      <c r="H29" s="153"/>
      <c r="I29" s="153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</row>
    <row r="30" spans="1:99" s="28" customFormat="1" ht="15">
      <c r="A30" s="147" t="str">
        <f>'MEMÓRIA ONERADA resumida'!A30</f>
        <v>x</v>
      </c>
      <c r="B30" s="147"/>
      <c r="C30" s="148"/>
      <c r="D30" s="147"/>
      <c r="E30" s="147"/>
      <c r="F30" s="152"/>
      <c r="G30" s="153" t="s">
        <v>206</v>
      </c>
      <c r="H30" s="153">
        <f>SUM(H24:H29)</f>
        <v>33143.27</v>
      </c>
      <c r="I30" s="153">
        <f>SUM(I24:I29)</f>
        <v>40588.89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</row>
    <row r="31" spans="1:99" s="28" customFormat="1" ht="15">
      <c r="A31" s="147" t="str">
        <f>'MEMÓRIA ONERADA resumida'!A31</f>
        <v>3.0</v>
      </c>
      <c r="B31" s="147"/>
      <c r="C31" s="148" t="str">
        <f>'MEMÓRIA ONERADA resumida'!C31</f>
        <v>MURO</v>
      </c>
      <c r="D31" s="147"/>
      <c r="E31" s="147"/>
      <c r="F31" s="152"/>
      <c r="G31" s="153"/>
      <c r="H31" s="153"/>
      <c r="I31" s="153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</row>
    <row r="32" spans="1:9" ht="75">
      <c r="A32" s="145" t="str">
        <f>'MEMÓRIA ONERADA resumida'!A32</f>
        <v>3.1</v>
      </c>
      <c r="B32" s="145" t="str">
        <f>'MEMÓRIA ONERADA resumida'!B32</f>
        <v>11.013.0075-5</v>
      </c>
      <c r="C32" s="146" t="str">
        <f>'MEMÓRIA ONERADA resumida'!C32</f>
        <v>CONCRETO ARMADO,FCK=25MPA,INCLUINDO MATERIAIS PARA 1,00M3 DE CONCRETO  TRAÇO 1:2,3:2,7 (CIMENTO/ AREIA MÉDIA/ BRITA 1)  - PREPARO MECÂNICO COM BETONEIRA 400 L. AF_07/2016, ADENSADO E COLOCADO,7,00M2 DE AREA MOLDADA,FORMAS E ESCORAMENTO CONFORME ITENS 11.004.0022E 11.004.0035,31,5KG DE ACO CA-50,INCLUSIVE MAO-DE-OBRA PARA CORTE,DOBRAGEM,MONTAGEM E COLOCACAO NAS FORMAS..</v>
      </c>
      <c r="D32" s="145" t="str">
        <f>'MEMÓRIA ONERADA resumida'!D32</f>
        <v>M3</v>
      </c>
      <c r="E32" s="145">
        <f>'MEMÓRIA ONERADA resumida'!E32</f>
        <v>20.85</v>
      </c>
      <c r="F32" s="150">
        <f>'MEMÓRIA ONERADA resumida'!F32</f>
        <v>1760.53</v>
      </c>
      <c r="G32" s="151">
        <f>TRUNC((F32*1.2247),2)</f>
        <v>2156.12</v>
      </c>
      <c r="H32" s="151">
        <f>TRUNC((E32*F32),2)</f>
        <v>36707.05</v>
      </c>
      <c r="I32" s="151">
        <f>TRUNC((E32*G32),2)</f>
        <v>44955.1</v>
      </c>
    </row>
    <row r="33" spans="1:9" ht="45">
      <c r="A33" s="145" t="str">
        <f>'MEMÓRIA ONERADA resumida'!A33</f>
        <v>3.2</v>
      </c>
      <c r="B33" s="145" t="str">
        <f>'MEMÓRIA ONERADA resumida'!B33</f>
        <v>12.005.0030-0</v>
      </c>
      <c r="C33" s="146" t="str">
        <f>'MEMÓRIA ONERADA resumida'!C33</f>
        <v>ALVENARIA DE BLOCOS DE CONCRETO 15X20X40CM,ASSENTES COM ARGAMASSA DE CIMENTO E AREIA,NO TRACO 1:8,EM PAREDES DE 0,15M DE ESPESSURA,DE SUPERFICIE CORRIDA,ATE 3,00M DE ALTURA E MEDIDA PELA AREA REAL (OBS.:3%-DESGASTE DE FERRAMENTAS E EPI).</v>
      </c>
      <c r="D33" s="145" t="str">
        <f>'MEMÓRIA ONERADA resumida'!D33</f>
        <v>M2</v>
      </c>
      <c r="E33" s="145">
        <f>'MEMÓRIA ONERADA resumida'!E33</f>
        <v>212</v>
      </c>
      <c r="F33" s="150">
        <f>'MEMÓRIA ONERADA resumida'!F33</f>
        <v>69.06</v>
      </c>
      <c r="G33" s="151">
        <f>TRUNC((F33*1.2247),2)</f>
        <v>84.57</v>
      </c>
      <c r="H33" s="151">
        <f>TRUNC((E33*F33),2)</f>
        <v>14640.72</v>
      </c>
      <c r="I33" s="151">
        <f>TRUNC((E33*G33),2)</f>
        <v>17928.84</v>
      </c>
    </row>
    <row r="34" spans="1:9" ht="45">
      <c r="A34" s="145" t="str">
        <f>'MEMÓRIA ONERADA resumida'!A34</f>
        <v>3.3</v>
      </c>
      <c r="B34" s="145" t="str">
        <f>'MEMÓRIA ONERADA resumida'!B34</f>
        <v>13.002.0011-1</v>
      </c>
      <c r="C34" s="146" t="str">
        <f>'MEMÓRIA ONERADA resumida'!C34</f>
        <v>REVESTIMENTO EXTERNO,DE UMA VEZ,COM ARGAMASSA DE CIMENTO,SAIBRO MACIO E AREIA FINA,NO TRACO 1:3:3,COM ESPESSURA DE 2,5CM ,INCLUSIVE CHAPISCO DE CIMENTO E AREIA,NO TRACO 1:3 (OBS.:3%-DESGASTE DE FERRAMENTAS E EPI).</v>
      </c>
      <c r="D34" s="145" t="str">
        <f>'MEMÓRIA ONERADA resumida'!D34</f>
        <v>M2</v>
      </c>
      <c r="E34" s="145">
        <f>'MEMÓRIA ONERADA resumida'!E34</f>
        <v>448.12</v>
      </c>
      <c r="F34" s="150">
        <f>'MEMÓRIA ONERADA resumida'!F34</f>
        <v>31.42</v>
      </c>
      <c r="G34" s="151">
        <f>TRUNC((F34*1.2247),2)</f>
        <v>38.48</v>
      </c>
      <c r="H34" s="151">
        <f>TRUNC((E34*F34),2)</f>
        <v>14079.93</v>
      </c>
      <c r="I34" s="151">
        <f>TRUNC((E34*G34),2)</f>
        <v>17243.65</v>
      </c>
    </row>
    <row r="35" spans="1:9" ht="45">
      <c r="A35" s="145" t="str">
        <f>'MEMÓRIA ONERADA resumida'!A35</f>
        <v>3.4</v>
      </c>
      <c r="B35" s="145" t="str">
        <f>'MEMÓRIA ONERADA resumida'!B35</f>
        <v>13.002.0011-5</v>
      </c>
      <c r="C35" s="146" t="str">
        <f>'MEMÓRIA ONERADA resumida'!C35</f>
        <v>CHAPIM DE CONCRETO APARENTE COM ACABAMENTO DESEMPENADO,USANDO FORMA DE CHAPA COMPENSADA,MEDINDO 25X3CM,CONFORME PROJETO TIPO N§6062/EMOP,FUNDIDO NO LOCAL (OBS.:3%-DESGASTE DE FERRAMENTAS E EPI).</v>
      </c>
      <c r="D35" s="145" t="str">
        <f>'MEMÓRIA ONERADA resumida'!D35</f>
        <v>M</v>
      </c>
      <c r="E35" s="145">
        <f>'MEMÓRIA ONERADA resumida'!E35</f>
        <v>122.32</v>
      </c>
      <c r="F35" s="150">
        <f>'MEMÓRIA ONERADA resumida'!F35</f>
        <v>53.55</v>
      </c>
      <c r="G35" s="151">
        <f>TRUNC((F35*1.2247),2)</f>
        <v>65.58</v>
      </c>
      <c r="H35" s="151">
        <f>TRUNC((E35*F35),2)</f>
        <v>6550.23</v>
      </c>
      <c r="I35" s="151">
        <f>TRUNC((E35*G35),2)</f>
        <v>8021.74</v>
      </c>
    </row>
    <row r="36" spans="1:99" s="28" customFormat="1" ht="15">
      <c r="A36" s="147" t="str">
        <f>'MEMÓRIA ONERADA resumida'!A36</f>
        <v>x</v>
      </c>
      <c r="B36" s="147"/>
      <c r="C36" s="148"/>
      <c r="D36" s="147"/>
      <c r="E36" s="147"/>
      <c r="F36" s="152"/>
      <c r="G36" s="153" t="s">
        <v>207</v>
      </c>
      <c r="H36" s="153">
        <f>SUM(H32:H35)</f>
        <v>71977.93000000001</v>
      </c>
      <c r="I36" s="153">
        <f>SUM(I32:I35)</f>
        <v>88149.33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</row>
    <row r="37" spans="1:99" s="28" customFormat="1" ht="15">
      <c r="A37" s="147" t="str">
        <f>'MEMÓRIA ONERADA resumida'!A37</f>
        <v>4.0</v>
      </c>
      <c r="B37" s="147"/>
      <c r="C37" s="148" t="str">
        <f>'MEMÓRIA ONERADA resumida'!C37</f>
        <v>GRADIL ELETROFUNDIDO </v>
      </c>
      <c r="D37" s="147"/>
      <c r="E37" s="147"/>
      <c r="F37" s="152"/>
      <c r="G37" s="153"/>
      <c r="H37" s="153"/>
      <c r="I37" s="153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</row>
    <row r="38" spans="1:9" ht="45">
      <c r="A38" s="145" t="str">
        <f>'MEMÓRIA ONERADA resumida'!A38</f>
        <v>4.1</v>
      </c>
      <c r="B38" s="145" t="str">
        <f>'MEMÓRIA ONERADA resumida'!B38</f>
        <v>14.002.0199-0</v>
      </c>
      <c r="C38" s="146" t="str">
        <f>'MEMÓRIA ONERADA resumida'!C38</f>
        <v>FORNECIMENTO E INSTALAÇÃO DE GRADIL ELETROFUNDIDO, MALHA 65 X 200 mm FIO 4,2 mm DE DIÂMETRO NAS MEDIDAS DE 2500 mm DE LARGURA X 1530 mm DE ALTURA FIXADO COM MONTANTE TUBULAR 2000 X 60 X 40 mm CHUMBADO</v>
      </c>
      <c r="D38" s="145" t="str">
        <f>'MEMÓRIA ONERADA resumida'!D38</f>
        <v>M2</v>
      </c>
      <c r="E38" s="145">
        <f>'MEMÓRIA ONERADA resumida'!E38</f>
        <v>129.67</v>
      </c>
      <c r="F38" s="150">
        <f>'MEMÓRIA ONERADA resumida'!F38</f>
        <v>206.12</v>
      </c>
      <c r="G38" s="151">
        <f>TRUNC((F38*1.1668),2)</f>
        <v>240.5</v>
      </c>
      <c r="H38" s="151">
        <f>TRUNC((E38*F38),2)</f>
        <v>26727.58</v>
      </c>
      <c r="I38" s="151">
        <f>TRUNC((E38*G38),2)</f>
        <v>31185.63</v>
      </c>
    </row>
    <row r="39" spans="1:9" ht="45">
      <c r="A39" s="145" t="str">
        <f>'MEMÓRIA ONERADA resumida'!A39</f>
        <v>4.2</v>
      </c>
      <c r="B39" s="145" t="str">
        <f>'MEMÓRIA ONERADA resumida'!B39</f>
        <v>14.002.0199-5</v>
      </c>
      <c r="C39" s="146" t="str">
        <f>'MEMÓRIA ONERADA resumida'!C39</f>
        <v>FORNECIMENTO E COLOCAÇÃO DE PORTÃO DE UMA FOLHA PIVOTANTE COM QUADRO DE 60 X 40 E COLUNA DE 80 X 80 NAS MEDIDAS DE 1000 mm DE LARGURA 3000 mm DE ALTURA, SENDO MALHA DE 65 X 200 mm E FIO 4,2 mm DE DIÂMETRO.</v>
      </c>
      <c r="D39" s="145" t="str">
        <f>'MEMÓRIA ONERADA resumida'!D39</f>
        <v>UNID.</v>
      </c>
      <c r="E39" s="145">
        <f>'MEMÓRIA ONERADA resumida'!E39</f>
        <v>1</v>
      </c>
      <c r="F39" s="150">
        <f>'MEMÓRIA ONERADA resumida'!F39</f>
        <v>3104.17</v>
      </c>
      <c r="G39" s="151">
        <f>TRUNC((F39*1.1668),2)</f>
        <v>3621.94</v>
      </c>
      <c r="H39" s="151">
        <f>TRUNC((E39*F39),2)</f>
        <v>3104.17</v>
      </c>
      <c r="I39" s="151">
        <f>TRUNC((E39*G39),2)</f>
        <v>3621.94</v>
      </c>
    </row>
    <row r="40" spans="1:9" ht="30">
      <c r="A40" s="145" t="str">
        <f>'MEMÓRIA ONERADA resumida'!A40</f>
        <v>4.3</v>
      </c>
      <c r="B40" s="145" t="str">
        <f>'MEMÓRIA ONERADA resumida'!B40</f>
        <v>14.002.0199-5</v>
      </c>
      <c r="C40" s="146" t="str">
        <f>'MEMÓRIA ONERADA resumida'!C40</f>
        <v>PORTÃO MODELO KITGRAD DE DUAS FOLHAS PIVOTANTE COM QUADRO DE 60 X 60 E COLUNA DE 80 X 80 NAS MEDIDAS DE 3000 mm DE LARGURA 3000 mm SENDO MALHA DE 65 X 200 DE COM FIO 4,2 mm DE DIÂMETRO.</v>
      </c>
      <c r="D40" s="145" t="str">
        <f>'MEMÓRIA ONERADA resumida'!D40</f>
        <v>UNID.</v>
      </c>
      <c r="E40" s="145">
        <f>'MEMÓRIA ONERADA resumida'!E40</f>
        <v>1</v>
      </c>
      <c r="F40" s="150">
        <f>'MEMÓRIA ONERADA resumida'!F40</f>
        <v>6983.28</v>
      </c>
      <c r="G40" s="151">
        <f>TRUNC((F40*1.1668),2)</f>
        <v>8148.09</v>
      </c>
      <c r="H40" s="151">
        <f>TRUNC((E40*F40),2)</f>
        <v>6983.28</v>
      </c>
      <c r="I40" s="151">
        <f>TRUNC((E40*G40),2)</f>
        <v>8148.09</v>
      </c>
    </row>
    <row r="41" spans="1:99" s="28" customFormat="1" ht="15">
      <c r="A41" s="147" t="str">
        <f>'MEMÓRIA ONERADA resumida'!A41</f>
        <v>x</v>
      </c>
      <c r="B41" s="147"/>
      <c r="C41" s="148"/>
      <c r="D41" s="147"/>
      <c r="E41" s="147"/>
      <c r="F41" s="152"/>
      <c r="G41" s="153" t="s">
        <v>208</v>
      </c>
      <c r="H41" s="153">
        <f>SUM(H38:H40)</f>
        <v>36815.03</v>
      </c>
      <c r="I41" s="153">
        <f>SUM(I38:I40)</f>
        <v>42955.66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</row>
    <row r="42" spans="1:99" s="28" customFormat="1" ht="15">
      <c r="A42" s="147" t="str">
        <f>'MEMÓRIA ONERADA resumida'!A42</f>
        <v>5.0</v>
      </c>
      <c r="B42" s="147"/>
      <c r="C42" s="148" t="str">
        <f>'MEMÓRIA ONERADA resumida'!C42</f>
        <v>PINTURA</v>
      </c>
      <c r="D42" s="147"/>
      <c r="E42" s="147"/>
      <c r="F42" s="152"/>
      <c r="G42" s="153"/>
      <c r="H42" s="153"/>
      <c r="I42" s="153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</row>
    <row r="43" spans="1:9" ht="15">
      <c r="A43" s="145" t="str">
        <f>'MEMÓRIA ONERADA resumida'!A43</f>
        <v>5.1</v>
      </c>
      <c r="B43" s="145" t="str">
        <f>'MEMÓRIA ONERADA resumida'!B43</f>
        <v>So00000095305</v>
      </c>
      <c r="C43" s="146" t="str">
        <f>'MEMÓRIA ONERADA resumida'!C43</f>
        <v>TEXTURA ACRÍLICA, APLICAÇÃO MANUAL EM PAREDE, UMA DEMÃO. AF_09/2016</v>
      </c>
      <c r="D43" s="145" t="str">
        <f>'MEMÓRIA ONERADA resumida'!D43</f>
        <v>M2</v>
      </c>
      <c r="E43" s="145">
        <f>'MEMÓRIA ONERADA resumida'!E43</f>
        <v>448.12</v>
      </c>
      <c r="F43" s="150">
        <f>'MEMÓRIA ONERADA resumida'!F43</f>
        <v>15.29</v>
      </c>
      <c r="G43" s="151">
        <f>TRUNC((F43*1.2247),2)</f>
        <v>18.72</v>
      </c>
      <c r="H43" s="151">
        <f>TRUNC((E43*F43),2)</f>
        <v>6851.75</v>
      </c>
      <c r="I43" s="151">
        <f>TRUNC((E43*G43),2)</f>
        <v>8388.8</v>
      </c>
    </row>
    <row r="44" spans="1:9" ht="15">
      <c r="A44" s="145" t="str">
        <f>'MEMÓRIA ONERADA resumida'!A44</f>
        <v>5.2</v>
      </c>
      <c r="B44" s="145" t="str">
        <f>'MEMÓRIA ONERADA resumida'!B44</f>
        <v>So00000095626</v>
      </c>
      <c r="C44" s="146" t="str">
        <f>'MEMÓRIA ONERADA resumida'!C44</f>
        <v>APLICAÇÃO MANUAL DE TINTA LÁTEX ACRÍLICA EM PAREDE EXTERNAS DE CASAS, DUAS DEMÃOS. AF_11/2016</v>
      </c>
      <c r="D44" s="145" t="str">
        <f>'MEMÓRIA ONERADA resumida'!D44</f>
        <v>M2</v>
      </c>
      <c r="E44" s="145">
        <f>'MEMÓRIA ONERADA resumida'!E44</f>
        <v>448.12</v>
      </c>
      <c r="F44" s="150">
        <f>'MEMÓRIA ONERADA resumida'!F44</f>
        <v>17.1</v>
      </c>
      <c r="G44" s="151">
        <f>TRUNC((F44*1.2247),2)</f>
        <v>20.94</v>
      </c>
      <c r="H44" s="151">
        <f>TRUNC((E44*F44),2)</f>
        <v>7662.85</v>
      </c>
      <c r="I44" s="151">
        <f>TRUNC((E44*G44),2)</f>
        <v>9383.63</v>
      </c>
    </row>
    <row r="45" spans="1:99" s="28" customFormat="1" ht="15">
      <c r="A45" s="147" t="str">
        <f>'MEMÓRIA ONERADA resumida'!A45</f>
        <v>x</v>
      </c>
      <c r="B45" s="147"/>
      <c r="C45" s="148"/>
      <c r="D45" s="147"/>
      <c r="E45" s="147"/>
      <c r="F45" s="152"/>
      <c r="G45" s="153" t="s">
        <v>209</v>
      </c>
      <c r="H45" s="153">
        <f>SUM(H43:H44)</f>
        <v>14514.6</v>
      </c>
      <c r="I45" s="153">
        <f>SUM(I43:I44)</f>
        <v>17772.43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</row>
    <row r="46" spans="1:99" s="28" customFormat="1" ht="15">
      <c r="A46" s="147" t="str">
        <f>'MEMÓRIA ONERADA resumida'!A46</f>
        <v>6.0</v>
      </c>
      <c r="B46" s="147"/>
      <c r="C46" s="148" t="str">
        <f>'MEMÓRIA ONERADA resumida'!C46</f>
        <v>TRANSPORTE E BOTA-FORA</v>
      </c>
      <c r="D46" s="147"/>
      <c r="E46" s="147"/>
      <c r="F46" s="152"/>
      <c r="G46" s="153"/>
      <c r="H46" s="153"/>
      <c r="I46" s="153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</row>
    <row r="47" spans="1:9" ht="30">
      <c r="A47" s="145" t="str">
        <f>'MEMÓRIA ONERADA resumida'!A47</f>
        <v>6.1</v>
      </c>
      <c r="B47" s="145" t="str">
        <f>'MEMÓRIA ONERADA resumida'!B47</f>
        <v>05.001.0171-0</v>
      </c>
      <c r="C47" s="146" t="str">
        <f>'MEMÓRIA ONERADA resumida'!C47</f>
        <v>TRANSPORTE HORIZONTAL DE MATERIAL DE 1¦CATEGORIA OU ENTULHO,EM CARRINHOS,A 20,00M DE DISTANCIA,INCLUSIVE CARGA A PA (OBS.:3%- DESGASTE DE FERRAMENTAS E EPI).</v>
      </c>
      <c r="D47" s="145" t="str">
        <f>'MEMÓRIA ONERADA resumida'!D47</f>
        <v>M3</v>
      </c>
      <c r="E47" s="145">
        <f>'MEMÓRIA ONERADA resumida'!E47</f>
        <v>69.96</v>
      </c>
      <c r="F47" s="150">
        <f>'MEMÓRIA ONERADA resumida'!F47</f>
        <v>23.86</v>
      </c>
      <c r="G47" s="151">
        <f>TRUNC((F47*1.2247),2)</f>
        <v>29.22</v>
      </c>
      <c r="H47" s="151">
        <f>TRUNC((E47*F47),2)</f>
        <v>1669.24</v>
      </c>
      <c r="I47" s="151">
        <f>TRUNC((E47*G47),2)</f>
        <v>2044.23</v>
      </c>
    </row>
    <row r="48" spans="1:9" ht="45">
      <c r="A48" s="145" t="str">
        <f>'MEMÓRIA ONERADA resumida'!A48</f>
        <v>6.2</v>
      </c>
      <c r="B48" s="145" t="str">
        <f>'MEMÓRIA ONERADA resumida'!B48</f>
        <v>04.014.0095-0</v>
      </c>
      <c r="C48" s="146" t="str">
        <f>'MEMÓRIA ONERADA resumida'!C48</f>
        <v>RETIRADA DE ENTULHO DE OBRA COM CACAMBA DE ACO TIPO CONTAINER COM 5M3 DE CAPACIDADE,INCLUSIVE CARREGAMENTO,TRANSPORTE E DESCARREGAMENTO.CUSTO POR UNIDADE DE CACAMBA E INCLUI A TAXA PARA DESCARGA EM LOCAIS AUTORIZADOS (OBS.:3%-DESGASTE DE FERRAMENTAS E EPI).</v>
      </c>
      <c r="D48" s="145" t="str">
        <f>'MEMÓRIA ONERADA resumida'!D48</f>
        <v>UN</v>
      </c>
      <c r="E48" s="145">
        <f>'MEMÓRIA ONERADA resumida'!E48</f>
        <v>21</v>
      </c>
      <c r="F48" s="150">
        <f>'MEMÓRIA ONERADA resumida'!F48</f>
        <v>239.69</v>
      </c>
      <c r="G48" s="151">
        <f>TRUNC((F48*1.1668),2)</f>
        <v>279.67</v>
      </c>
      <c r="H48" s="151">
        <f>TRUNC((E48*F48),2)</f>
        <v>5033.49</v>
      </c>
      <c r="I48" s="151">
        <f>TRUNC((E48*G48),2)</f>
        <v>5873.07</v>
      </c>
    </row>
    <row r="49" spans="1:99" s="28" customFormat="1" ht="15">
      <c r="A49" s="145" t="str">
        <f>'MEMÓRIA ONERADA resumida'!A49</f>
        <v>x</v>
      </c>
      <c r="B49" s="145"/>
      <c r="C49" s="146"/>
      <c r="D49" s="147"/>
      <c r="E49" s="145"/>
      <c r="F49" s="152"/>
      <c r="G49" s="153" t="s">
        <v>210</v>
      </c>
      <c r="H49" s="153">
        <f>SUM(H47:H48)</f>
        <v>6702.73</v>
      </c>
      <c r="I49" s="153">
        <f>SUM(I47:I48)</f>
        <v>7917.299999999999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</row>
    <row r="50" spans="1:9" ht="15">
      <c r="A50" s="145" t="str">
        <f>'MEMÓRIA ONERADA resumida'!A50</f>
        <v>x</v>
      </c>
      <c r="B50" s="145"/>
      <c r="C50" s="146"/>
      <c r="D50" s="147"/>
      <c r="E50" s="145"/>
      <c r="F50" s="152"/>
      <c r="G50" s="153" t="s">
        <v>27</v>
      </c>
      <c r="H50" s="153">
        <f>H22+H30+H36+H41+H45+H49</f>
        <v>194048.25000000003</v>
      </c>
      <c r="I50" s="153">
        <f>I22+I30+I36+I41+I45+I49</f>
        <v>235019.12999999998</v>
      </c>
    </row>
  </sheetData>
  <sheetProtection/>
  <mergeCells count="13">
    <mergeCell ref="C10:C11"/>
    <mergeCell ref="D10:D11"/>
    <mergeCell ref="D6:G6"/>
    <mergeCell ref="D7:G7"/>
    <mergeCell ref="D8:G8"/>
    <mergeCell ref="E10:E11"/>
    <mergeCell ref="D3:G3"/>
    <mergeCell ref="D4:G4"/>
    <mergeCell ref="D5:G5"/>
    <mergeCell ref="F10:I10"/>
    <mergeCell ref="A9:I9"/>
    <mergeCell ref="A10:A11"/>
    <mergeCell ref="B10:B11"/>
  </mergeCells>
  <printOptions/>
  <pageMargins left="0.5118110236220472" right="0.5118110236220472" top="0.7874015748031497" bottom="0.7874015748031497" header="0.31496062992125984" footer="0.31496062992125984"/>
  <pageSetup fitToHeight="1000" horizontalDpi="300" verticalDpi="300" orientation="landscape" paperSize="9" scale="56" r:id="rId2"/>
  <headerFooter>
    <oddFooter>&amp;C&amp;A&amp;RPágina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Zeros="0" view="pageBreakPreview" zoomScale="70" zoomScaleNormal="70" zoomScaleSheetLayoutView="70" zoomScalePageLayoutView="0" workbookViewId="0" topLeftCell="A1">
      <selection activeCell="A5" sqref="A5:D5"/>
    </sheetView>
  </sheetViews>
  <sheetFormatPr defaultColWidth="8.8515625" defaultRowHeight="15"/>
  <cols>
    <col min="1" max="1" width="16.28125" style="25" bestFit="1" customWidth="1"/>
    <col min="2" max="2" width="78.28125" style="25" bestFit="1" customWidth="1"/>
    <col min="3" max="3" width="12.28125" style="25" bestFit="1" customWidth="1"/>
    <col min="4" max="4" width="18.140625" style="25" bestFit="1" customWidth="1"/>
    <col min="5" max="12" width="18.140625" style="25" customWidth="1"/>
    <col min="13" max="13" width="29.00390625" style="25" customWidth="1"/>
    <col min="14" max="14" width="14.28125" style="23" bestFit="1" customWidth="1"/>
    <col min="15" max="15" width="25.57421875" style="24" customWidth="1"/>
    <col min="16" max="16" width="17.421875" style="60" customWidth="1"/>
    <col min="17" max="16384" width="8.8515625" style="23" customWidth="1"/>
  </cols>
  <sheetData>
    <row r="1" spans="1:14" ht="25.5">
      <c r="A1" s="210" t="s">
        <v>5</v>
      </c>
      <c r="B1" s="211"/>
      <c r="C1" s="211"/>
      <c r="D1" s="211"/>
      <c r="E1" s="100"/>
      <c r="F1" s="100"/>
      <c r="G1" s="100"/>
      <c r="H1" s="100"/>
      <c r="I1" s="100"/>
      <c r="J1" s="100"/>
      <c r="K1" s="100"/>
      <c r="L1" s="100"/>
      <c r="M1" s="66"/>
      <c r="N1" s="67"/>
    </row>
    <row r="2" spans="1:14" ht="25.5">
      <c r="A2" s="212" t="s">
        <v>6</v>
      </c>
      <c r="B2" s="213"/>
      <c r="C2" s="213"/>
      <c r="D2" s="213"/>
      <c r="E2" s="101"/>
      <c r="F2" s="101"/>
      <c r="G2" s="101"/>
      <c r="H2" s="101"/>
      <c r="I2" s="101"/>
      <c r="J2" s="101"/>
      <c r="K2" s="101"/>
      <c r="L2" s="101"/>
      <c r="M2" s="68"/>
      <c r="N2" s="67"/>
    </row>
    <row r="3" spans="1:14" ht="25.5">
      <c r="A3" s="212" t="s">
        <v>37</v>
      </c>
      <c r="B3" s="213"/>
      <c r="C3" s="213"/>
      <c r="D3" s="213"/>
      <c r="E3" s="101"/>
      <c r="F3" s="101"/>
      <c r="G3" s="101"/>
      <c r="H3" s="101"/>
      <c r="I3" s="101"/>
      <c r="J3" s="101"/>
      <c r="K3" s="101"/>
      <c r="L3" s="101"/>
      <c r="M3" s="68"/>
      <c r="N3" s="67"/>
    </row>
    <row r="4" spans="1:14" ht="25.5">
      <c r="A4" s="220" t="s">
        <v>174</v>
      </c>
      <c r="B4" s="221"/>
      <c r="C4" s="221"/>
      <c r="D4" s="221"/>
      <c r="E4" s="105"/>
      <c r="F4" s="105"/>
      <c r="G4" s="127"/>
      <c r="H4" s="127"/>
      <c r="I4" s="127"/>
      <c r="J4" s="127"/>
      <c r="K4" s="158"/>
      <c r="L4" s="158"/>
      <c r="M4" s="68"/>
      <c r="N4" s="67"/>
    </row>
    <row r="5" spans="1:14" ht="25.5">
      <c r="A5" s="239" t="s">
        <v>298</v>
      </c>
      <c r="B5" s="240"/>
      <c r="C5" s="240"/>
      <c r="D5" s="240"/>
      <c r="E5" s="106"/>
      <c r="F5" s="106"/>
      <c r="G5" s="106"/>
      <c r="H5" s="106"/>
      <c r="I5" s="106"/>
      <c r="J5" s="106"/>
      <c r="K5" s="106"/>
      <c r="L5" s="106"/>
      <c r="M5" s="68"/>
      <c r="N5" s="67"/>
    </row>
    <row r="6" spans="1:14" ht="25.5">
      <c r="A6" s="222" t="s">
        <v>173</v>
      </c>
      <c r="B6" s="223"/>
      <c r="C6" s="223"/>
      <c r="D6" s="223"/>
      <c r="E6" s="107"/>
      <c r="F6" s="107"/>
      <c r="G6" s="128"/>
      <c r="H6" s="128"/>
      <c r="I6" s="128"/>
      <c r="J6" s="128"/>
      <c r="K6" s="159"/>
      <c r="L6" s="159"/>
      <c r="M6" s="68"/>
      <c r="N6" s="67"/>
    </row>
    <row r="7" spans="1:14" ht="25.5">
      <c r="A7" s="214" t="s">
        <v>297</v>
      </c>
      <c r="B7" s="215"/>
      <c r="C7" s="215"/>
      <c r="D7" s="215"/>
      <c r="E7" s="102"/>
      <c r="F7" s="102"/>
      <c r="G7" s="129"/>
      <c r="H7" s="129"/>
      <c r="I7" s="129"/>
      <c r="J7" s="129"/>
      <c r="K7" s="156"/>
      <c r="L7" s="156"/>
      <c r="M7" s="68"/>
      <c r="N7" s="67"/>
    </row>
    <row r="8" spans="1:14" ht="25.5">
      <c r="A8" s="216"/>
      <c r="B8" s="217"/>
      <c r="C8" s="217"/>
      <c r="D8" s="217"/>
      <c r="E8" s="103"/>
      <c r="F8" s="103"/>
      <c r="G8" s="130"/>
      <c r="H8" s="130"/>
      <c r="I8" s="130"/>
      <c r="J8" s="130"/>
      <c r="K8" s="157"/>
      <c r="L8" s="157"/>
      <c r="M8" s="69"/>
      <c r="N8" s="67"/>
    </row>
    <row r="9" spans="1:14" ht="25.5">
      <c r="A9" s="218" t="s">
        <v>14</v>
      </c>
      <c r="B9" s="219"/>
      <c r="C9" s="219"/>
      <c r="D9" s="219"/>
      <c r="E9" s="104"/>
      <c r="F9" s="104"/>
      <c r="G9" s="104"/>
      <c r="H9" s="104"/>
      <c r="I9" s="104"/>
      <c r="J9" s="104"/>
      <c r="K9" s="104"/>
      <c r="L9" s="104"/>
      <c r="M9" s="70"/>
      <c r="N9" s="67"/>
    </row>
    <row r="10" spans="1:16" ht="25.5">
      <c r="A10" s="224" t="s">
        <v>8</v>
      </c>
      <c r="B10" s="224" t="s">
        <v>15</v>
      </c>
      <c r="C10" s="227" t="s">
        <v>16</v>
      </c>
      <c r="D10" s="228"/>
      <c r="E10" s="99"/>
      <c r="F10" s="99"/>
      <c r="G10" s="99"/>
      <c r="H10" s="99"/>
      <c r="I10" s="99"/>
      <c r="J10" s="99"/>
      <c r="K10" s="99"/>
      <c r="L10" s="99"/>
      <c r="M10" s="71"/>
      <c r="N10" s="67"/>
      <c r="O10" s="26"/>
      <c r="P10" s="61"/>
    </row>
    <row r="11" spans="1:16" ht="25.5">
      <c r="A11" s="225"/>
      <c r="B11" s="225"/>
      <c r="C11" s="227" t="s">
        <v>17</v>
      </c>
      <c r="D11" s="229"/>
      <c r="E11" s="227" t="s">
        <v>211</v>
      </c>
      <c r="F11" s="229"/>
      <c r="G11" s="227" t="s">
        <v>294</v>
      </c>
      <c r="H11" s="229"/>
      <c r="I11" s="227" t="s">
        <v>295</v>
      </c>
      <c r="J11" s="229"/>
      <c r="K11" s="227" t="s">
        <v>305</v>
      </c>
      <c r="L11" s="229"/>
      <c r="M11" s="71" t="s">
        <v>18</v>
      </c>
      <c r="N11" s="67"/>
      <c r="O11" s="26"/>
      <c r="P11" s="61"/>
    </row>
    <row r="12" spans="1:14" ht="25.5">
      <c r="A12" s="226"/>
      <c r="B12" s="226"/>
      <c r="C12" s="72" t="s">
        <v>19</v>
      </c>
      <c r="D12" s="73" t="s">
        <v>20</v>
      </c>
      <c r="E12" s="72" t="s">
        <v>19</v>
      </c>
      <c r="F12" s="73" t="s">
        <v>20</v>
      </c>
      <c r="G12" s="72" t="s">
        <v>19</v>
      </c>
      <c r="H12" s="73" t="s">
        <v>20</v>
      </c>
      <c r="I12" s="72" t="s">
        <v>19</v>
      </c>
      <c r="J12" s="73" t="s">
        <v>20</v>
      </c>
      <c r="K12" s="72" t="s">
        <v>19</v>
      </c>
      <c r="L12" s="73" t="s">
        <v>20</v>
      </c>
      <c r="M12" s="71" t="s">
        <v>21</v>
      </c>
      <c r="N12" s="67"/>
    </row>
    <row r="13" spans="1:14" ht="25.5">
      <c r="A13" s="199"/>
      <c r="B13" s="199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67"/>
    </row>
    <row r="14" spans="1:16" ht="25.5">
      <c r="A14" s="76" t="s">
        <v>4</v>
      </c>
      <c r="B14" s="77" t="s">
        <v>38</v>
      </c>
      <c r="C14" s="78">
        <v>0.85</v>
      </c>
      <c r="D14" s="79">
        <f aca="true" t="shared" si="0" ref="D14:D19">C14*M14</f>
        <v>31990.192000000003</v>
      </c>
      <c r="E14" s="78">
        <v>0.05</v>
      </c>
      <c r="F14" s="79">
        <f aca="true" t="shared" si="1" ref="F14:F19">E14*M14</f>
        <v>1881.7760000000003</v>
      </c>
      <c r="G14" s="78">
        <v>0.05</v>
      </c>
      <c r="H14" s="79">
        <f aca="true" t="shared" si="2" ref="H14:H19">G14*M14</f>
        <v>1881.7760000000003</v>
      </c>
      <c r="I14" s="78">
        <v>0.05</v>
      </c>
      <c r="J14" s="79">
        <f aca="true" t="shared" si="3" ref="J14:J19">I14*M14</f>
        <v>1881.7760000000003</v>
      </c>
      <c r="K14" s="154"/>
      <c r="L14" s="155"/>
      <c r="M14" s="80">
        <f>'PLANILHA FINAL'!I22</f>
        <v>37635.520000000004</v>
      </c>
      <c r="N14" s="81">
        <f>D14+F14+H14+J14+L14</f>
        <v>37635.52</v>
      </c>
      <c r="O14" s="27">
        <f aca="true" t="shared" si="4" ref="O14:O19">M14-N14</f>
        <v>0</v>
      </c>
      <c r="P14" s="62"/>
    </row>
    <row r="15" spans="1:16" ht="25.5">
      <c r="A15" s="76" t="s">
        <v>61</v>
      </c>
      <c r="B15" s="77" t="s">
        <v>116</v>
      </c>
      <c r="C15" s="78">
        <v>0.1</v>
      </c>
      <c r="D15" s="79">
        <f t="shared" si="0"/>
        <v>4058.889</v>
      </c>
      <c r="E15" s="78">
        <v>0.3</v>
      </c>
      <c r="F15" s="79">
        <f t="shared" si="1"/>
        <v>12176.667</v>
      </c>
      <c r="G15" s="78">
        <v>0.4</v>
      </c>
      <c r="H15" s="79">
        <f t="shared" si="2"/>
        <v>16235.556</v>
      </c>
      <c r="I15" s="78">
        <v>0.1</v>
      </c>
      <c r="J15" s="79">
        <f t="shared" si="3"/>
        <v>4058.889</v>
      </c>
      <c r="K15" s="78">
        <v>0.1</v>
      </c>
      <c r="L15" s="79">
        <f>K15*M15</f>
        <v>4058.889</v>
      </c>
      <c r="M15" s="98">
        <f>'PLANILHA FINAL'!I30</f>
        <v>40588.89</v>
      </c>
      <c r="N15" s="81">
        <f>D15+F15+H15+J15+L15</f>
        <v>40588.89000000001</v>
      </c>
      <c r="O15" s="27">
        <f t="shared" si="4"/>
        <v>0</v>
      </c>
      <c r="P15" s="62"/>
    </row>
    <row r="16" spans="1:16" ht="25.5">
      <c r="A16" s="76" t="s">
        <v>72</v>
      </c>
      <c r="B16" s="77" t="s">
        <v>203</v>
      </c>
      <c r="C16" s="78">
        <v>0.1</v>
      </c>
      <c r="D16" s="79">
        <f t="shared" si="0"/>
        <v>8814.933</v>
      </c>
      <c r="E16" s="78">
        <v>0.3</v>
      </c>
      <c r="F16" s="79">
        <f t="shared" si="1"/>
        <v>26444.799</v>
      </c>
      <c r="G16" s="78">
        <v>0.4</v>
      </c>
      <c r="H16" s="79">
        <f t="shared" si="2"/>
        <v>35259.732</v>
      </c>
      <c r="I16" s="78">
        <v>0.1</v>
      </c>
      <c r="J16" s="79">
        <f t="shared" si="3"/>
        <v>8814.933</v>
      </c>
      <c r="K16" s="78">
        <v>0.1</v>
      </c>
      <c r="L16" s="79">
        <f>K16*M16</f>
        <v>8814.933</v>
      </c>
      <c r="M16" s="98">
        <f>'PLANILHA FINAL'!I36</f>
        <v>88149.33</v>
      </c>
      <c r="N16" s="81">
        <f>D16+F16+H16+J16+L16</f>
        <v>88149.33000000002</v>
      </c>
      <c r="O16" s="27">
        <f t="shared" si="4"/>
        <v>0</v>
      </c>
      <c r="P16" s="62"/>
    </row>
    <row r="17" spans="1:16" ht="25.5">
      <c r="A17" s="76" t="s">
        <v>99</v>
      </c>
      <c r="B17" s="77" t="s">
        <v>296</v>
      </c>
      <c r="C17" s="154"/>
      <c r="D17" s="155"/>
      <c r="E17" s="78">
        <v>0.1</v>
      </c>
      <c r="F17" s="79">
        <f t="shared" si="1"/>
        <v>4295.566000000001</v>
      </c>
      <c r="G17" s="78">
        <v>0.6</v>
      </c>
      <c r="H17" s="79">
        <f t="shared" si="2"/>
        <v>25773.396</v>
      </c>
      <c r="I17" s="78">
        <v>0.2</v>
      </c>
      <c r="J17" s="79">
        <f t="shared" si="3"/>
        <v>8591.132000000001</v>
      </c>
      <c r="K17" s="78">
        <v>0.1</v>
      </c>
      <c r="L17" s="79">
        <f>K17*M17</f>
        <v>4295.566000000001</v>
      </c>
      <c r="M17" s="98">
        <f>'PLANILHA FINAL'!I41</f>
        <v>42955.66</v>
      </c>
      <c r="N17" s="81">
        <f>D17+F17+H17+J17+L17</f>
        <v>42955.659999999996</v>
      </c>
      <c r="O17" s="27">
        <f t="shared" si="4"/>
        <v>0</v>
      </c>
      <c r="P17" s="62"/>
    </row>
    <row r="18" spans="1:16" ht="25.5">
      <c r="A18" s="76" t="s">
        <v>110</v>
      </c>
      <c r="B18" s="77" t="s">
        <v>111</v>
      </c>
      <c r="C18" s="154"/>
      <c r="D18" s="155"/>
      <c r="E18" s="78">
        <v>0.1</v>
      </c>
      <c r="F18" s="79">
        <f t="shared" si="1"/>
        <v>1777.2430000000002</v>
      </c>
      <c r="G18" s="78">
        <v>0.2</v>
      </c>
      <c r="H18" s="79">
        <f t="shared" si="2"/>
        <v>3554.4860000000003</v>
      </c>
      <c r="I18" s="78">
        <v>0.35</v>
      </c>
      <c r="J18" s="79">
        <f t="shared" si="3"/>
        <v>6220.3505</v>
      </c>
      <c r="K18" s="78">
        <v>0.35</v>
      </c>
      <c r="L18" s="79">
        <f>K18*M18</f>
        <v>6220.3505</v>
      </c>
      <c r="M18" s="98">
        <f>'PLANILHA FINAL'!I45</f>
        <v>17772.43</v>
      </c>
      <c r="N18" s="81">
        <f>D18+F18+H18+J18+L18</f>
        <v>17772.43</v>
      </c>
      <c r="O18" s="27">
        <f t="shared" si="4"/>
        <v>0</v>
      </c>
      <c r="P18" s="62"/>
    </row>
    <row r="19" spans="1:16" ht="25.5">
      <c r="A19" s="76" t="s">
        <v>115</v>
      </c>
      <c r="B19" s="77" t="s">
        <v>166</v>
      </c>
      <c r="C19" s="78">
        <v>0.8</v>
      </c>
      <c r="D19" s="79">
        <f t="shared" si="0"/>
        <v>6333.84</v>
      </c>
      <c r="E19" s="78">
        <v>0.1</v>
      </c>
      <c r="F19" s="79">
        <f t="shared" si="1"/>
        <v>791.73</v>
      </c>
      <c r="G19" s="78">
        <v>0.05</v>
      </c>
      <c r="H19" s="79">
        <f t="shared" si="2"/>
        <v>395.865</v>
      </c>
      <c r="I19" s="78">
        <v>0.05</v>
      </c>
      <c r="J19" s="79">
        <f t="shared" si="3"/>
        <v>395.865</v>
      </c>
      <c r="K19" s="154"/>
      <c r="L19" s="155"/>
      <c r="M19" s="98">
        <f>'PLANILHA FINAL'!I49</f>
        <v>7917.299999999999</v>
      </c>
      <c r="N19" s="81">
        <f>D19+F19+H19+J19+L19</f>
        <v>7917.299999999999</v>
      </c>
      <c r="O19" s="27">
        <f t="shared" si="4"/>
        <v>0</v>
      </c>
      <c r="P19" s="62"/>
    </row>
    <row r="20" spans="1:15" s="60" customFormat="1" ht="25.5">
      <c r="A20" s="82"/>
      <c r="B20" s="83"/>
      <c r="C20" s="84"/>
      <c r="D20" s="85"/>
      <c r="E20" s="115"/>
      <c r="F20" s="115"/>
      <c r="G20" s="115"/>
      <c r="H20" s="115"/>
      <c r="I20" s="115"/>
      <c r="J20" s="115"/>
      <c r="K20" s="115"/>
      <c r="L20" s="115"/>
      <c r="M20" s="86">
        <f>SUM(M14:M19)</f>
        <v>235019.12999999998</v>
      </c>
      <c r="N20" s="81"/>
      <c r="O20" s="24"/>
    </row>
    <row r="21" spans="1:15" s="60" customFormat="1" ht="25.5">
      <c r="A21" s="200" t="s">
        <v>22</v>
      </c>
      <c r="B21" s="201"/>
      <c r="C21" s="202">
        <f>SUM(D14:D19)</f>
        <v>51197.85400000001</v>
      </c>
      <c r="D21" s="203"/>
      <c r="E21" s="202">
        <f>SUM(F14:F19)</f>
        <v>47367.781</v>
      </c>
      <c r="F21" s="203"/>
      <c r="G21" s="202">
        <f>SUM(H14:H19)</f>
        <v>83100.81100000002</v>
      </c>
      <c r="H21" s="203"/>
      <c r="I21" s="202">
        <f>SUM(J14:J19)</f>
        <v>29962.945500000005</v>
      </c>
      <c r="J21" s="203"/>
      <c r="K21" s="202">
        <f>SUM(L14:L19)</f>
        <v>23389.7385</v>
      </c>
      <c r="L21" s="203"/>
      <c r="M21" s="87"/>
      <c r="N21" s="67"/>
      <c r="O21" s="24"/>
    </row>
    <row r="22" spans="1:15" s="60" customFormat="1" ht="25.5">
      <c r="A22" s="200" t="s">
        <v>23</v>
      </c>
      <c r="B22" s="201"/>
      <c r="C22" s="208">
        <f>C21</f>
        <v>51197.85400000001</v>
      </c>
      <c r="D22" s="209"/>
      <c r="E22" s="208">
        <f>E21</f>
        <v>47367.781</v>
      </c>
      <c r="F22" s="209"/>
      <c r="G22" s="208">
        <f>G21</f>
        <v>83100.81100000002</v>
      </c>
      <c r="H22" s="209"/>
      <c r="I22" s="208">
        <f>I21</f>
        <v>29962.945500000005</v>
      </c>
      <c r="J22" s="209"/>
      <c r="K22" s="208">
        <f>K21</f>
        <v>23389.7385</v>
      </c>
      <c r="L22" s="209"/>
      <c r="M22" s="88"/>
      <c r="N22" s="67"/>
      <c r="O22" s="24"/>
    </row>
    <row r="23" spans="1:15" s="60" customFormat="1" ht="25.5">
      <c r="A23" s="204" t="s">
        <v>24</v>
      </c>
      <c r="B23" s="205"/>
      <c r="C23" s="206">
        <f>C21/M20</f>
        <v>0.21784547496197443</v>
      </c>
      <c r="D23" s="207"/>
      <c r="E23" s="206">
        <f>E21/M20</f>
        <v>0.20154861861670584</v>
      </c>
      <c r="F23" s="207"/>
      <c r="G23" s="206">
        <f>G21/M20</f>
        <v>0.3535916884723385</v>
      </c>
      <c r="H23" s="207"/>
      <c r="I23" s="206">
        <f>I21/M20</f>
        <v>0.12749151739264802</v>
      </c>
      <c r="J23" s="207"/>
      <c r="K23" s="206">
        <f>K21/M20</f>
        <v>0.09952270055633344</v>
      </c>
      <c r="L23" s="207"/>
      <c r="M23" s="89"/>
      <c r="N23" s="67"/>
      <c r="O23" s="24"/>
    </row>
    <row r="24" spans="1:15" s="60" customFormat="1" ht="25.5">
      <c r="A24" s="204" t="s">
        <v>25</v>
      </c>
      <c r="B24" s="205"/>
      <c r="C24" s="206">
        <f>C23</f>
        <v>0.21784547496197443</v>
      </c>
      <c r="D24" s="207"/>
      <c r="E24" s="206">
        <f>C24+E23</f>
        <v>0.4193940935786803</v>
      </c>
      <c r="F24" s="207"/>
      <c r="G24" s="206">
        <f>E24+G23</f>
        <v>0.7729857820510189</v>
      </c>
      <c r="H24" s="207"/>
      <c r="I24" s="206">
        <f>G24+I23</f>
        <v>0.900477299443667</v>
      </c>
      <c r="J24" s="207"/>
      <c r="K24" s="206">
        <f>I24+K23</f>
        <v>1.0000000000000004</v>
      </c>
      <c r="L24" s="207"/>
      <c r="M24" s="90"/>
      <c r="N24" s="67"/>
      <c r="O24" s="24"/>
    </row>
    <row r="26" spans="1:15" s="60" customFormat="1" ht="27">
      <c r="A26" s="25"/>
      <c r="B26" s="25"/>
      <c r="C26" s="25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23"/>
      <c r="O26" s="24"/>
    </row>
    <row r="27" spans="1:15" s="60" customFormat="1" ht="27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64"/>
      <c r="N27" s="23"/>
      <c r="O27" s="24"/>
    </row>
  </sheetData>
  <sheetProtection/>
  <mergeCells count="42">
    <mergeCell ref="K11:L11"/>
    <mergeCell ref="K21:L21"/>
    <mergeCell ref="K22:L22"/>
    <mergeCell ref="K23:L23"/>
    <mergeCell ref="K24:L24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A10:A12"/>
    <mergeCell ref="B10:B12"/>
    <mergeCell ref="C10:D10"/>
    <mergeCell ref="C11:D11"/>
    <mergeCell ref="G11:H11"/>
    <mergeCell ref="I11:J11"/>
    <mergeCell ref="E11:F11"/>
    <mergeCell ref="A1:D1"/>
    <mergeCell ref="A2:D2"/>
    <mergeCell ref="A3:D3"/>
    <mergeCell ref="A7:D7"/>
    <mergeCell ref="A8:D8"/>
    <mergeCell ref="A9:D9"/>
    <mergeCell ref="A4:D4"/>
    <mergeCell ref="A5:D5"/>
    <mergeCell ref="A6:D6"/>
    <mergeCell ref="A13:B13"/>
    <mergeCell ref="A21:B21"/>
    <mergeCell ref="C21:D21"/>
    <mergeCell ref="A24:B24"/>
    <mergeCell ref="C24:D24"/>
    <mergeCell ref="A23:B23"/>
    <mergeCell ref="C23:D23"/>
    <mergeCell ref="A22:B22"/>
    <mergeCell ref="C22:D22"/>
  </mergeCells>
  <printOptions horizontalCentered="1" verticalCentered="1"/>
  <pageMargins left="0.3937007874015748" right="0.3937007874015748" top="0.984251968503937" bottom="0.3937007874015748" header="0" footer="0"/>
  <pageSetup fitToHeight="1000" horizontalDpi="300" verticalDpi="300" orientation="landscape" paperSize="9" scale="44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Alfredo Antonio Nicolau Macedo Cunha</cp:lastModifiedBy>
  <cp:lastPrinted>2021-02-10T16:50:23Z</cp:lastPrinted>
  <dcterms:created xsi:type="dcterms:W3CDTF">2017-11-22T13:14:51Z</dcterms:created>
  <dcterms:modified xsi:type="dcterms:W3CDTF">2021-10-21T14:02:54Z</dcterms:modified>
  <cp:category/>
  <cp:version/>
  <cp:contentType/>
  <cp:contentStatus/>
</cp:coreProperties>
</file>