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036" tabRatio="832" activeTab="2"/>
  </bookViews>
  <sheets>
    <sheet name="MEMÓRIA onerado" sheetId="1" r:id="rId1"/>
    <sheet name="RESUMIDO onerado" sheetId="2" r:id="rId2"/>
    <sheet name="CRONOGRAMA " sheetId="3" r:id="rId3"/>
    <sheet name="MEMÓRIA DESonerado" sheetId="4" r:id="rId4"/>
  </sheets>
  <definedNames>
    <definedName name="_xlnm.Print_Area" localSheetId="2">'CRONOGRAMA '!$A$1:$I$25</definedName>
    <definedName name="_xlnm.Print_Area" localSheetId="3">'MEMÓRIA DESonerado'!$A$1:$I$404</definedName>
    <definedName name="_xlnm.Print_Area" localSheetId="0">'MEMÓRIA onerado'!$A$1:$I$404</definedName>
    <definedName name="_xlnm.Print_Area" localSheetId="1">'RESUMIDO onerado'!$A$1:$I$90</definedName>
    <definedName name="_xlnm.Print_Titles" localSheetId="3">'MEMÓRIA DESonerado'!$12:$13</definedName>
    <definedName name="_xlnm.Print_Titles" localSheetId="0">'MEMÓRIA onerado'!$12:$13</definedName>
    <definedName name="_xlnm.Print_Titles" localSheetId="1">'RESUMIDO onerado'!$12:$13</definedName>
  </definedNames>
  <calcPr fullCalcOnLoad="1"/>
</workbook>
</file>

<file path=xl/sharedStrings.xml><?xml version="1.0" encoding="utf-8"?>
<sst xmlns="http://schemas.openxmlformats.org/spreadsheetml/2006/main" count="2637" uniqueCount="681">
  <si>
    <t>05751</t>
  </si>
  <si>
    <t>ESQUADRIAS</t>
  </si>
  <si>
    <t>4.2</t>
  </si>
  <si>
    <t>CRONOGRAMA FÍSICO-FINANCEIRO</t>
  </si>
  <si>
    <t>LEVANTAMENTO:</t>
  </si>
  <si>
    <t>PROJETO:</t>
  </si>
  <si>
    <t>ORÇAMENTO:</t>
  </si>
  <si>
    <t>60 DIAS</t>
  </si>
  <si>
    <t>90 DIAS</t>
  </si>
  <si>
    <t>1.5</t>
  </si>
  <si>
    <t>1.4</t>
  </si>
  <si>
    <t>00115</t>
  </si>
  <si>
    <t>1.1</t>
  </si>
  <si>
    <t>1.2</t>
  </si>
  <si>
    <t>2.1</t>
  </si>
  <si>
    <t>3.1</t>
  </si>
  <si>
    <t>3.2</t>
  </si>
  <si>
    <t>00285</t>
  </si>
  <si>
    <t>02341</t>
  </si>
  <si>
    <t>SUBTOTAL 4.0</t>
  </si>
  <si>
    <t>5.0</t>
  </si>
  <si>
    <t>6.0</t>
  </si>
  <si>
    <t>30 DIAS</t>
  </si>
  <si>
    <t>02643</t>
  </si>
  <si>
    <t>02961</t>
  </si>
  <si>
    <t>02259</t>
  </si>
  <si>
    <t>M3</t>
  </si>
  <si>
    <t>H</t>
  </si>
  <si>
    <t>05750</t>
  </si>
  <si>
    <t>8.0</t>
  </si>
  <si>
    <t>PINTURA</t>
  </si>
  <si>
    <t>6.2</t>
  </si>
  <si>
    <t>6.3</t>
  </si>
  <si>
    <t>6.4</t>
  </si>
  <si>
    <t>6.5</t>
  </si>
  <si>
    <t>6.6</t>
  </si>
  <si>
    <t>1.3</t>
  </si>
  <si>
    <t>TOTAL ACUMULADO DA OBRA</t>
  </si>
  <si>
    <t>Desembolso por medição %</t>
  </si>
  <si>
    <t>Desembolso acumulado %</t>
  </si>
  <si>
    <t>00150</t>
  </si>
  <si>
    <t>SUBTOTAL 5.0</t>
  </si>
  <si>
    <t>02258</t>
  </si>
  <si>
    <t>5.1</t>
  </si>
  <si>
    <t>5.2</t>
  </si>
  <si>
    <t>TOTAL DA OBRA POR MEDIÇÃO</t>
  </si>
  <si>
    <t>APROVAÇÃO:</t>
  </si>
  <si>
    <t>PREÇOS (R$)</t>
  </si>
  <si>
    <t>%</t>
  </si>
  <si>
    <t>R$</t>
  </si>
  <si>
    <t>00760</t>
  </si>
  <si>
    <t>SERVIÇO</t>
  </si>
  <si>
    <t>8.1</t>
  </si>
  <si>
    <t>6.1</t>
  </si>
  <si>
    <t>7.0</t>
  </si>
  <si>
    <t>7.1</t>
  </si>
  <si>
    <t>7.2</t>
  </si>
  <si>
    <t>7.3</t>
  </si>
  <si>
    <t>7.4</t>
  </si>
  <si>
    <t>ITEM</t>
  </si>
  <si>
    <t>CÓDIGO</t>
  </si>
  <si>
    <t>M</t>
  </si>
  <si>
    <t>M2</t>
  </si>
  <si>
    <t>00368</t>
  </si>
  <si>
    <t>00453</t>
  </si>
  <si>
    <t>4.1</t>
  </si>
  <si>
    <t>TOTAL GERAL</t>
  </si>
  <si>
    <t>DISCRIMINAÇÃO</t>
  </si>
  <si>
    <t>UN</t>
  </si>
  <si>
    <t>QUANT.</t>
  </si>
  <si>
    <t>TOTAL</t>
  </si>
  <si>
    <t>1.0</t>
  </si>
  <si>
    <t>SERVIÇOS PRELIMINARES</t>
  </si>
  <si>
    <t>SUBTOTAL 1.0</t>
  </si>
  <si>
    <t>2.0</t>
  </si>
  <si>
    <t>SUBTOTAL 2.0</t>
  </si>
  <si>
    <t>3.0</t>
  </si>
  <si>
    <t>SUBTOTAL 3.0</t>
  </si>
  <si>
    <t>4.0</t>
  </si>
  <si>
    <t>6.7</t>
  </si>
  <si>
    <t>6.8</t>
  </si>
  <si>
    <t>6.9</t>
  </si>
  <si>
    <t>6.10</t>
  </si>
  <si>
    <t>SUBTOTAL 6.0</t>
  </si>
  <si>
    <t>02317</t>
  </si>
  <si>
    <t>KG</t>
  </si>
  <si>
    <t xml:space="preserve"> </t>
  </si>
  <si>
    <t>PLACA DE IDENTIFICACAO DE OBRA PUBLICA,TIPO BANNER/PLOTER, CONSTITUIDA POR LONAE IMPRESSAO DIGITAL</t>
  </si>
  <si>
    <t>10806</t>
  </si>
  <si>
    <t>CIMENTO BRANCO</t>
  </si>
  <si>
    <t>FITA ISOLANTE, ROLO DE 19MMX20M</t>
  </si>
  <si>
    <t>FIO C/ISOLAMENTO TERMOPLASTICO ANTICHAMADE 750V, DE 02,5MM2</t>
  </si>
  <si>
    <t>ADUELA EM MADEIRA DE LEI, DE (13X3)CM, GRUPO V</t>
  </si>
  <si>
    <t>ALIZAR EM MADEIRA DE LEI, DE (5X2)CM, GRUPO V</t>
  </si>
  <si>
    <t>10962</t>
  </si>
  <si>
    <t>PORTA LISA, SEMI-OCA PARA PINTURA, DE (80X210X3,5)CM</t>
  </si>
  <si>
    <t>02.020.0002-A</t>
  </si>
  <si>
    <t>20132</t>
  </si>
  <si>
    <t>MAO-DE-OBRA DE SERVENTE DA CONSTRUCAO CIVIL, INCLUSIVE ENCARGOS SOCIAIS DESONERADOS</t>
  </si>
  <si>
    <t>20045</t>
  </si>
  <si>
    <t>MAO-DE-OBRA DE CARPINTEIRO DE ESQUADRIASDE MADEIRA, INCLUSIVE ENCARGOS SOCIAISDESONERADOS</t>
  </si>
  <si>
    <t>20115</t>
  </si>
  <si>
    <t>MAO-DE-OBRA DE PEDREIRO, INCLUSIVE ENCARGOS SOCIAIS DESONERADOS</t>
  </si>
  <si>
    <t>20091</t>
  </si>
  <si>
    <t>MAO-DE-OBRA DE MARMORISTA DE MARMORE E GRANITO, INCLUSIVE ENCARGOS SOCIAIS DESONERADOS</t>
  </si>
  <si>
    <t>20060</t>
  </si>
  <si>
    <t>MAO-DE-OBRA DE ELETRICISTA DA CONSTRUCAOCIVIL, INCLUSIVE ENCARGOS SOCIAIS DESONERADOS</t>
  </si>
  <si>
    <t>30998</t>
  </si>
  <si>
    <t>58.002.0412-B TACO DE ALVENARIA (2,5 X 10 X 20)CM</t>
  </si>
  <si>
    <t>14.006.0010-A</t>
  </si>
  <si>
    <t>04.014.0095-A</t>
  </si>
  <si>
    <t>X</t>
  </si>
  <si>
    <t>UNIT s/ BDI</t>
  </si>
  <si>
    <t>UNITc/ BDI</t>
  </si>
  <si>
    <t>TOTAL s/ BDI</t>
  </si>
  <si>
    <t>TOTAL c/ BDI</t>
  </si>
  <si>
    <t>Eng. Patrick Suckow</t>
  </si>
  <si>
    <t>Eng. Eros dos Santos</t>
  </si>
  <si>
    <t>ORÇAMENTO DESONERADO</t>
  </si>
  <si>
    <t>PINUS, EM PECAS DE 7,50X7,50CM (3"X3")</t>
  </si>
  <si>
    <t>05.001.0134-A</t>
  </si>
  <si>
    <t>SI00000088316</t>
  </si>
  <si>
    <t>SERVENTE COM ENCARGOS COMPLEMENTARES</t>
  </si>
  <si>
    <t>SI00000088310</t>
  </si>
  <si>
    <t>PINTOR COM ENCARGOS COMPLEMENTARES</t>
  </si>
  <si>
    <t>VIDRACEIRO COM ENCARGOS COMPLEMENTARES</t>
  </si>
  <si>
    <t>PEDREIRO COM ENCARGOS COMPLEMENTARES</t>
  </si>
  <si>
    <t>SI00000088309</t>
  </si>
  <si>
    <t>CAIXA DE LUZ DE PVC, DE 4"x4"</t>
  </si>
  <si>
    <t>CAIXA DE LUZ DE PVC, DE 4"x2"</t>
  </si>
  <si>
    <t>LUVA DE PVC RIGIDO ROSQUEAVEL, PARA ELETRODUTO, DE 3/4"</t>
  </si>
  <si>
    <t>ELETRODUTO DE PVC PRETO, RIGIDO ROSQUEAVEL, COM ROSCA EM AMBAS EXTREMIDADES, EMBARRAS DE 3 METROS, DE 3/4"</t>
  </si>
  <si>
    <t>BUCHA E ARRUELA DE ALUMINIO PARA ELETRODUTO, DE 3/4"</t>
  </si>
  <si>
    <t>ELETRICISTA COM ENCARGOS COMPLEMENTARES</t>
  </si>
  <si>
    <t>AUXILIAR DE ELETRICISTA COM ENCARGOS COMPLEMENTARES</t>
  </si>
  <si>
    <t>TERMINAL A COMPRESSAO EM COBRE ESTANHADO PARA CABO 2,5 MM2, 1 FURO E 1 COMPRESSAO, PARA PARAFUSO DE FIXACAO M5</t>
  </si>
  <si>
    <t>SI00000088264</t>
  </si>
  <si>
    <t>SI00000088247</t>
  </si>
  <si>
    <t>1.6</t>
  </si>
  <si>
    <t>1.7</t>
  </si>
  <si>
    <t>ALUGUEL CACAMBA DE ACO TIPO CONTAINER C/5M3 CAPAC.P/RETIRADA ENTULHO OBRA,INCL.CARREGA.,TRANSP.E DESCAR.LOCAIS AUTORIZ.</t>
  </si>
  <si>
    <t xml:space="preserve">DATA: 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</si>
  <si>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</si>
  <si>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</si>
  <si>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</si>
  <si>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</si>
  <si>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</si>
  <si>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01968</t>
  </si>
  <si>
    <t>MAO-DE-OBRA DE PEDREIRO, INCLUSIVE ENCARGOS SOCIAIS</t>
  </si>
  <si>
    <t>05.001.0134-0</t>
  </si>
  <si>
    <t>01983</t>
  </si>
  <si>
    <t>MAO-DE-OBRA DE ELETRICISTA DE CONSTRUCAOCIVIL, INCLUSIVE ENCARGOS SOCIAIS</t>
  </si>
  <si>
    <t>So00000088316</t>
  </si>
  <si>
    <t>L</t>
  </si>
  <si>
    <t>So00000088310</t>
  </si>
  <si>
    <t>01976</t>
  </si>
  <si>
    <t>MAO-DE-OBRA DE MARMORISTA DE MARMORE E GRANITO, INCLUSIVE ENCARGOS SOCIAIS</t>
  </si>
  <si>
    <t>So00000088309</t>
  </si>
  <si>
    <t>14.006.0010-0</t>
  </si>
  <si>
    <t>00709</t>
  </si>
  <si>
    <t>58.002.0412-1 TACO DE ALVENARIA (2,5 X 10 X 20)CM</t>
  </si>
  <si>
    <t>So00000088325</t>
  </si>
  <si>
    <t>04.014.0095-0</t>
  </si>
  <si>
    <t xml:space="preserve">MEMORIA DE CALCULO </t>
  </si>
  <si>
    <t>0007356</t>
  </si>
  <si>
    <t>TINTA LATEX ACRILICA PREMIUM, COR BRANCO FOSCO</t>
  </si>
  <si>
    <t>PREGO COM OU SEM CABECA, EM CAIXAS DE 50KG, OU QUANTIDADES EQUIVALENTES, Nº12X12A 18X30</t>
  </si>
  <si>
    <t>SI00000088325</t>
  </si>
  <si>
    <t>02.004.0001-A</t>
  </si>
  <si>
    <t>02884</t>
  </si>
  <si>
    <t>FECHADURA DE SOBREPOR, TIPO CAIXAO, RETANGULAR, ACABAMENTO FERRO RESINADO PRETO,DE (100X86X38)MM</t>
  </si>
  <si>
    <t>00510</t>
  </si>
  <si>
    <t>RECEPTACULO DE PORCELANA P/LAMPADA, BASEE-27</t>
  </si>
  <si>
    <t>00600</t>
  </si>
  <si>
    <t>VIDRO PLANO TRANSPARENTE, COMUM, COM ESPESSURA DE 3MM</t>
  </si>
  <si>
    <t>02315</t>
  </si>
  <si>
    <t>02316</t>
  </si>
  <si>
    <t>CORDAO PARALELO COM ISOLAMENTO TERMOPLASTICO, ATE 750V, DE 2X2,5MM2</t>
  </si>
  <si>
    <t>00252</t>
  </si>
  <si>
    <t>PARAFUSO C/ROSCA, DE (8x100)MM</t>
  </si>
  <si>
    <t>02472</t>
  </si>
  <si>
    <t>04915</t>
  </si>
  <si>
    <t>DOBRADICA EM FERRO LAMINADO, COM PINO DEFERRO REVERSIVEL, DE 3"X3"X5/64"</t>
  </si>
  <si>
    <t>05914</t>
  </si>
  <si>
    <t>INTERRUPTOR DE SOBREPOR SIMPLES, DE 10A-250V</t>
  </si>
  <si>
    <t>08000</t>
  </si>
  <si>
    <t>TELHA ONDULADA DE CIMENTO, SEM AMIANTO,REFORCADA C/FIOS SINTETICOS (CRFS), DE (2,44X1,10)M E C/ESPES. DE 6MM</t>
  </si>
  <si>
    <t>31011</t>
  </si>
  <si>
    <t>59.003.0010-B PINUS,PECA 1" X 12" E 1" X 9"</t>
  </si>
  <si>
    <t>PLACA DE IDENTIFICACAO DE OBRA PUBLICA,TIPO BANNER/PLOTTER,CONSTITUIDA POR LONA E IMPRESSAO DIGITAL,INCLUSIVE SUPORTES DE MADEIRA.FORNECIMENTO E COLOCACAO</t>
  </si>
  <si>
    <t>BARRACAO DE OBRA,COM PAREDES E PISO DE TABUAS DE MADEIRA DE3ª,COBERTURA DE TELHAS DE FIBROCIMENTO DE 6MM,E INSTALACOES,EXCLUSIVE PINTURA,SENDO REAPROVEITADO 2 VEZES</t>
  </si>
  <si>
    <t>DISJUNTOR, MONOPOLAR, DE 10 A 32A, 3KA,MODELO DIN, TIPO C</t>
  </si>
  <si>
    <t>GLOBO ESFERICO, EM VIDRO, TIPO LEITOSO,DE (10X15)CM</t>
  </si>
  <si>
    <t>ARRANCAMENTO DE PORTAS,JANELAS E CAIXILHOS DE AR CONDICIONADO OU OUTROS</t>
  </si>
  <si>
    <t>PORTA DE MADEIRA DE LEI EM COMPENSADO DE 80X210X3,5CM FOLHEADA NAS 2 FACES,ADUELA DE 13X3CM E ALIZARES DE 5X2CM,EXCLUSIVE FERRAGENS.FORNECIMENTO E COLOCACAO</t>
  </si>
  <si>
    <t>RETIRADA DE ENTULHO DE OBRA COM CACAMBA DE ACO TIPO CONTAINER COM 5M3 DE CAPACIDADE,INCLUSIVE CARREGAMENTO,TRANSPORTE EDESCARREGAMENTO.CUSTO POR UNIDADE DE CACAMBA E INCLUI A TAXA PARA DESCARGA EM LOCAIS AUTORIZADOS</t>
  </si>
  <si>
    <t>CURVA 90º DE PVC RIGIDO, ROSQUEAVEL, PARA ELETRODUTO, DE 3/4"</t>
  </si>
  <si>
    <t>20039</t>
  </si>
  <si>
    <t>MAO-DE-OBRA DE BOMBEIRO HIDRAULICO DA CONSTRUCAO CIVIL, INCLUSIVE ENCARGOS SOCIAIS DESONERADOS</t>
  </si>
  <si>
    <t>0001570</t>
  </si>
  <si>
    <t>20152</t>
  </si>
  <si>
    <t>MAO-DE-OBRA DE VIDRACEIRO, INCLUSIVE ENCARGOS SOCIAIS DESONERADOS</t>
  </si>
  <si>
    <t>02.004.0001-0</t>
  </si>
  <si>
    <t>00365</t>
  </si>
  <si>
    <t>59.003.0010-1 PINUS,PECA 1" X 12" E 1" X 9"</t>
  </si>
  <si>
    <t>So0007356</t>
  </si>
  <si>
    <t>05269</t>
  </si>
  <si>
    <t>ABRACADEIRA TIPO COPO, DE 3/4"</t>
  </si>
  <si>
    <t>0003315</t>
  </si>
  <si>
    <t>GESSO EM PO PARA REVESTIMENTOS/MOLDURAS/SANCAS E USO GERAL</t>
  </si>
  <si>
    <t>SI00000088269</t>
  </si>
  <si>
    <t>GESSEIRO COM ENCARGOS COMPLEMENTARES</t>
  </si>
  <si>
    <t>So00000088269</t>
  </si>
  <si>
    <t>So0003315</t>
  </si>
  <si>
    <t>02370</t>
  </si>
  <si>
    <t>TOMADA ELETRICA 2P+T, 10A/250V, PADRAO BRASILEIRO, DE EMBUTIR, COM PLACA 4"X2"</t>
  </si>
  <si>
    <t>0034653</t>
  </si>
  <si>
    <t>DISJUNTOR TIPO DIN/IEC, MONOPOLAR DE 6  ATE  32A</t>
  </si>
  <si>
    <t>05.001.0073-0</t>
  </si>
  <si>
    <t>REMOCAO DE PLACAS DE PISO VINILICO OU DE BORRACHA SINTETICA</t>
  </si>
  <si>
    <t>05.001.0310-0</t>
  </si>
  <si>
    <t>ENSACAMENTO E TRANSPORTE DE ESCOMBROS EM SACOS PLASTICOS,DESDE UM PAVIMENTO ELEVADO ATE O TERREO,UTILIZANDO ELEVADOR</t>
  </si>
  <si>
    <t>05.001.0076-0</t>
  </si>
  <si>
    <t>REMOCAO DE DIVISORIAS DE MADEIRA,PRE-MOLDADAS,PRENSADAS OU SEMELHANTES</t>
  </si>
  <si>
    <t>PREPARAÇÃO DE PISO</t>
  </si>
  <si>
    <t>So00000087622</t>
  </si>
  <si>
    <t>CONTRAPISO EM ARGAMASSA TRAÇO 1:4 (CIMENTO E AREIA), PREPARO MANUAL, APLICADO EM ÁREAS SECAS SOBRE LAJE, ADERIDO, ACABAMENTO NÃO REFORÇADO, ESPESSURA 2CM. AF_07/2021</t>
  </si>
  <si>
    <t>So0007334</t>
  </si>
  <si>
    <t>ADITIVO ADESIVO LIQUIDO PARA ARGAMASSAS DE REVESTIMENTOS CIMENTICIOS</t>
  </si>
  <si>
    <t>So0001379</t>
  </si>
  <si>
    <t>CIMENTO PORTLAND COMPOSTO CP II-32</t>
  </si>
  <si>
    <t>So00000087373</t>
  </si>
  <si>
    <t>So00000087373 ARGAMASSA TRAÇO 1:4 (EM VOLUME DE CIMENTO E AREIA MÉDIA ÚMIDA) PARA CONTRAPISO, PREPARO MANUAL. AF_08/2019</t>
  </si>
  <si>
    <t>REVESTIMENTO DE PISO</t>
  </si>
  <si>
    <t>So00000087257</t>
  </si>
  <si>
    <t>REVESTIMENTO CERÂMICO PARA PISO COM PLACAS TIPO ESMALTADA EXTRA DE DIMENSÕES 60X60 CM APLICADA EM AMBIENTES DE ÁREA MAIOR QUE 10 M2. AF_06/2014</t>
  </si>
  <si>
    <t>So0034357</t>
  </si>
  <si>
    <t>REJUNTE CIMENTICIO, QUALQUER COR</t>
  </si>
  <si>
    <t>So0001381</t>
  </si>
  <si>
    <t>ARGAMASSA COLANTE AC I PARA CERAMICAS</t>
  </si>
  <si>
    <t>So0001292</t>
  </si>
  <si>
    <t>PISO EM CERAMICA ESMALTADA EXTRA, PEI MAIOR OU IGUAL A 4, FORMATO MAIOR QUE 2025 CM2</t>
  </si>
  <si>
    <t>So00000088256</t>
  </si>
  <si>
    <t>AZULEJISTA OU LADRILHISTA COM ENCARGOS COMPLEMENTARES</t>
  </si>
  <si>
    <t>So00000088650</t>
  </si>
  <si>
    <t>RODAPÉ CERÂMICO DE 7CM DE ALTURA COM PLACAS TIPO ESMALTADA EXTRA DE DIMENSÕES 60X60CM. AF_06/2014</t>
  </si>
  <si>
    <t>SI00000100697</t>
  </si>
  <si>
    <t>RECOLOCAÇÃO DE FOLHAS DE PORTA DE MADEIRA LEVE OU MÉDIA DE 80CM DE LARGURA, CONSIDERANDO REAPROVEITAMENTO DO MATERIAL. AF_12/2019</t>
  </si>
  <si>
    <t>0011055</t>
  </si>
  <si>
    <t>PARAFUSO ROSCA SOBERBA ZINCADO CABECA CHATA FENDA SIMPLES 3,5 X 25 MM (1 ")</t>
  </si>
  <si>
    <t>SI00000088261</t>
  </si>
  <si>
    <t>CARPINTEIRO DE ESQUADRIA COM ENCARGOS COMPLEMENTARES</t>
  </si>
  <si>
    <t>4.3</t>
  </si>
  <si>
    <t>14.006.0220-0</t>
  </si>
  <si>
    <t>PORTA DE MADEIRA DE LEI DE CORRER EM COMPENSADO DE 80X210X3,5CM,PENDURADA EM ROLDANAS,CORRENDO DENTRO DE TRILHO OCO,GUIADA POR CANALETA EMBUTIDA NO PISO COM MARCO DE 7X3CM,EXCLUSIVE FERRAGENS.FORNECIMENTO E COLOCACAO</t>
  </si>
  <si>
    <t>02260</t>
  </si>
  <si>
    <t>MARCO EM MADEIRA DE LEI, DE (7X3)CM, GRUPO V</t>
  </si>
  <si>
    <t>14.007.0090-0</t>
  </si>
  <si>
    <t>FERRAGENS P/PORTAS DE MADEIRA,DE CORRER,DE 1 FOLHA,CONSTANDODE FORN.S/COLOC.DE:-FECHADURA C/CHAVE BI-PART.,LATAO, ACABAMENTO CROMADO;-2,00M DE TRILHO EM "U",DE FERRO;-2 ROLDANAS DE FERRO;-2 GUIAS DE LATAO,TAMANHO 3/4",SEM CANTONEIRA;-2,00MCANALETA DE ALUMINIO,TAMANHO 2,00MX3/4",2 CONCHAS COM FUROPARA CHAVE, LATAO CROMADO</t>
  </si>
  <si>
    <t>04924</t>
  </si>
  <si>
    <t>FECHADURA DE EMBUTIR, P/PORTA INTERNA DECORRER, COM CHAVE BIPARTIDA, EM LATAO CROMADO, DIST.45MM, E PROFUNDIDADE 68MM</t>
  </si>
  <si>
    <t>00965</t>
  </si>
  <si>
    <t>ROLDANA SIMPLES, P/PORTA DE CORRER, EM FERRO COM ROLAMENTO DE ESFERA, CANTONEIRADE LATAO</t>
  </si>
  <si>
    <t>00957</t>
  </si>
  <si>
    <t>CANALETA DE ALUMINIO, PARA PORTAS DE CORRER, DE 2,00MX3/4"</t>
  </si>
  <si>
    <t>00956</t>
  </si>
  <si>
    <t>TRILHO DE FERRO EM "U", OCO, P/ROLDANA,P/PORTA DE CORRER, (6X5)CM</t>
  </si>
  <si>
    <t>00947</t>
  </si>
  <si>
    <t>GUIA P/TRILHO EM "U", LATAO FUNDIDO CROMADO, SEM CANTONEIRA, DE 3/4"</t>
  </si>
  <si>
    <t>00922</t>
  </si>
  <si>
    <t>CONCHA EM LATAO CROMADO, FORMA RETANGULAR FUNDO EM BAIXO RELEVO, SEM FURO, DE (95X40)MM</t>
  </si>
  <si>
    <t>So00000102152</t>
  </si>
  <si>
    <t>INSTALAÇÃO DE VIDRO LISO, E = 4 MM, EM ESQUADRIA DE MADEIRA, FIXADO COM BAGUETE. AF_01/2021</t>
  </si>
  <si>
    <t>So0039961</t>
  </si>
  <si>
    <t>SILICONE ACETICO USO GERAL INCOLOR 280 G</t>
  </si>
  <si>
    <t>So0039026</t>
  </si>
  <si>
    <t>PREGO DE ACO POLIDO SEM CABECA 15 X 15 (1 1/4 X 13)</t>
  </si>
  <si>
    <t>So0010492</t>
  </si>
  <si>
    <t>VIDRO LISO INCOLOR 4MM - SEM COLOCACAO</t>
  </si>
  <si>
    <t>COTAÇÃO</t>
  </si>
  <si>
    <t>JANELA 1.5MX1,20M COM 4 FOLHAS (2 FIXAS E 2 MÓVEIS) DE VIDRO TEMPERADO INCOLOR, INCLUSO FRETE</t>
  </si>
  <si>
    <t>JANELA 1.5MX1,20M COM 4 FOLHAS (2 FIXAS E 2 MÓVEIS) DE VIDRO TEMPERADO INCOLOR, INCLUSO FRETE /// JM VIDROS TEMPERADOS // 03.497.858/0001-00</t>
  </si>
  <si>
    <t>JANELA 1.5MX1,20M COM 4 FOLHAS (2 FIXAS E 2 MÓVEIS) DE VIDRO TEMPERADO INCOLOR, INCLUSO FRETE /// BRANCA VIDROS //07.947.760/0001-50</t>
  </si>
  <si>
    <t>JANELA 1.5MX1,20M COM 4 FOLHAS (2 FIXAS E 2 MÓVEIS) DE VIDRO TEMPERADO INCOLOR, INCLUSO FRETE /// IMPERIO DOS VIDROS // 28.455.247/0001-11</t>
  </si>
  <si>
    <t>COMPOSIÇÃO</t>
  </si>
  <si>
    <t>PORTA EM VIDRO TEMPERADO INCOLOR 10MM DE ESPESSURA, INCLUSIVE CONJUNTO DE FERRAGENS E UMA MOLA HIDRAULICA DE PISO PARA VIDRO TEMPERADO, FORNECIMENTO E COLOCAÇÃO</t>
  </si>
  <si>
    <t>14.004.0120-0</t>
  </si>
  <si>
    <t>VIDRO TEMPERADO INCOLOR,10MM DE ESPESSURA,PARA PORTAS OU PAINEIS FIXOS,EXCLUSIVE FERRAGENS.FORNECIMENTO E COLOCACAO</t>
  </si>
  <si>
    <t>05533</t>
  </si>
  <si>
    <t>PIVO, PARA VIDRO TEMPERADO DE 10MM</t>
  </si>
  <si>
    <t>05530</t>
  </si>
  <si>
    <t>ESPELHO DE FECHADURA, PARA VIDRO TEMPERADO, DE 10MM</t>
  </si>
  <si>
    <t>05529</t>
  </si>
  <si>
    <t>MANCAL SUPERIOR, PARA VIDRO TEMPERADO DE10MM</t>
  </si>
  <si>
    <t>05528</t>
  </si>
  <si>
    <t>PUXADOR STANDARD, DE MADEIRA, PARA VIDROTEMPERADO DE 10MM</t>
  </si>
  <si>
    <t>05524</t>
  </si>
  <si>
    <t>FECHADURA DE CENTRO, PARA VIDRO TEMPERADO, DE 10MM</t>
  </si>
  <si>
    <t>05521</t>
  </si>
  <si>
    <t>DOBRADICA INFERIOR, PARA VIDRO TEMPERADO, DE 10MM</t>
  </si>
  <si>
    <t>05531</t>
  </si>
  <si>
    <t>MOLA HIDRAULICA DE PISO PARA VIDRO TEMPERADO DE 10MM</t>
  </si>
  <si>
    <t>So00000102192</t>
  </si>
  <si>
    <t>REMOÇÃO DE VIDRO TEMPERADO FIXADO EM PERFIL U. AF_01/2021</t>
  </si>
  <si>
    <t>REMOÇÃO E RECOLOCAÇÃO DE PORTA DE VIDRO TEMPERADO, 2 FOLHAS, INCLUSIVE ACESSÓRIOS.</t>
  </si>
  <si>
    <t>4.4</t>
  </si>
  <si>
    <t>4.5</t>
  </si>
  <si>
    <t>4.6</t>
  </si>
  <si>
    <t>4.7</t>
  </si>
  <si>
    <t>4.8</t>
  </si>
  <si>
    <t>4.9</t>
  </si>
  <si>
    <t>4.10</t>
  </si>
  <si>
    <t>12.015.0061-0</t>
  </si>
  <si>
    <t>PAREDE DIVISORIA COM 35MM DE ESPESSURA,CONSTITUIDA DE PAINELCEGO ATE ALTURA DE 1,10M E ACIMA DE 2,10M,COM VIDRO ENTRE 1,10 E 2,10M(EXCLUSIVE ESTE),REVESTIDA EM LAMINADO MELAMINICO,COM MIOLO EM COLMEIA,ESTRUTURADO COM MONTANTES DE ACO NA COR PRETA,EM "L","T" OU "X",FAZENDO AS PORTAS PARTE DO CONJUNTO,EXCLUSIVE SUAS FERRAGENS</t>
  </si>
  <si>
    <t>10786</t>
  </si>
  <si>
    <t>DIVISORIA 35MM C/MONT.ACO NA COR PRETA,C/MIOLO COLMEIA,REVEST.CHAPA LAM.MELAM.PAINEL/VIDRO/PAINEL,EXCL.VIDRO,FORN.E COL</t>
  </si>
  <si>
    <t>14.004.0010-0</t>
  </si>
  <si>
    <t>VIDRO PLANO TRANSPARENTE,COMUM,DE 3MM DE ESPESSURA.FORNECIMENTO E COLOCACAO</t>
  </si>
  <si>
    <t>01957</t>
  </si>
  <si>
    <t>MAO-DE-OBRA DE VIDRACEIRO, INCLUSIVE ENCARGOS SOCIAIS</t>
  </si>
  <si>
    <t>12.016.0010-0</t>
  </si>
  <si>
    <t>PAREDE DRYWALL,C/ESP.95MM,ESTRUT.C/MONTANTES SIMPLES AUTOPORTANTES 70MM,FIX.A GUIAS HORIZONTAIS 70MM,AMBOS ACO GALV.ESP.0,5MM,C/DUAS CHAPAS GESSO ACARTONADO STANDARD,C/ADICAO DE LAMINERAL,ESP.12,5MM,LARG.1200MM,FIX.MONTANT.POR MEIO DE PARAFUSOS,C/TRATAMENTO JUNTAS C/MASSA E FITA P/UNIF.SUPERF.DAS CHAPAS DE GESSO ACARTONADO,APLIC.AREAS SECAS.FORN.E COLOCACAO</t>
  </si>
  <si>
    <t>14660</t>
  </si>
  <si>
    <t>PINO DE ACO COM ARRUELA CONICA, DIAMETROARRUELA=23MM E COMPRIMENTO DE HASTE=27MM (ACAO INDIRETA)</t>
  </si>
  <si>
    <t>14657</t>
  </si>
  <si>
    <t>PARAFUSO PARA DRYWALL, EM ACO FOSFATIZADO, CABECA TROMBETA E PONTA AGULHA (TA),COMPRIMENTO 25MM</t>
  </si>
  <si>
    <t>14651</t>
  </si>
  <si>
    <t>PERFIL MONTANTE, FORMATO"C", EM ACO ZINCADO, PARA ESTRUTURA PAREDE DRYWALL, ESP=0,5MM, 70X3000MM (LXC)</t>
  </si>
  <si>
    <t>14647</t>
  </si>
  <si>
    <t>PERFIL GUIA, FORMATO U, EM ACO ZINCADO,PARA ESTRUTURA PAREDE DRYWALL, ESP=0,5MM, 70X3000MM (LXC)</t>
  </si>
  <si>
    <t>14642</t>
  </si>
  <si>
    <t>MASSA P/REJUNTE (EM PO),P/DRYWALL,A BASEDE GESSO,SECAGEM RAPIDA,P/TRAT. DE JUNTAS DE CHAPA DE GESSO(C/ADICAO DE AGUA)</t>
  </si>
  <si>
    <t>14639</t>
  </si>
  <si>
    <t>FITA PARA TRATAMENTO ACUSTICO (BANDA ACUSTICA) 3000X70MM</t>
  </si>
  <si>
    <t>14637</t>
  </si>
  <si>
    <t>FITA DE PAPEL MICROPERFURADO 50X150MM, PARA TRATAMENTO DE JUNTAS DE CHAPA DE GESSO PARA DRYWALL</t>
  </si>
  <si>
    <t>14636</t>
  </si>
  <si>
    <t>FELTRO DE LA DE ROCHA, UMA FACE REVESTIDA COM FILME DE POLIPROPILENO, EM ROLO, DENSIDADE DE 32KGM3, ESP=50MM</t>
  </si>
  <si>
    <t>14630</t>
  </si>
  <si>
    <t>CHAPA DE GESSO ACARTONADO, STANDARD (ST), COR BRANCA, ESP=12.5MM, 1200X2400MM (LXC)</t>
  </si>
  <si>
    <t>01975</t>
  </si>
  <si>
    <t>MAO-DE-OBRA DE MONTADOR A (MONTAGEM DE ESTRUTURAS METALICAS), INCLUSIVE ENCARGOSSOCIAIS</t>
  </si>
  <si>
    <t>PAINEL DE MADEIRA LISO 15MM</t>
  </si>
  <si>
    <t>PAINEL DE MADEIRA LISO 15MM // LEROY MERLIN // 01.738.784/0048-60</t>
  </si>
  <si>
    <t>PAINEL DE MADEIRA LISO 15MM // VOCÊ CONSTROI // 61.740.510/0001-90</t>
  </si>
  <si>
    <t>PAINEL DE MADEIRA LISO 15MM // MADEIRAMADEIRA // 10.490.181/0001-35</t>
  </si>
  <si>
    <t>13.180.0015-1</t>
  </si>
  <si>
    <t>FORRO FALSO DE GESSO, COM PLACAS PRE-MOLDADAS, DE 60X60CM,DEENCAIXE, PRESAS COM 4 TIRANTES DE ARAME E REJUNTADAS. FORNECIMENTO E COLOCACAO</t>
  </si>
  <si>
    <t>02255</t>
  </si>
  <si>
    <t>PLACA DE GESSO, PARA REBAIXAMENTO DE TETO, DE (60X60)CM. FORNECIMENTO E COLOCACAO</t>
  </si>
  <si>
    <t>So00000099054</t>
  </si>
  <si>
    <t>ACABAMENTOS PARA FORRO (SANCA DE GESSO MONTADA NA OBRA). AF_05/2017_P</t>
  </si>
  <si>
    <t>So0020250</t>
  </si>
  <si>
    <t>SISAL EM FIBRA</t>
  </si>
  <si>
    <t>So0005066</t>
  </si>
  <si>
    <t>PREGO DE ACO POLIDO COM CABECA 12 X 12</t>
  </si>
  <si>
    <t>So0004812</t>
  </si>
  <si>
    <t>PLACA DE GESSO PARA FORRO, *60 X 60* CM, ESPESSURA DE 12 MM (SEM COLOCACAO)</t>
  </si>
  <si>
    <t>So0040547</t>
  </si>
  <si>
    <t>PARAFUSO ZINCADO, AUTOBROCANTE, FLANGEADO, 4,2 MM X 19 MM</t>
  </si>
  <si>
    <t>CENTO</t>
  </si>
  <si>
    <t>So0000345</t>
  </si>
  <si>
    <t>ARAME GALVANIZADO 18 BWG, D = 1,24MM (0,009 KG/M)</t>
  </si>
  <si>
    <t>5.3</t>
  </si>
  <si>
    <t>5.4</t>
  </si>
  <si>
    <t>5.5</t>
  </si>
  <si>
    <t>5.6</t>
  </si>
  <si>
    <t>18.081.0020-0</t>
  </si>
  <si>
    <t>BANCA SECA DE GRANITO CINZA CORUMBA,COM 2CM DE ESPESSURA E 60CM DE LARGURA,SOBRE APOIOS DE ALVENARIA DE MEIA VEZ E VERGADE CONCRETO,SEM REVESTIMENTO.FORNECIMENTO E COLOCACAO</t>
  </si>
  <si>
    <t>13347</t>
  </si>
  <si>
    <t>BANCA SECA DE GRANITO CINZA CORUMBA, COM2CM DE ESPESSURA E 60CM DE LARGURA</t>
  </si>
  <si>
    <t>03083</t>
  </si>
  <si>
    <t>11.013.0003-1 VERGAS CONCR. ARMADO P/ ALVEN.</t>
  </si>
  <si>
    <t>01648</t>
  </si>
  <si>
    <t>12.003.0075-1 ALVENARIA TIJ. FURADO 10X20X20CM</t>
  </si>
  <si>
    <t>18.081.0050-0</t>
  </si>
  <si>
    <t>BANCA DE GRANITO CINZA CORUMBA,COM 2CM DE ESPESSURA,COM ABERTURA PARA 1 CUBA (EXCLUSIVE ESTA),SOBRE APOIOS DE ALVENARIADE MEIA VEZ E VERGA DE CONCRETO,SEM REVESTIMENTO.FORNECIMENTO E COLOCACAO</t>
  </si>
  <si>
    <t>14802</t>
  </si>
  <si>
    <t>BANCA DE GRANITO CINZA CORUMBA,DE(1,20X0,60)M,COM 2CM DE ESPESSURA E 1 ABERTURAPARA CUBA(EXCLUSIVE CUBA)</t>
  </si>
  <si>
    <t>13365</t>
  </si>
  <si>
    <t>FRONTISPICIO DE GRANITO CINZA ANDORINHA,COM SECAO DE 5X2CM</t>
  </si>
  <si>
    <t>13.001.0010-1</t>
  </si>
  <si>
    <t>CHAPISCO EM SUPERFICIE DE CONCRETO OU ALVENARIA,COM ARGAMASSA DE CIMENTO E AREIA,NO TRACO 1:3,COM 5MM DE ESPESSURA</t>
  </si>
  <si>
    <t>07.001.0010-1</t>
  </si>
  <si>
    <t>PASTA DE CIMENTO COMUM</t>
  </si>
  <si>
    <t>07.007.0010-1</t>
  </si>
  <si>
    <t>ARGAMASSA DE CIMENTO,SAIBRO E AREIA,NO TRACO 1:2:2,PREPAROMECANICO</t>
  </si>
  <si>
    <t>FRONTISPICIO DE GRANITO CINZA ANDORINHA,COM SECAO DE 7X2CM,INCLUSIVE REJUNTAMENTO.FORNECIMENTO E COLOCACAO (OBS.:3%-DESGASTE DE FERRAMENTAS E EPI).</t>
  </si>
  <si>
    <t>PORTA EM VIDRO TEMPERADO INCOLOR,10MM DE ESPESSURA, ,INCLUSIVE  CONJUNTO DE FERRAGENS  E UMA MOLA HIDRAULICA DE PISO PARA VIDRO TEMPERADO, FORNECIMENTO E COLOCAÇÃO.</t>
  </si>
  <si>
    <t>18.016.0040-0</t>
  </si>
  <si>
    <t>CUBA DE ACO INOXIDAVEL,MEDINDO APROXIMADAMENTE (500X400X200)MM,EM CHAPA 20.304,VALVULA DE ESCOAMENTO TIPO AMERICANA 1623,SIFAO 1680 1.1/2" X 1.1/2",EXCLUSIVE TORNEIRA.FORNECIMENTOE COLOCACAO</t>
  </si>
  <si>
    <t>02593</t>
  </si>
  <si>
    <t>VALVULA DE ESCOAMENTO, P/PIA DE COZINHA,1623, EM METAL CROMADO, DE 1.1/2"X3.3/4"</t>
  </si>
  <si>
    <t>02592</t>
  </si>
  <si>
    <t>CUBA DE ACO INOXIDAVEL, CHAPA 20/304, SIMPLES, MEDINDO APROXIMADAMENTE (500X400X200)MM, CHAPA 20/304</t>
  </si>
  <si>
    <t>02356</t>
  </si>
  <si>
    <t>SIFAO EM METAL CROMADO, DE 1.1/2"X1.1/2"</t>
  </si>
  <si>
    <t>06.271.0052-0</t>
  </si>
  <si>
    <t>06.271.0054-0</t>
  </si>
  <si>
    <t>18.013.0119-0</t>
  </si>
  <si>
    <t>15.038.0075-0</t>
  </si>
  <si>
    <t>15.002.0062-0</t>
  </si>
  <si>
    <t>TUBO DE PVC RIGIDO,ROSQUEAVEL,PARA AGUA FRIA,COM DIAMETRO DE1".FORNECIMENTO</t>
  </si>
  <si>
    <t>02564</t>
  </si>
  <si>
    <t>TUBO DE PVC RIGIDO ROSQUEAVEL, EM BARRASDE 6,00M, ROSCA EM AMBAS AS EXTREMIDADES, DE 1"</t>
  </si>
  <si>
    <t>TUBO DE PVC RIGIDO ROSQUEAVEL,PARA AGUA FRIA,COM DIAMETRO DE2".FORNECIMENTO</t>
  </si>
  <si>
    <t>02611</t>
  </si>
  <si>
    <t>TUBO DE PVC RIGIDO ROSQUEAVEL, EM BARRASDE 6,00M, ROSCA EM AMBAS AS EXTREMIDADES, DE 2"</t>
  </si>
  <si>
    <t>SIFAO EM METAL CROMADO,DE 1"X1.1/2".FORNECIMENTO</t>
  </si>
  <si>
    <t>02568</t>
  </si>
  <si>
    <t>SIFAO EM METAL CROMADO, DE 1"x1.1/2"</t>
  </si>
  <si>
    <t>JOELHO 90º COM ROSCA,COM DIAMETRO DE 2".FORNECIMENTO</t>
  </si>
  <si>
    <t>02626</t>
  </si>
  <si>
    <t>JOELHO 90º DE PVC RIGIDO ROSQUEAVEL, DE2"</t>
  </si>
  <si>
    <t>CAIXA DE GORDURA SIMPLES CILINDRICA,PRE-FABRICADA EM ANEIS DE CONCRETO,COM DIAMETRO DE 40CM E PROFUNDIDADE TOTAL DE 60CM,INCLUSIVE TAMPA DE CONCRETO.FORNECIMENTO E COLOCACAO</t>
  </si>
  <si>
    <t>02323</t>
  </si>
  <si>
    <t>CAIXA DE GORDURA, PRE-FABRICADA DE CONCRETO, COM TAMPA, MODELO SIMPLES</t>
  </si>
  <si>
    <t>00149</t>
  </si>
  <si>
    <t>CIMENTO PORTLAND CP II 32, EM SACO DE 50KG</t>
  </si>
  <si>
    <t>01993</t>
  </si>
  <si>
    <t>MAO-DE-OBRA DE BOMBEIRO HIDRAULICO DA CONSTRUCAO CIVIL, INCLUSIVE ENCARGOS SOCIAIS</t>
  </si>
  <si>
    <t xml:space="preserve">INSTALAÇÕES ELÉTRICAS </t>
  </si>
  <si>
    <t>15.015.0021-0</t>
  </si>
  <si>
    <t>15.018.0180-0</t>
  </si>
  <si>
    <t>INSTALACAO DE PONTO DE LUZ,APARENTE,EQUIVALENTE A 2 VARAS DEELETRODUTO DE PVC RIGIDO DE 3/4",12,00M DE FIO 2,5MM2,CAIXAS,CONEXOES,LUVAS,CURVA E INTERRUPTOR DE SOBREPOR</t>
  </si>
  <si>
    <t>INSTALACAO DE PONTO PARA LUMINARIA FLUORESCENTE PENDENTE EMCANALETA(38X38X6000)MM(EXCLUSIVE LUMINARIA)INCLUSIVE TOMADAE 1,00M DE CABO PP 1,50MM2</t>
  </si>
  <si>
    <t>07645</t>
  </si>
  <si>
    <t>SUSPENSAO LONGA PARA LUMINARIA EM PERFILADO</t>
  </si>
  <si>
    <t>07644</t>
  </si>
  <si>
    <t>PARAFUSO, AUTO TRAVANTE, DE 1/4"X5/8"</t>
  </si>
  <si>
    <t>07643</t>
  </si>
  <si>
    <t>ARRUELA DE PRESSAO, DE DIAMETRO INTERNODE 1/4"</t>
  </si>
  <si>
    <t>07642</t>
  </si>
  <si>
    <t>CAIXA PARA TOMADA EM CANALETAS</t>
  </si>
  <si>
    <t>07641</t>
  </si>
  <si>
    <t>ARRUELA LISA DE DIAMETRO INTERNO, DE 1/4"</t>
  </si>
  <si>
    <t>05706</t>
  </si>
  <si>
    <t>CABO DE COBRE FLEXIVEL COM ISOLAMENTO TERMOPLASTICO, DE 450/750V, DE 1,5MM2</t>
  </si>
  <si>
    <t>05568</t>
  </si>
  <si>
    <t>PORCA ALTA, DE 1/4"</t>
  </si>
  <si>
    <t>LUMINARIA TIPO PENDENTE RETANGULAR 65 cmx5 cmx10cm ARKY BELLA ITALIA PRETO EQUIPADA COM REATOR ELETRONICO DE ALTO FATOR DE POTENCIA E LAMPADA FLUORESCENTE DE 1X20W.FORNECIMENTO E COLOCACAO (OBS.:3%-DESGASTE DE FERRAMENTAS E EPI).</t>
  </si>
  <si>
    <t>LUMINARIA TIPO PENDENTE RETANGULAR 65 cmx5 cmx10cm ARKY BELLA ITALIA PRETO EQUIPADA COM REATOR ELETRONICO DE ALTO FATOR DE POTENCIA E LAMPADA FLUORESCENTE DE 1X20W.FORNECIMENTO E COLOCACAO (OBS.:3%-DESGASTE DE FERRAMENTAS E EPI). // INSPIRE HOME // 24.335.485/0001-32</t>
  </si>
  <si>
    <t>LUMINARIA TIPO PENDENTE RETANGULAR 65 cmx5 cmx10cm ARKY BELLA ITALIA PRETO EQUIPADA COM REATOR ELETRONICO DE ALTO FATOR DE POTENCIA E LAMPADA FLUORESCENTE DE 1X20W.FORNECIMENTO E COLOCACAO (OBS.:3%-DESGASTE DE FERRAMENTAS E EPI). // MADEIRAMADEIRA // 10.490.181/0001-35</t>
  </si>
  <si>
    <t>LUMINARIA TIPO PENDENTE RETANGULAR 65 cmx5 cmx10cm ARKY BELLA ITALIA PRETO EQUIPADA COM REATOR ELETRONICO DE ALTO FATOR DE POTENCIA E LAMPADA FLUORESCENTE DE 1X20W.FORNECIMENTO E COLOCACAO (OBS.:3%-DESGASTE DE FERRAMENTAS E EPI). // VENTILANET // 29.240.913/0001-67</t>
  </si>
  <si>
    <t>SI00000093654</t>
  </si>
  <si>
    <t>DISJUNTOR MONOPOLAR TIPO DIN, CORRENTE NOMINAL DE 16A - FORNECIMENTO E INSTALAÇÃO. AF_10/2020</t>
  </si>
  <si>
    <t>DISPOSITIVO DE PROTEÇÃO CONTRA SURTOS DPS 40KA/275V</t>
  </si>
  <si>
    <t>DISPOSITIVO DE PROTEÇÃO CONTRA SURTOS DPS 40KA/275V // PIATÃ TEM // 02.939.491/0001-66</t>
  </si>
  <si>
    <t>DISPOSITIVO DE PROTEÇÃO CONTRA SURTOS DPS 40KA/275V // VIEWTECH // 07.327.325/0001-22</t>
  </si>
  <si>
    <t>DISPOSITIVO DE PROTEÇÃO CONTRA SURTOS DPS 40KA/275V // ZANETTI // 04.516.119/0001-72</t>
  </si>
  <si>
    <t>INTERRUPTOR DIFERENCIAL RESIDUAL (IDR) 80A-4-30MA</t>
  </si>
  <si>
    <t>INTERRUPTOR DIFERENCIAL RESIDUAL (IDR) 80A-4-30MA // DIMENCIONAL // 06.913.480/0001-63</t>
  </si>
  <si>
    <t>INTERRUPTOR DIFERENCIAL RESIDUAL (IDR) 80A-4-30MA // MADEIRAMADEIRA // 10.490.181*0001-35</t>
  </si>
  <si>
    <t>INTERRUPTOR DIFERENCIAL RESIDUAL (IDR) 80A-4-30MA // TRAMONTINA // 61.652.608/0001-95</t>
  </si>
  <si>
    <t>SAÍDA LATERAL PARA ELETRODUTO 1"</t>
  </si>
  <si>
    <t>SAÍDA LATERAL PARA ELETRODUTO 1" // SANTIL // 49.474.398/0001-63</t>
  </si>
  <si>
    <t>SAÍDA LATERAL PARA ELETRODUTO 1" // I9ELÉTRICA // 12.801.322/0001-19</t>
  </si>
  <si>
    <t>SAÍDA LATERAL PARA ELETRODUTO 1" // RCD ELÉTRICA //  07.748.574/0001-91</t>
  </si>
  <si>
    <t>SAÍDA LATERAL PARA ELETRODUTO 3/4"</t>
  </si>
  <si>
    <t>SAÍDA LATERAL PARA ELETRODUTO 3/4" // ELETRORASTRO // 08.014.793/0001-50</t>
  </si>
  <si>
    <t>SAÍDA LATERAL PARA ELETRODUTO 3/4" // RHAZ // 09.539.976/0001-01</t>
  </si>
  <si>
    <t>SAÍDA LATERAL PARA ELETRODUTO 3/4" // BUGSHOP // 21.428.051/0001-99</t>
  </si>
  <si>
    <t>So00000091953</t>
  </si>
  <si>
    <t>INTERRUPTOR SIMPLES (1 MÓDULO), 10A/250V, INCLUINDO SUPORTE E PLACA - FORNECIMENTO E INSTALAÇÃO. AF_12/2015</t>
  </si>
  <si>
    <t>So00000091952</t>
  </si>
  <si>
    <t>So00000091952 INTERRUPTOR SIMPLES (1 MÓDULO), 10A/250V, SEM SUPORTE E SEM PLACA - FORNECIMENTO E INSTALAÇÃO. AF_12/2015</t>
  </si>
  <si>
    <t>So00000091946</t>
  </si>
  <si>
    <t>So00000091946 SUPORTE PARAFUSADO COM PLACA DE ENCAIXE 4" X 2" MÉDIO (1,30 M DO PISO) PARA PONTO ELÉTRICO - FORNECIMENTO E INSTALAÇÃO. AF_12/2015</t>
  </si>
  <si>
    <t>So00000091959</t>
  </si>
  <si>
    <t>INTERRUPTOR SIMPLES (2 MÓDULOS), 10A/250V, INCLUINDO SUPORTE E PLACA - FORNECIMENTO E INSTALAÇÃO. AF_12/2015</t>
  </si>
  <si>
    <t>So00000091958</t>
  </si>
  <si>
    <t>So00000091958 INTERRUPTOR SIMPLES (2 MÓDULOS), 10A/250V, SEM SUPORTE E SEM PLACA - FORNECIMENTO E INSTALAÇÃO. AF_12/2015</t>
  </si>
  <si>
    <t>So00000091996</t>
  </si>
  <si>
    <t>TOMADA MÉDIA DE EMBUTIR (1 MÓDULO), 2P+T 10 A, INCLUINDO SUPORTE E PLACA - FORNECIMENTO E INSTALAÇÃO. AF_12/2015</t>
  </si>
  <si>
    <t>So00000091994</t>
  </si>
  <si>
    <t>So00000091994 TOMADA MÉDIA DE EMBUTIR (1 MÓDULO), 2P+T 10 A, SEM SUPORTE E SEM PLACA - FORNECIMENTO E INSTALAÇÃO. AF_12/2015</t>
  </si>
  <si>
    <t>So00000092004</t>
  </si>
  <si>
    <t>TOMADA MÉDIA DE EMBUTIR (2 MÓDULOS), 2P+T 10 A, INCLUINDO SUPORTE E PLACA - FORNECIMENTO E INSTALAÇÃO. AF_12/2015</t>
  </si>
  <si>
    <t>So00000092002</t>
  </si>
  <si>
    <t>So00000092002 TOMADA MÉDIA DE EMBUTIR (2 MÓDULOS), 2P+T 10 A, SEM SUPORTE E SEM PLACA - FORNECIMENTO E INSTALAÇÃO. AF_12/2015</t>
  </si>
  <si>
    <t>15.019.0015-0</t>
  </si>
  <si>
    <t>TOMADA DUPLA DE PISO,EM CORPO DE ALUMINIO FUNDIDO E TAMPA EMLATAO POLIDO,30A/380V.FORNECIMENTO E COLOCACAO</t>
  </si>
  <si>
    <t>05649</t>
  </si>
  <si>
    <t>TOMADA DE PISO, DE CORPO DE ALUMINIO FUNDIDO, E TAMPA DE LATAO POLIDO, COM TOMADAS DE 30A - 110V, TIPO DUPLA</t>
  </si>
  <si>
    <t>18.027.0305-0</t>
  </si>
  <si>
    <t>LUMINARIA DE SOBREPOR,FIXADA EM LAJE OU FORRO,TIPO CALHA,CHANFRADA OU PRISMATICA,COMPLETA,EQUIPADA COM REATOR ELETRONICODE ALTO FATOR DE POTENCIA E LAMPADA FLUORESCENTE DE 1X40W.FORNECIMENTO E COLOCACAO</t>
  </si>
  <si>
    <t>14678</t>
  </si>
  <si>
    <t>CALHA CHANFRADA EM CHAPA DE ACO PARA LUMINARIA DE SOBREPOR, PARA 1 LAMPADA TUBULAR DE 1200MM</t>
  </si>
  <si>
    <t>05946</t>
  </si>
  <si>
    <t>SUPORTE TIPO PE DE GALINHA PARA FIXACAODE LUMINARIAS</t>
  </si>
  <si>
    <t>05945</t>
  </si>
  <si>
    <t>REATOR ELETRONICO DE ALTO FATOR DE POTENCIA (AFT&gt;0,92), PARA LAMPADAS FLUORESCENTES - 40W - SIMPLES</t>
  </si>
  <si>
    <t>05337</t>
  </si>
  <si>
    <t>SUPORTE P/LAMPADA TUBULAR</t>
  </si>
  <si>
    <t>04312</t>
  </si>
  <si>
    <t>LAMPADA FLUORESCENTE TUBULAR, DE 40W</t>
  </si>
  <si>
    <t>So00000092868</t>
  </si>
  <si>
    <t>CAIXA RETANGULAR 4" X 2" MÉDIA (1,30 M DO PISO), METÁLICA, INSTALADA EM PAREDE - FORNECIMENTO E INSTALAÇÃO. AF_12/2015</t>
  </si>
  <si>
    <t>So0002556</t>
  </si>
  <si>
    <t>CAIXA DE LUZ "4 X 2" EM ACO ESMALTADA</t>
  </si>
  <si>
    <t>So00000088264</t>
  </si>
  <si>
    <t>So00000088247</t>
  </si>
  <si>
    <t>So00000088629</t>
  </si>
  <si>
    <t>So00000088629 ARGAMASSA TRAÇO 1:3 (EM VOLUME DE CIMENTO E AREIA MÉDIA ÚMIDA), PREPARO MANUAL. AF_08/2019</t>
  </si>
  <si>
    <t>So00000091926</t>
  </si>
  <si>
    <t>CABO DE COBRE FLEXÍVEL ISOLADO, 2,5 MM², ANTI-CHAMA 450/750 V, PARA CIRCUITOS TERMINAIS - FORNECIMENTO E INSTALAÇÃO. AF_12/2015</t>
  </si>
  <si>
    <t>So0021127</t>
  </si>
  <si>
    <t>FITA ISOLANTE ADESIVA ANTICHAMA, USO ATE 750 V, EM ROLO DE 19 MM X 5 M</t>
  </si>
  <si>
    <t>So0001014</t>
  </si>
  <si>
    <t>CABO DE COBRE, FLEXIVEL, CLASSE 4 OU 5, ISOLACAO EM PVC/A, ANTICHAMA BWF-B, 1 CONDUTOR, 450/750 V, SECAO NOMINAL 2,5 MM2</t>
  </si>
  <si>
    <t>So00000091928</t>
  </si>
  <si>
    <t>CABO DE COBRE FLEXÍVEL ISOLADO, 4 MM², ANTI-CHAMA 450/750 V, PARA CIRCUITOS TERMINAIS - FORNECIMENTO E INSTALAÇÃO. AF_12/2015</t>
  </si>
  <si>
    <t>So0000981</t>
  </si>
  <si>
    <t>CABO DE COBRE, FLEXIVEL, CLASSE 4 OU 5, ISOLACAO EM PVC/A, ANTICHAMA BWF-B, 1 CONDUTOR, 450/750 V, SECAO NOMINAL 4 MM2</t>
  </si>
  <si>
    <t>So00000091835</t>
  </si>
  <si>
    <t>ELETRODUTO FLEXÍVEL CORRUGADO REFORÇADO, PVC, DN 25 MM (3/4"), PARA CIRCUITOS TERMINAIS, INSTALADO EM FORRO - FORNECIMENTO E INSTALAÇÃO. AF_12/2015</t>
  </si>
  <si>
    <t>So0039244</t>
  </si>
  <si>
    <t>ELETRODUTO PVC FLEXIVEL CORRUGADO, REFORCADO, COR LARANJA, DE 25 MM, PARA LAJES E PISOS</t>
  </si>
  <si>
    <t>So00000091170</t>
  </si>
  <si>
    <t>So00000091170 FIXAÇÃO DE TUBOS HORIZONTAIS DE PVC, CPVC OU COBRE DIÂMETROS MENORES OU IGUAIS A 40 MM OU ELETROCALHAS ATÉ 150MM DE LARGURA, COM ABRAÇADEIRA METÁLICA RÍGIDA TIPO D 1/2, FIXADA EM PERFILADO EM LAJE. AF_05/2015</t>
  </si>
  <si>
    <t>So00000091837</t>
  </si>
  <si>
    <t>ELETRODUTO FLEXÍVEL CORRUGADO REFORÇADO, PVC, DN 32 MM (1"), PARA CIRCUITOS TERMINAIS, INSTALADO EM FORRO - FORNECIMENTO E INSTALAÇÃO. AF_12/2015</t>
  </si>
  <si>
    <t>So0039245</t>
  </si>
  <si>
    <t>ELETRODUTO PVC FLEXIVEL CORRUGADO, REFORCADO, COR LARANJA, DE 32 MM, PARA LAJES E PISOS</t>
  </si>
  <si>
    <t>So00000091863</t>
  </si>
  <si>
    <t>ELETRODUTO RÍGIDO ROSCÁVEL, PVC, DN 25 MM (3/4"), PARA CIRCUITOS TERMINAIS, INSTALADO EM FORRO - FORNECIMENTO E INSTALAÇÃO. AF_12/2015</t>
  </si>
  <si>
    <t>So0002674</t>
  </si>
  <si>
    <t>ELETRODUTO DE PVC RIGIDO ROSCAVEL DE 3/4 ", SEM LUVA</t>
  </si>
  <si>
    <t>So00000091864</t>
  </si>
  <si>
    <t>ELETRODUTO RÍGIDO ROSCÁVEL, PVC, DN 32 MM (1"), PARA CIRCUITOS TERMINAIS, INSTALADO EM FORRO - FORNECIMENTO E INSTALAÇÃO. AF_12/2015</t>
  </si>
  <si>
    <t>So0002685</t>
  </si>
  <si>
    <t>ELETRODUTO DE PVC RIGIDO ROSCAVEL DE 1 ", SEM LUVA</t>
  </si>
  <si>
    <t>15.018.0469-0</t>
  </si>
  <si>
    <t>ELETROCALHA PERFURADA,SEM TAMPA,TIPO "U",200X50MM,TRATAMENTOSUPERFICIAL PRE-ZINCADO A QUENTE,INCLUSIVE CONEXOES,ACESSORIOS E FIXACAO SUPERIOR.FORNECIMENTO E COLOCACAO</t>
  </si>
  <si>
    <t>13876</t>
  </si>
  <si>
    <t>SUPORTE SUSPENSAO OMEGA P/ELETROCALHA PERFURADA OU LISA 200X50MM (LARGURA X ABA)</t>
  </si>
  <si>
    <t>11946</t>
  </si>
  <si>
    <t>ELETROCALHA PERFURADA, SEM VIROLA, MED.(200X50X3000)MM, PRE-ZINCADA, SEM TAMPA</t>
  </si>
  <si>
    <t>07639</t>
  </si>
  <si>
    <t>PROLONGADOR PARA TIRANTE ROSQUEADO, DE 1/4"</t>
  </si>
  <si>
    <t>07637</t>
  </si>
  <si>
    <t>TIRANTE ROSQUEADO, DE 1/4"X3000MM</t>
  </si>
  <si>
    <t>05565</t>
  </si>
  <si>
    <t>PINO COM ROSCA, EM CAIXAS COM 100 PECAS,NO DIAMETRO DE 1/4", DE (30X20)MM</t>
  </si>
  <si>
    <t>15.018.0612-0</t>
  </si>
  <si>
    <t>CURVA HORIZONTAL,90º,PARA ELETROCALHA PERFURADA OU LISA,200X50MM.FORNECIMENTO E COLOCACAO</t>
  </si>
  <si>
    <t>12000</t>
  </si>
  <si>
    <t>CURVA HORIZONTAL, 90º, PARA ELETROCALHAPERFURADA OU LISA, 50X200MM, PRE-ZINCADA</t>
  </si>
  <si>
    <t>So00000088489</t>
  </si>
  <si>
    <t>APLICAÇÃO MANUAL DE PINTURA COM TINTA LÁTEX ACRÍLICA EM PAREDES, DUAS DEMÃOS. AF_06/2014</t>
  </si>
  <si>
    <t>7.5</t>
  </si>
  <si>
    <t>7.6</t>
  </si>
  <si>
    <t>7.8</t>
  </si>
  <si>
    <t>7.7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</si>
  <si>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</si>
  <si>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</si>
  <si>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</si>
  <si>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</si>
  <si>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</si>
  <si>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</si>
  <si>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</si>
  <si>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</si>
  <si>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</si>
  <si>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</si>
  <si>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</si>
  <si>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</si>
  <si>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</si>
  <si>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</si>
  <si>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</si>
  <si>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SUBTOTAL 7.0</t>
  </si>
  <si>
    <t>05.001.0073-A</t>
  </si>
  <si>
    <t>05.001.0310-A</t>
  </si>
  <si>
    <t>05.001.0076-A</t>
  </si>
  <si>
    <t>05.001.0130-0</t>
  </si>
  <si>
    <t>REMOCAO DE VIDRO ATE 0,30X0,30M COM LIMPEZA LOCAL</t>
  </si>
  <si>
    <t>05.001.0130-A</t>
  </si>
  <si>
    <t>SI00000087622</t>
  </si>
  <si>
    <t>0007334</t>
  </si>
  <si>
    <t>0001379</t>
  </si>
  <si>
    <t>SI00000087373</t>
  </si>
  <si>
    <t>SI00000087373 ARGAMASSA TRAÇO 1:4 (EM VOLUME DE CIMENTO E AREIA MÉDIA ÚMIDA) PARA CONTRAPISO, PREPARO MANUAL. AF_08/2019</t>
  </si>
  <si>
    <t>SI00000087257</t>
  </si>
  <si>
    <t>0034357</t>
  </si>
  <si>
    <t>0001381</t>
  </si>
  <si>
    <t>0001292</t>
  </si>
  <si>
    <t>SI00000088256</t>
  </si>
  <si>
    <t>SI00000088650</t>
  </si>
  <si>
    <t>So00000100697</t>
  </si>
  <si>
    <t>So0011055</t>
  </si>
  <si>
    <t>So00000088261</t>
  </si>
  <si>
    <t>14.006.0220-A</t>
  </si>
  <si>
    <t>14.007.0090-A</t>
  </si>
  <si>
    <t>SI00000102152</t>
  </si>
  <si>
    <t>0039961</t>
  </si>
  <si>
    <t>0039026</t>
  </si>
  <si>
    <t>0010492</t>
  </si>
  <si>
    <t>14.004.0120-A</t>
  </si>
  <si>
    <t>SI00000102192</t>
  </si>
  <si>
    <t xml:space="preserve">REMOÇÃO E RECOLOCAÇÃO DE PORTA  DE VIDRO TEMPERADO, 2 FOLHAS,  INCLUSIVE ACESSÓRIOS. </t>
  </si>
  <si>
    <t>12.015.0061-A</t>
  </si>
  <si>
    <t>14.004.0010-A</t>
  </si>
  <si>
    <t>12.016.0010-A</t>
  </si>
  <si>
    <t>20102</t>
  </si>
  <si>
    <t>MAO-DE-OBRA DE MONTADOR A (MONTAGEM DE ESTRUTURAS METALICAS), INCLUSIVE ENCARGOSSOCIAIS DESONERADOS</t>
  </si>
  <si>
    <t>13.180.0015-B</t>
  </si>
  <si>
    <t>SI00000099054</t>
  </si>
  <si>
    <t>0040547</t>
  </si>
  <si>
    <t>0020250</t>
  </si>
  <si>
    <t>0005066</t>
  </si>
  <si>
    <t>0004812</t>
  </si>
  <si>
    <t>0000345</t>
  </si>
  <si>
    <t>18.081.0020-A</t>
  </si>
  <si>
    <t>30344</t>
  </si>
  <si>
    <t>12.003.0075-B ALVENARIA TIJ. FURADO 10X20X20CM</t>
  </si>
  <si>
    <t>30312</t>
  </si>
  <si>
    <t>11.013.0003-B VERGAS CONCR. ARMADO P/ ALVEN.</t>
  </si>
  <si>
    <t>18.081.0050-A</t>
  </si>
  <si>
    <t>13.001.0010-B</t>
  </si>
  <si>
    <t>07.001.0010-B</t>
  </si>
  <si>
    <t>07.007.0010-B</t>
  </si>
  <si>
    <t>18.016.0040-A</t>
  </si>
  <si>
    <t>06.271.0052-A</t>
  </si>
  <si>
    <t>06.271.0054-A</t>
  </si>
  <si>
    <t>18.013.0119-A</t>
  </si>
  <si>
    <t>15.038.0075-A</t>
  </si>
  <si>
    <t>15.002.0062-A</t>
  </si>
  <si>
    <t>15.015.0021-A</t>
  </si>
  <si>
    <t>15.018.0180-A</t>
  </si>
  <si>
    <t>So00000093654</t>
  </si>
  <si>
    <t>So0034653</t>
  </si>
  <si>
    <t>So0001570</t>
  </si>
  <si>
    <t>SI00000091953</t>
  </si>
  <si>
    <t>SI00000091952</t>
  </si>
  <si>
    <t>SI00000091952 INTERRUPTOR SIMPLES (1 MÓDULO), 10A/250V, SEM SUPORTE E SEM PLACA - FORNECIMENTO E INSTALAÇÃO. AF_12/2015</t>
  </si>
  <si>
    <t>SI00000091946</t>
  </si>
  <si>
    <t>SI00000091946 SUPORTE PARAFUSADO COM PLACA DE ENCAIXE 4" X 2" MÉDIO (1,30 M DO PISO) PARA PONTO ELÉTRICO - FORNECIMENTO E INSTALAÇÃO. AF_12/2015</t>
  </si>
  <si>
    <t>SI00000091959</t>
  </si>
  <si>
    <t>SI00000091958</t>
  </si>
  <si>
    <t>SI00000091958 INTERRUPTOR SIMPLES (2 MÓDULOS), 10A/250V, SEM SUPORTE E SEM PLACA - FORNECIMENTO E INSTALAÇÃO. AF_12/2015</t>
  </si>
  <si>
    <t>SI00000091996</t>
  </si>
  <si>
    <t>SI00000091994</t>
  </si>
  <si>
    <t>SI00000091994 TOMADA MÉDIA DE EMBUTIR (1 MÓDULO), 2P+T 10 A, SEM SUPORTE E SEM PLACA - FORNECIMENTO E INSTALAÇÃO. AF_12/2015</t>
  </si>
  <si>
    <t>SI00000092004</t>
  </si>
  <si>
    <t>SI00000092002</t>
  </si>
  <si>
    <t>SI00000092002 TOMADA MÉDIA DE EMBUTIR (2 MÓDULOS), 2P+T 10 A, SEM SUPORTE E SEM PLACA - FORNECIMENTO E INSTALAÇÃO. AF_12/2015</t>
  </si>
  <si>
    <t>15.019.0015-A</t>
  </si>
  <si>
    <t>18.027.0305-A</t>
  </si>
  <si>
    <t>SI00000092868</t>
  </si>
  <si>
    <t>0002556</t>
  </si>
  <si>
    <t>SI00000088629</t>
  </si>
  <si>
    <t>SI00000088629 ARGAMASSA TRAÇO 1:3 (EM VOLUME DE CIMENTO E AREIA MÉDIA ÚMIDA), PREPARO MANUAL. AF_08/2019</t>
  </si>
  <si>
    <t>SI00000091926</t>
  </si>
  <si>
    <t>0021127</t>
  </si>
  <si>
    <t>0001014</t>
  </si>
  <si>
    <t>SI00000091928</t>
  </si>
  <si>
    <t>0000981</t>
  </si>
  <si>
    <t>SI00000091835</t>
  </si>
  <si>
    <t>0039244</t>
  </si>
  <si>
    <t>SI00000091170</t>
  </si>
  <si>
    <t>SI00000091170 FIXAÇÃO DE TUBOS HORIZONTAIS DE PVC, CPVC OU COBRE DIÂMETROS MENORES OU IGUAIS A 40 MM OU ELETROCALHAS ATÉ 150MM DE LARGURA, COM ABRAÇADEIRA METÁLICA RÍGIDA TIPO D 1/2, FIXADA EM PERFILADO EM LAJE. AF_05/2015</t>
  </si>
  <si>
    <t>SI00000091837</t>
  </si>
  <si>
    <t>0039245</t>
  </si>
  <si>
    <t>SI00000091863</t>
  </si>
  <si>
    <t>0002674</t>
  </si>
  <si>
    <t>SI00000091864</t>
  </si>
  <si>
    <t>0002685</t>
  </si>
  <si>
    <t>15.018.0469-A</t>
  </si>
  <si>
    <t>15.018.0612-A</t>
  </si>
  <si>
    <t>SI00000088489</t>
  </si>
  <si>
    <t>SUBTOTAL 8.0</t>
  </si>
  <si>
    <t>OBRA/SERVIÇO:  Substiruição de revestimento para piso e colaboração de divisórias</t>
  </si>
  <si>
    <t>LOCAL: CAMPLA - BARRA MANSA - RJ</t>
  </si>
  <si>
    <t>Data-Base:   EMOP -  RJ / SINAPI e SCO-RJ-  Desonerado - Base Fevereiro - 2022</t>
  </si>
  <si>
    <t>Eng. Mariana Teixeira</t>
  </si>
  <si>
    <t>Eng. Fernanda Souza</t>
  </si>
  <si>
    <t>ATUALIZAÇÃO DATA:</t>
  </si>
  <si>
    <t>Data-Base:   EMOP -  RJ / SINAPI e SCO-RJ-  Onerado - Base Fevereiro - 2022</t>
  </si>
  <si>
    <t>ORÇAMENTO ONERADO</t>
  </si>
  <si>
    <t>RECOLOCAÇÃO DE DIVISÓRIA, FORROS, VIDROS E PAINEIS DE MADEIRA</t>
  </si>
  <si>
    <t>INSTALAÇÕES HIDROSSANITARIAS</t>
  </si>
  <si>
    <t xml:space="preserve">PLANILHA DE ORÇAMENTO 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</si>
</sst>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 * #,##0.00_ ;_ * \-#,##0.00_ ;_ * &quot;-&quot;??_ ;_ @_ "/>
    <numFmt numFmtId="169" formatCode="0.00;[Red]0.00"/>
    <numFmt numFmtId="170" formatCode="_([$€]* #,##0.00_);_([$€]* \(#,##0.00\);_([$€]* &quot;-&quot;??_);_(@_)"/>
    <numFmt numFmtId="171" formatCode="#,##0.0"/>
    <numFmt numFmtId="172" formatCode="dd/mm/yy;@"/>
    <numFmt numFmtId="173" formatCode="#,##0.000"/>
    <numFmt numFmtId="174" formatCode="#,##0.00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;[Red]#,##0.00"/>
    <numFmt numFmtId="180" formatCode="&quot;Ativar&quot;;&quot;Ativar&quot;;&quot;Desativar&quot;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_(* #,##0_);_(* \(#,##0\);_(* &quot;-&quot;??_);_(@_)"/>
    <numFmt numFmtId="187" formatCode="[$-416]dddd\,\ d&quot; de &quot;mmmm&quot; de &quot;yyyy"/>
    <numFmt numFmtId="188" formatCode="_(\ #,##0.00_);_(\ \(#,##0.00\);_(\ &quot;-&quot;??_);_(@_)"/>
    <numFmt numFmtId="189" formatCode="_(\ #,##0.00_);_(\ \(#,##0.00\);_(* &quot;-&quot;??_);_(@_)"/>
    <numFmt numFmtId="190" formatCode="0.0000"/>
    <numFmt numFmtId="191" formatCode="_(&quot;R$ &quot;* #,##0.00_);_(&quot;R$ &quot;* \(#,##0.00\);_(&quot;R$ &quot;* \-??_);_(@_)"/>
    <numFmt numFmtId="192" formatCode="_-* #,##0.00_-;\-* #,##0.00_-;_-* \-??_-;_-@_-"/>
    <numFmt numFmtId="193" formatCode="mm\-yyyy"/>
    <numFmt numFmtId="194" formatCode="General;General"/>
    <numFmt numFmtId="195" formatCode="dddd&quot;, &quot;mmmm\ dd&quot;, &quot;yyyy"/>
    <numFmt numFmtId="196" formatCode="dd&quot; de &quot;mmmm&quot; de &quot;yyyy"/>
    <numFmt numFmtId="197" formatCode="mmm\-yy;@"/>
    <numFmt numFmtId="198" formatCode="_(* #,##0.00_);_(* \(#,##0.00\);_(* \-??_);_(@_)"/>
    <numFmt numFmtId="199" formatCode="0\."/>
    <numFmt numFmtId="200" formatCode="_(\ #,##0.00_);_(&quot; (&quot;#,##0.00\);_(&quot; -&quot;??_);_(@_)"/>
    <numFmt numFmtId="201" formatCode="mm/yy"/>
    <numFmt numFmtId="202" formatCode="General;;"/>
    <numFmt numFmtId="203" formatCode="&quot;Medição &quot;0"/>
    <numFmt numFmtId="204" formatCode="_(#,##0.00_);_(* \(#,##0.00\);_(* \-??_);_(@_)"/>
    <numFmt numFmtId="205" formatCode="_-#,##0.00_-;\-#,##0.00_-;_-&quot; -&quot;??_-;_-@_-"/>
    <numFmt numFmtId="206" formatCode="##\."/>
    <numFmt numFmtId="207" formatCode="_-&quot;R$ &quot;* #,##0.00_-;&quot;-R$ &quot;* #,##0.00_-;_-&quot;R$ &quot;* \-??_-;_-@_-"/>
    <numFmt numFmtId="208" formatCode="&quot;( &quot;0.00%&quot; )&quot;"/>
    <numFmt numFmtId="209" formatCode="&quot;Medição &quot;##"/>
    <numFmt numFmtId="210" formatCode="#,##0.00_ ;\-#,##0.00\ "/>
    <numFmt numFmtId="211" formatCode="_(* #,##0.00_);_(* \(#,##0.00\);;_(@_)"/>
    <numFmt numFmtId="212" formatCode="[$-F800]dddd\,\ mmmm\ dd\,\ 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0"/>
      <name val="Switzerland"/>
      <family val="0"/>
    </font>
    <font>
      <b/>
      <sz val="14"/>
      <name val="Switzerland"/>
      <family val="0"/>
    </font>
    <font>
      <sz val="11"/>
      <name val="Switzerland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Switzerland"/>
      <family val="0"/>
    </font>
    <font>
      <b/>
      <sz val="12"/>
      <name val="Switzerland"/>
      <family val="0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4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4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1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4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5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5" fillId="2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5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4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46" fillId="2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7" fillId="30" borderId="1" applyNumberFormat="0" applyAlignment="0" applyProtection="0"/>
    <xf numFmtId="0" fontId="26" fillId="31" borderId="2" applyNumberFormat="0" applyAlignment="0" applyProtection="0"/>
    <xf numFmtId="0" fontId="26" fillId="31" borderId="2" applyNumberFormat="0" applyAlignment="0" applyProtection="0"/>
    <xf numFmtId="0" fontId="48" fillId="32" borderId="3" applyNumberFormat="0" applyAlignment="0" applyProtection="0"/>
    <xf numFmtId="0" fontId="27" fillId="33" borderId="4" applyNumberFormat="0" applyAlignment="0" applyProtection="0"/>
    <xf numFmtId="0" fontId="27" fillId="33" borderId="4" applyNumberFormat="0" applyAlignment="0" applyProtection="0"/>
    <xf numFmtId="0" fontId="49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5" fillId="3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45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45" fillId="37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5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5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5" fillId="4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0" fillId="43" borderId="1" applyNumberFormat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4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7" fontId="0" fillId="0" borderId="0" applyFill="0" applyBorder="0" applyAlignment="0" applyProtection="0"/>
    <xf numFmtId="207" fontId="0" fillId="0" borderId="0" applyFill="0" applyBorder="0" applyAlignment="0" applyProtection="0"/>
    <xf numFmtId="0" fontId="31" fillId="16" borderId="0" applyNumberFormat="0" applyBorder="0" applyAlignment="0" applyProtection="0"/>
    <xf numFmtId="0" fontId="52" fillId="45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0" fillId="9" borderId="8" applyNumberFormat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3" fillId="47" borderId="0" applyNumberFormat="0" applyBorder="0" applyAlignment="0" applyProtection="0"/>
    <xf numFmtId="0" fontId="54" fillId="30" borderId="9" applyNumberFormat="0" applyAlignment="0" applyProtection="0"/>
    <xf numFmtId="0" fontId="32" fillId="31" borderId="10" applyNumberFormat="0" applyAlignment="0" applyProtection="0"/>
    <xf numFmtId="0" fontId="32" fillId="31" borderId="10" applyNumberFormat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9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60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</cellStyleXfs>
  <cellXfs count="2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120" applyFont="1" applyBorder="1">
      <alignment/>
      <protection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20" xfId="0" applyNumberFormat="1" applyFont="1" applyFill="1" applyBorder="1" applyAlignment="1">
      <alignment horizontal="right" wrapText="1"/>
    </xf>
    <xf numFmtId="0" fontId="9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9" xfId="120" applyFont="1" applyBorder="1" applyAlignment="1">
      <alignment/>
      <protection/>
    </xf>
    <xf numFmtId="0" fontId="7" fillId="0" borderId="21" xfId="0" applyFont="1" applyBorder="1" applyAlignment="1">
      <alignment horizontal="center"/>
    </xf>
    <xf numFmtId="0" fontId="7" fillId="48" borderId="20" xfId="0" applyFont="1" applyFill="1" applyBorder="1" applyAlignment="1">
      <alignment horizontal="center"/>
    </xf>
    <xf numFmtId="4" fontId="7" fillId="0" borderId="20" xfId="102" applyNumberFormat="1" applyFont="1" applyFill="1" applyBorder="1" applyAlignment="1">
      <alignment horizontal="right"/>
    </xf>
    <xf numFmtId="0" fontId="7" fillId="48" borderId="22" xfId="0" applyFont="1" applyFill="1" applyBorder="1" applyAlignment="1">
      <alignment horizontal="right" vertical="center"/>
    </xf>
    <xf numFmtId="0" fontId="7" fillId="48" borderId="23" xfId="0" applyFont="1" applyFill="1" applyBorder="1" applyAlignment="1">
      <alignment horizontal="right" vertical="center"/>
    </xf>
    <xf numFmtId="0" fontId="11" fillId="0" borderId="24" xfId="120" applyFont="1" applyBorder="1">
      <alignment/>
      <protection/>
    </xf>
    <xf numFmtId="0" fontId="11" fillId="0" borderId="0" xfId="120" applyFont="1" applyBorder="1">
      <alignment/>
      <protection/>
    </xf>
    <xf numFmtId="0" fontId="14" fillId="0" borderId="19" xfId="120" applyFont="1" applyBorder="1" applyAlignment="1">
      <alignment vertical="top"/>
      <protection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3" fillId="0" borderId="27" xfId="121" applyFont="1" applyBorder="1" applyAlignment="1">
      <alignment horizontal="left"/>
      <protection/>
    </xf>
    <xf numFmtId="4" fontId="7" fillId="0" borderId="0" xfId="102" applyNumberFormat="1" applyFont="1" applyFill="1" applyBorder="1" applyAlignment="1">
      <alignment horizontal="right"/>
    </xf>
    <xf numFmtId="0" fontId="16" fillId="0" borderId="28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8" fillId="0" borderId="26" xfId="0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7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3" fillId="0" borderId="24" xfId="0" applyFont="1" applyBorder="1" applyAlignment="1">
      <alignment vertical="center"/>
    </xf>
    <xf numFmtId="0" fontId="18" fillId="0" borderId="27" xfId="0" applyFont="1" applyBorder="1" applyAlignment="1">
      <alignment/>
    </xf>
    <xf numFmtId="4" fontId="18" fillId="0" borderId="27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8" fillId="49" borderId="20" xfId="122" applyFont="1" applyFill="1" applyBorder="1" applyAlignment="1">
      <alignment horizontal="justify" vertical="top" wrapText="1"/>
      <protection/>
    </xf>
    <xf numFmtId="4" fontId="18" fillId="49" borderId="20" xfId="122" applyNumberFormat="1" applyFont="1" applyFill="1" applyBorder="1" applyAlignment="1">
      <alignment/>
      <protection/>
    </xf>
    <xf numFmtId="4" fontId="18" fillId="49" borderId="20" xfId="122" applyNumberFormat="1" applyFont="1" applyFill="1" applyBorder="1" applyAlignment="1">
      <alignment horizontal="right"/>
      <protection/>
    </xf>
    <xf numFmtId="4" fontId="18" fillId="49" borderId="20" xfId="0" applyNumberFormat="1" applyFont="1" applyFill="1" applyBorder="1" applyAlignment="1">
      <alignment horizontal="right"/>
    </xf>
    <xf numFmtId="0" fontId="18" fillId="0" borderId="0" xfId="122" applyFont="1" applyFill="1" applyBorder="1" applyAlignment="1">
      <alignment horizontal="justify" vertical="top" wrapText="1"/>
      <protection/>
    </xf>
    <xf numFmtId="4" fontId="18" fillId="0" borderId="0" xfId="122" applyNumberFormat="1" applyFont="1" applyFill="1" applyBorder="1" applyAlignment="1">
      <alignment/>
      <protection/>
    </xf>
    <xf numFmtId="4" fontId="18" fillId="0" borderId="0" xfId="122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4" fontId="18" fillId="0" borderId="0" xfId="122" applyNumberFormat="1" applyFont="1" applyBorder="1" applyAlignment="1">
      <alignment horizontal="center"/>
      <protection/>
    </xf>
    <xf numFmtId="4" fontId="18" fillId="0" borderId="0" xfId="0" applyNumberFormat="1" applyFont="1" applyBorder="1" applyAlignment="1">
      <alignment/>
    </xf>
    <xf numFmtId="4" fontId="18" fillId="0" borderId="0" xfId="122" applyNumberFormat="1" applyFont="1" applyBorder="1" applyAlignment="1">
      <alignment/>
      <protection/>
    </xf>
    <xf numFmtId="0" fontId="18" fillId="49" borderId="20" xfId="0" applyFont="1" applyFill="1" applyBorder="1" applyAlignment="1">
      <alignment horizontal="center" vertical="center"/>
    </xf>
    <xf numFmtId="0" fontId="18" fillId="49" borderId="20" xfId="122" applyFont="1" applyFill="1" applyBorder="1" applyAlignment="1">
      <alignment horizontal="center" vertical="center" wrapText="1"/>
      <protection/>
    </xf>
    <xf numFmtId="4" fontId="18" fillId="0" borderId="0" xfId="122" applyNumberFormat="1" applyFont="1" applyBorder="1" applyAlignment="1">
      <alignment horizontal="right" wrapText="1"/>
      <protection/>
    </xf>
    <xf numFmtId="0" fontId="18" fillId="0" borderId="0" xfId="122" applyFont="1" applyBorder="1" applyAlignment="1">
      <alignment horizontal="justify" vertical="top"/>
      <protection/>
    </xf>
    <xf numFmtId="171" fontId="18" fillId="0" borderId="0" xfId="122" applyNumberFormat="1" applyFont="1" applyBorder="1" applyAlignment="1">
      <alignment/>
      <protection/>
    </xf>
    <xf numFmtId="0" fontId="18" fillId="0" borderId="0" xfId="0" applyFont="1" applyBorder="1" applyAlignment="1">
      <alignment horizontal="center" vertical="center"/>
    </xf>
    <xf numFmtId="0" fontId="18" fillId="0" borderId="0" xfId="122" applyFont="1" applyBorder="1" applyAlignment="1">
      <alignment horizontal="center" vertical="center" wrapText="1"/>
      <protection/>
    </xf>
    <xf numFmtId="0" fontId="18" fillId="0" borderId="0" xfId="122" applyFont="1" applyBorder="1" applyAlignment="1">
      <alignment horizontal="justify" vertical="top" wrapText="1"/>
      <protection/>
    </xf>
    <xf numFmtId="0" fontId="18" fillId="49" borderId="2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top" wrapText="1"/>
    </xf>
    <xf numFmtId="4" fontId="18" fillId="0" borderId="0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" fontId="18" fillId="49" borderId="20" xfId="135" applyNumberFormat="1" applyFont="1" applyFill="1" applyBorder="1" applyAlignment="1">
      <alignment horizontal="right"/>
    </xf>
    <xf numFmtId="4" fontId="18" fillId="49" borderId="20" xfId="0" applyNumberFormat="1" applyFont="1" applyFill="1" applyBorder="1" applyAlignment="1">
      <alignment/>
    </xf>
    <xf numFmtId="0" fontId="18" fillId="50" borderId="20" xfId="0" applyFont="1" applyFill="1" applyBorder="1" applyAlignment="1">
      <alignment horizontal="justify" vertical="justify" wrapText="1"/>
    </xf>
    <xf numFmtId="0" fontId="19" fillId="0" borderId="22" xfId="0" applyFont="1" applyFill="1" applyBorder="1" applyAlignment="1">
      <alignment horizontal="right" vertical="justify" wrapText="1"/>
    </xf>
    <xf numFmtId="0" fontId="19" fillId="0" borderId="23" xfId="0" applyFont="1" applyFill="1" applyBorder="1" applyAlignment="1">
      <alignment horizontal="right" vertical="justify" wrapText="1"/>
    </xf>
    <xf numFmtId="0" fontId="19" fillId="0" borderId="29" xfId="0" applyFont="1" applyFill="1" applyBorder="1" applyAlignment="1">
      <alignment horizontal="right" vertical="justify" wrapText="1"/>
    </xf>
    <xf numFmtId="4" fontId="19" fillId="0" borderId="20" xfId="0" applyNumberFormat="1" applyFont="1" applyFill="1" applyBorder="1" applyAlignment="1">
      <alignment horizontal="right" wrapText="1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62" fillId="0" borderId="20" xfId="0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right" vertical="center"/>
    </xf>
    <xf numFmtId="4" fontId="63" fillId="0" borderId="20" xfId="0" applyNumberFormat="1" applyFont="1" applyBorder="1" applyAlignment="1">
      <alignment/>
    </xf>
    <xf numFmtId="4" fontId="18" fillId="50" borderId="20" xfId="0" applyNumberFormat="1" applyFont="1" applyFill="1" applyBorder="1" applyAlignment="1">
      <alignment horizontal="right" wrapText="1"/>
    </xf>
    <xf numFmtId="0" fontId="18" fillId="0" borderId="0" xfId="122" applyFont="1" applyFill="1" applyBorder="1" applyAlignment="1">
      <alignment horizontal="center" vertical="center" wrapText="1"/>
      <protection/>
    </xf>
    <xf numFmtId="168" fontId="19" fillId="0" borderId="20" xfId="135" applyFont="1" applyBorder="1" applyAlignment="1">
      <alignment horizontal="left" vertical="center"/>
    </xf>
    <xf numFmtId="4" fontId="18" fillId="0" borderId="20" xfId="0" applyNumberFormat="1" applyFont="1" applyBorder="1" applyAlignment="1">
      <alignment/>
    </xf>
    <xf numFmtId="4" fontId="19" fillId="0" borderId="20" xfId="135" applyNumberFormat="1" applyFont="1" applyBorder="1" applyAlignment="1">
      <alignment horizontal="left" vertical="center"/>
    </xf>
    <xf numFmtId="4" fontId="18" fillId="0" borderId="0" xfId="135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left" vertical="justify" wrapText="1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49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5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9" fontId="18" fillId="0" borderId="3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168" fontId="19" fillId="0" borderId="20" xfId="135" applyFont="1" applyBorder="1" applyAlignment="1">
      <alignment horizontal="center" vertical="center"/>
    </xf>
    <xf numFmtId="4" fontId="18" fillId="49" borderId="20" xfId="122" applyNumberFormat="1" applyFont="1" applyFill="1" applyBorder="1" applyAlignment="1">
      <alignment horizontal="center" vertical="center"/>
      <protection/>
    </xf>
    <xf numFmtId="4" fontId="18" fillId="50" borderId="20" xfId="0" applyNumberFormat="1" applyFont="1" applyFill="1" applyBorder="1" applyAlignment="1">
      <alignment horizontal="center" vertical="center" wrapText="1"/>
    </xf>
    <xf numFmtId="4" fontId="18" fillId="0" borderId="0" xfId="122" applyNumberFormat="1" applyFont="1" applyBorder="1" applyAlignment="1">
      <alignment horizontal="center" vertical="center"/>
      <protection/>
    </xf>
    <xf numFmtId="165" fontId="18" fillId="49" borderId="20" xfId="159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22" fillId="0" borderId="0" xfId="0" applyFont="1" applyBorder="1" applyAlignment="1">
      <alignment wrapText="1"/>
    </xf>
    <xf numFmtId="0" fontId="19" fillId="0" borderId="20" xfId="0" applyFont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22" xfId="0" applyFont="1" applyFill="1" applyBorder="1" applyAlignment="1">
      <alignment horizontal="right" vertical="justify" wrapText="1"/>
    </xf>
    <xf numFmtId="0" fontId="3" fillId="0" borderId="23" xfId="0" applyFont="1" applyFill="1" applyBorder="1" applyAlignment="1">
      <alignment horizontal="right" vertical="justify" wrapText="1"/>
    </xf>
    <xf numFmtId="0" fontId="3" fillId="0" borderId="29" xfId="0" applyFont="1" applyFill="1" applyBorder="1" applyAlignment="1">
      <alignment horizontal="right" vertical="justify" wrapText="1"/>
    </xf>
    <xf numFmtId="4" fontId="3" fillId="0" borderId="20" xfId="135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 wrapText="1"/>
    </xf>
    <xf numFmtId="0" fontId="18" fillId="51" borderId="0" xfId="0" applyFont="1" applyFill="1" applyBorder="1" applyAlignment="1">
      <alignment horizontal="center" vertical="center"/>
    </xf>
    <xf numFmtId="4" fontId="18" fillId="51" borderId="0" xfId="0" applyNumberFormat="1" applyFont="1" applyFill="1" applyBorder="1" applyAlignment="1">
      <alignment horizontal="right"/>
    </xf>
    <xf numFmtId="0" fontId="18" fillId="49" borderId="20" xfId="122" applyFont="1" applyFill="1" applyBorder="1" applyAlignment="1">
      <alignment horizontal="justify" vertical="top"/>
      <protection/>
    </xf>
    <xf numFmtId="0" fontId="17" fillId="0" borderId="2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9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9" fillId="0" borderId="28" xfId="0" applyFont="1" applyBorder="1" applyAlignment="1">
      <alignment horizontal="left" vertical="center"/>
    </xf>
    <xf numFmtId="4" fontId="18" fillId="49" borderId="0" xfId="0" applyNumberFormat="1" applyFont="1" applyFill="1" applyBorder="1" applyAlignment="1">
      <alignment horizontal="right"/>
    </xf>
    <xf numFmtId="4" fontId="18" fillId="49" borderId="0" xfId="122" applyNumberFormat="1" applyFont="1" applyFill="1" applyBorder="1" applyAlignment="1">
      <alignment horizontal="right"/>
      <protection/>
    </xf>
    <xf numFmtId="49" fontId="18" fillId="50" borderId="0" xfId="0" applyNumberFormat="1" applyFont="1" applyFill="1" applyBorder="1" applyAlignment="1">
      <alignment horizontal="center" vertical="center" wrapText="1"/>
    </xf>
    <xf numFmtId="0" fontId="18" fillId="49" borderId="0" xfId="0" applyFont="1" applyFill="1" applyBorder="1" applyAlignment="1">
      <alignment horizontal="center" vertical="center" wrapText="1"/>
    </xf>
    <xf numFmtId="0" fontId="18" fillId="0" borderId="0" xfId="122" applyFont="1" applyFill="1" applyBorder="1" applyAlignment="1">
      <alignment horizontal="center" vertical="center"/>
      <protection/>
    </xf>
    <xf numFmtId="0" fontId="18" fillId="0" borderId="0" xfId="122" applyFont="1" applyFill="1" applyBorder="1" applyAlignment="1">
      <alignment horizontal="justify" vertical="justify" wrapText="1"/>
      <protection/>
    </xf>
    <xf numFmtId="4" fontId="18" fillId="0" borderId="0" xfId="122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4" fontId="7" fillId="52" borderId="30" xfId="0" applyNumberFormat="1" applyFont="1" applyFill="1" applyBorder="1" applyAlignment="1">
      <alignment horizontal="right"/>
    </xf>
    <xf numFmtId="10" fontId="7" fillId="0" borderId="20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4" fontId="8" fillId="0" borderId="23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29" xfId="0" applyFont="1" applyBorder="1" applyAlignment="1">
      <alignment/>
    </xf>
    <xf numFmtId="0" fontId="3" fillId="0" borderId="0" xfId="121" applyFont="1" applyBorder="1" applyAlignment="1">
      <alignment horizontal="left"/>
      <protection/>
    </xf>
    <xf numFmtId="0" fontId="7" fillId="0" borderId="20" xfId="0" applyFont="1" applyBorder="1" applyAlignment="1">
      <alignment horizontal="center"/>
    </xf>
    <xf numFmtId="0" fontId="19" fillId="0" borderId="0" xfId="122" applyFont="1" applyFill="1" applyBorder="1" applyAlignment="1">
      <alignment horizontal="center" vertical="center" wrapText="1"/>
      <protection/>
    </xf>
    <xf numFmtId="0" fontId="18" fillId="53" borderId="20" xfId="122" applyFont="1" applyFill="1" applyBorder="1" applyAlignment="1">
      <alignment horizontal="center" vertical="center"/>
      <protection/>
    </xf>
    <xf numFmtId="0" fontId="18" fillId="53" borderId="20" xfId="122" applyFont="1" applyFill="1" applyBorder="1" applyAlignment="1">
      <alignment horizontal="center" vertical="center" wrapText="1"/>
      <protection/>
    </xf>
    <xf numFmtId="0" fontId="18" fillId="53" borderId="20" xfId="122" applyFont="1" applyFill="1" applyBorder="1" applyAlignment="1">
      <alignment horizontal="justify" vertical="top" wrapText="1"/>
      <protection/>
    </xf>
    <xf numFmtId="4" fontId="18" fillId="53" borderId="20" xfId="122" applyNumberFormat="1" applyFont="1" applyFill="1" applyBorder="1" applyAlignment="1">
      <alignment horizontal="center" vertical="center"/>
      <protection/>
    </xf>
    <xf numFmtId="4" fontId="18" fillId="53" borderId="20" xfId="122" applyNumberFormat="1" applyFont="1" applyFill="1" applyBorder="1" applyAlignment="1">
      <alignment/>
      <protection/>
    </xf>
    <xf numFmtId="4" fontId="18" fillId="53" borderId="20" xfId="122" applyNumberFormat="1" applyFont="1" applyFill="1" applyBorder="1" applyAlignment="1">
      <alignment horizontal="right"/>
      <protection/>
    </xf>
    <xf numFmtId="4" fontId="18" fillId="53" borderId="20" xfId="0" applyNumberFormat="1" applyFont="1" applyFill="1" applyBorder="1" applyAlignment="1">
      <alignment horizontal="right"/>
    </xf>
    <xf numFmtId="0" fontId="18" fillId="53" borderId="0" xfId="0" applyFont="1" applyFill="1" applyBorder="1" applyAlignment="1">
      <alignment/>
    </xf>
    <xf numFmtId="4" fontId="18" fillId="53" borderId="0" xfId="0" applyNumberFormat="1" applyFont="1" applyFill="1" applyBorder="1" applyAlignment="1">
      <alignment horizontal="right" wrapText="1"/>
    </xf>
    <xf numFmtId="0" fontId="19" fillId="53" borderId="20" xfId="122" applyFont="1" applyFill="1" applyBorder="1" applyAlignment="1">
      <alignment horizontal="center" vertical="center" wrapText="1"/>
      <protection/>
    </xf>
    <xf numFmtId="49" fontId="19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 vertical="justify" wrapText="1"/>
    </xf>
    <xf numFmtId="0" fontId="19" fillId="0" borderId="20" xfId="0" applyFont="1" applyFill="1" applyBorder="1" applyAlignment="1">
      <alignment horizontal="left" vertical="center" wrapText="1"/>
    </xf>
    <xf numFmtId="0" fontId="18" fillId="13" borderId="20" xfId="122" applyFont="1" applyFill="1" applyBorder="1" applyAlignment="1">
      <alignment horizontal="center" vertical="center"/>
      <protection/>
    </xf>
    <xf numFmtId="0" fontId="18" fillId="13" borderId="20" xfId="122" applyFont="1" applyFill="1" applyBorder="1" applyAlignment="1">
      <alignment horizontal="center" vertical="center" wrapText="1"/>
      <protection/>
    </xf>
    <xf numFmtId="0" fontId="18" fillId="13" borderId="20" xfId="122" applyFont="1" applyFill="1" applyBorder="1" applyAlignment="1">
      <alignment horizontal="justify" vertical="top" wrapText="1"/>
      <protection/>
    </xf>
    <xf numFmtId="4" fontId="18" fillId="13" borderId="20" xfId="122" applyNumberFormat="1" applyFont="1" applyFill="1" applyBorder="1" applyAlignment="1">
      <alignment horizontal="center" vertical="center"/>
      <protection/>
    </xf>
    <xf numFmtId="4" fontId="18" fillId="13" borderId="20" xfId="122" applyNumberFormat="1" applyFont="1" applyFill="1" applyBorder="1" applyAlignment="1">
      <alignment/>
      <protection/>
    </xf>
    <xf numFmtId="4" fontId="18" fillId="13" borderId="20" xfId="122" applyNumberFormat="1" applyFont="1" applyFill="1" applyBorder="1" applyAlignment="1">
      <alignment horizontal="right"/>
      <protection/>
    </xf>
    <xf numFmtId="4" fontId="18" fillId="13" borderId="20" xfId="0" applyNumberFormat="1" applyFont="1" applyFill="1" applyBorder="1" applyAlignment="1">
      <alignment horizontal="right"/>
    </xf>
    <xf numFmtId="0" fontId="18" fillId="13" borderId="0" xfId="0" applyFont="1" applyFill="1" applyBorder="1" applyAlignment="1">
      <alignment/>
    </xf>
    <xf numFmtId="4" fontId="18" fillId="13" borderId="0" xfId="0" applyNumberFormat="1" applyFont="1" applyFill="1" applyBorder="1" applyAlignment="1">
      <alignment horizontal="right" wrapText="1"/>
    </xf>
    <xf numFmtId="0" fontId="19" fillId="13" borderId="20" xfId="122" applyFont="1" applyFill="1" applyBorder="1" applyAlignment="1">
      <alignment horizontal="center" vertical="center" wrapText="1"/>
      <protection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2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horizontal="left" vertical="justify" wrapText="1"/>
    </xf>
    <xf numFmtId="0" fontId="3" fillId="0" borderId="22" xfId="0" applyFont="1" applyFill="1" applyBorder="1" applyAlignment="1">
      <alignment horizontal="left"/>
    </xf>
    <xf numFmtId="0" fontId="19" fillId="0" borderId="22" xfId="0" applyFont="1" applyBorder="1" applyAlignment="1">
      <alignment horizontal="left" vertical="center"/>
    </xf>
    <xf numFmtId="168" fontId="19" fillId="0" borderId="22" xfId="135" applyFont="1" applyBorder="1" applyAlignment="1">
      <alignment horizontal="left" vertical="center"/>
    </xf>
    <xf numFmtId="0" fontId="19" fillId="0" borderId="22" xfId="0" applyFont="1" applyBorder="1" applyAlignment="1">
      <alignment horizontal="left" vertical="justify" wrapText="1"/>
    </xf>
    <xf numFmtId="10" fontId="7" fillId="0" borderId="29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horizontal="left" vertical="top" wrapText="1"/>
    </xf>
    <xf numFmtId="0" fontId="17" fillId="0" borderId="28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7" fillId="48" borderId="20" xfId="0" applyFont="1" applyFill="1" applyBorder="1" applyAlignment="1">
      <alignment horizontal="center" vertical="center"/>
    </xf>
    <xf numFmtId="4" fontId="8" fillId="52" borderId="31" xfId="0" applyNumberFormat="1" applyFont="1" applyFill="1" applyBorder="1" applyAlignment="1">
      <alignment horizontal="center" wrapText="1"/>
    </xf>
    <xf numFmtId="4" fontId="8" fillId="52" borderId="32" xfId="0" applyNumberFormat="1" applyFont="1" applyFill="1" applyBorder="1" applyAlignment="1">
      <alignment horizontal="center" wrapText="1"/>
    </xf>
    <xf numFmtId="4" fontId="7" fillId="48" borderId="33" xfId="0" applyNumberFormat="1" applyFont="1" applyFill="1" applyBorder="1" applyAlignment="1">
      <alignment horizontal="center" vertical="center"/>
    </xf>
    <xf numFmtId="4" fontId="7" fillId="48" borderId="21" xfId="0" applyNumberFormat="1" applyFont="1" applyFill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0" borderId="20" xfId="120" applyFont="1" applyBorder="1" applyAlignment="1">
      <alignment horizontal="left" vertical="top"/>
      <protection/>
    </xf>
    <xf numFmtId="1" fontId="12" fillId="0" borderId="20" xfId="120" applyNumberFormat="1" applyFont="1" applyBorder="1" applyAlignment="1">
      <alignment horizontal="left" vertical="top"/>
      <protection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48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12" fillId="0" borderId="32" xfId="120" applyNumberFormat="1" applyFont="1" applyBorder="1" applyAlignment="1">
      <alignment horizontal="left" vertical="top"/>
      <protection/>
    </xf>
  </cellXfs>
  <cellStyles count="150">
    <cellStyle name="Normal" xfId="0"/>
    <cellStyle name="20% - Ênfase1" xfId="15"/>
    <cellStyle name="20% - Ênfase1 2" xfId="16"/>
    <cellStyle name="20% - Ênfase1 3" xfId="17"/>
    <cellStyle name="20% - Ênfase2" xfId="18"/>
    <cellStyle name="20% - Ênfase2 2" xfId="19"/>
    <cellStyle name="20% - Ênfase2 3" xfId="20"/>
    <cellStyle name="20% - Ênfase3" xfId="21"/>
    <cellStyle name="20% - Ênfase3 2" xfId="22"/>
    <cellStyle name="20% - Ênfase3 3" xfId="23"/>
    <cellStyle name="20% - Ênfase4" xfId="24"/>
    <cellStyle name="20% - Ênfase4 2" xfId="25"/>
    <cellStyle name="20% - Ênfase4 3" xfId="26"/>
    <cellStyle name="20% - Ênfase5" xfId="27"/>
    <cellStyle name="20% - Ênfase5 2" xfId="28"/>
    <cellStyle name="20% - Ênfase5 3" xfId="29"/>
    <cellStyle name="20% - Ênfase6" xfId="30"/>
    <cellStyle name="20% - Ênfase6 2" xfId="31"/>
    <cellStyle name="20% - Ênfase6 3" xfId="32"/>
    <cellStyle name="40% - Ênfase1" xfId="33"/>
    <cellStyle name="40% - Ênfase1 2" xfId="34"/>
    <cellStyle name="40% - Ênfase1 3" xfId="35"/>
    <cellStyle name="40% - Ênfase2" xfId="36"/>
    <cellStyle name="40% - Ênfase2 2" xfId="37"/>
    <cellStyle name="40% - Ênfase2 3" xfId="38"/>
    <cellStyle name="40% - Ênfase3" xfId="39"/>
    <cellStyle name="40% - Ênfase3 2" xfId="40"/>
    <cellStyle name="40% - Ênfase3 3" xfId="41"/>
    <cellStyle name="40% - Ênfase4" xfId="42"/>
    <cellStyle name="40% - Ênfase4 2" xfId="43"/>
    <cellStyle name="40% - Ênfase4 3" xfId="44"/>
    <cellStyle name="40% - Ênfase5" xfId="45"/>
    <cellStyle name="40% - Ênfase5 2" xfId="46"/>
    <cellStyle name="40% - Ênfase5 3" xfId="47"/>
    <cellStyle name="40% - Ênfase6" xfId="48"/>
    <cellStyle name="40% - Ênfase6 2" xfId="49"/>
    <cellStyle name="40% - Ênfase6 3" xfId="50"/>
    <cellStyle name="60% - Ênfase1" xfId="51"/>
    <cellStyle name="60% - Ênfase1 2" xfId="52"/>
    <cellStyle name="60% - Ênfase1 3" xfId="53"/>
    <cellStyle name="60% - Ênfase2" xfId="54"/>
    <cellStyle name="60% - Ênfase2 2" xfId="55"/>
    <cellStyle name="60% - Ênfase2 3" xfId="56"/>
    <cellStyle name="60% - Ênfase3" xfId="57"/>
    <cellStyle name="60% - Ênfase3 2" xfId="58"/>
    <cellStyle name="60% - Ênfase3 3" xfId="59"/>
    <cellStyle name="60% - Ênfase4" xfId="60"/>
    <cellStyle name="60% - Ênfase4 2" xfId="61"/>
    <cellStyle name="60% - Ênfase4 3" xfId="62"/>
    <cellStyle name="60% - Ênfase5" xfId="63"/>
    <cellStyle name="60% - Ênfase5 2" xfId="64"/>
    <cellStyle name="60% - Ênfase5 3" xfId="65"/>
    <cellStyle name="60% - Ênfase6" xfId="66"/>
    <cellStyle name="60% - Ênfase6 2" xfId="67"/>
    <cellStyle name="60% - Ênfase6 3" xfId="68"/>
    <cellStyle name="Bom" xfId="69"/>
    <cellStyle name="Bom 2" xfId="70"/>
    <cellStyle name="Bom 3" xfId="71"/>
    <cellStyle name="Cálculo" xfId="72"/>
    <cellStyle name="Cálculo 2" xfId="73"/>
    <cellStyle name="Cálculo 3" xfId="74"/>
    <cellStyle name="Célula de Verificação" xfId="75"/>
    <cellStyle name="Célula de Verificação 2" xfId="76"/>
    <cellStyle name="Célula de Verificação 3" xfId="77"/>
    <cellStyle name="Célula Vinculada" xfId="78"/>
    <cellStyle name="Célula Vinculada 2" xfId="79"/>
    <cellStyle name="Célula Vinculada 3" xfId="80"/>
    <cellStyle name="Ênfase1" xfId="81"/>
    <cellStyle name="Ênfase1 2" xfId="82"/>
    <cellStyle name="Ênfase1 3" xfId="83"/>
    <cellStyle name="Ênfase2" xfId="84"/>
    <cellStyle name="Ênfase2 2" xfId="85"/>
    <cellStyle name="Ênfase2 3" xfId="86"/>
    <cellStyle name="Ênfase3" xfId="87"/>
    <cellStyle name="Ênfase3 2" xfId="88"/>
    <cellStyle name="Ênfase3 3" xfId="89"/>
    <cellStyle name="Ênfase4" xfId="90"/>
    <cellStyle name="Ênfase4 2" xfId="91"/>
    <cellStyle name="Ênfase4 3" xfId="92"/>
    <cellStyle name="Ênfase5" xfId="93"/>
    <cellStyle name="Ênfase5 2" xfId="94"/>
    <cellStyle name="Ênfase5 3" xfId="95"/>
    <cellStyle name="Ênfase6" xfId="96"/>
    <cellStyle name="Ênfase6 2" xfId="97"/>
    <cellStyle name="Ênfase6 3" xfId="98"/>
    <cellStyle name="Entrada" xfId="99"/>
    <cellStyle name="Entrada 2" xfId="100"/>
    <cellStyle name="Entrada 3" xfId="101"/>
    <cellStyle name="Euro" xfId="102"/>
    <cellStyle name="Hyperlink" xfId="103"/>
    <cellStyle name="Hiperlink 2" xfId="104"/>
    <cellStyle name="Followed Hyperlink" xfId="105"/>
    <cellStyle name="Incorreto 2" xfId="106"/>
    <cellStyle name="Currency" xfId="107"/>
    <cellStyle name="Currency [0]" xfId="108"/>
    <cellStyle name="Moeda 2" xfId="109"/>
    <cellStyle name="Moeda 3" xfId="110"/>
    <cellStyle name="Neutra 2" xfId="111"/>
    <cellStyle name="Neutro" xfId="112"/>
    <cellStyle name="Normal 2" xfId="113"/>
    <cellStyle name="Normal 2 2" xfId="114"/>
    <cellStyle name="Normal 2 3" xfId="115"/>
    <cellStyle name="Normal 3" xfId="116"/>
    <cellStyle name="Normal 3 2" xfId="117"/>
    <cellStyle name="Normal 4" xfId="118"/>
    <cellStyle name="Normal 5" xfId="119"/>
    <cellStyle name="Normal_CRONOGRAMA" xfId="120"/>
    <cellStyle name="Normal_Orçamento nº057-2003- Esc. Munic. AMPARO revisão" xfId="121"/>
    <cellStyle name="Normal_RUAS 3,4,7 e 8 R-1" xfId="122"/>
    <cellStyle name="Nota" xfId="123"/>
    <cellStyle name="Nota 2" xfId="124"/>
    <cellStyle name="Nota 3" xfId="125"/>
    <cellStyle name="Percent" xfId="126"/>
    <cellStyle name="Porcentagem 2" xfId="127"/>
    <cellStyle name="Porcentagem 3" xfId="128"/>
    <cellStyle name="Porcentagem 4" xfId="129"/>
    <cellStyle name="Ruim" xfId="130"/>
    <cellStyle name="Saída" xfId="131"/>
    <cellStyle name="Saída 2" xfId="132"/>
    <cellStyle name="Saída 3" xfId="133"/>
    <cellStyle name="Comma [0]" xfId="134"/>
    <cellStyle name="Separador de milhares_Orçamento nº013-PRODEC V.Primavera" xfId="135"/>
    <cellStyle name="Texto de Aviso" xfId="136"/>
    <cellStyle name="Texto de Aviso 2" xfId="137"/>
    <cellStyle name="Texto de Aviso 3" xfId="138"/>
    <cellStyle name="Texto Explicativo" xfId="139"/>
    <cellStyle name="Texto Explicativo 2" xfId="140"/>
    <cellStyle name="Texto Explicativo 3" xfId="141"/>
    <cellStyle name="Título" xfId="142"/>
    <cellStyle name="Título 1" xfId="143"/>
    <cellStyle name="Título 1 2" xfId="144"/>
    <cellStyle name="Título 1 3" xfId="145"/>
    <cellStyle name="Título 2" xfId="146"/>
    <cellStyle name="Título 2 2" xfId="147"/>
    <cellStyle name="Título 2 3" xfId="148"/>
    <cellStyle name="Título 3" xfId="149"/>
    <cellStyle name="Título 3 2" xfId="150"/>
    <cellStyle name="Título 3 3" xfId="151"/>
    <cellStyle name="Título 4" xfId="152"/>
    <cellStyle name="Título 4 2" xfId="153"/>
    <cellStyle name="Título 4 3" xfId="154"/>
    <cellStyle name="Título 5" xfId="155"/>
    <cellStyle name="Total" xfId="156"/>
    <cellStyle name="Total 2" xfId="157"/>
    <cellStyle name="Total 3" xfId="158"/>
    <cellStyle name="Comma" xfId="159"/>
    <cellStyle name="Vírgula 2" xfId="160"/>
    <cellStyle name="Vírgula 2 2" xfId="161"/>
    <cellStyle name="Vírgula 3" xfId="162"/>
    <cellStyle name="Vírgula 4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142875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142875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5</xdr:row>
      <xdr:rowOff>47625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5448300</xdr:colOff>
      <xdr:row>6</xdr:row>
      <xdr:rowOff>142875</xdr:rowOff>
    </xdr:to>
    <xdr:pic>
      <xdr:nvPicPr>
        <xdr:cNvPr id="1" name="Imagem 1" descr="C:\Users\Alexandre\Desktop\Figur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18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1"/>
  <sheetViews>
    <sheetView view="pageBreakPreview" zoomScale="80" zoomScaleNormal="75" zoomScaleSheetLayoutView="80" zoomScalePageLayoutView="0" workbookViewId="0" topLeftCell="A391">
      <selection activeCell="E5" sqref="E5"/>
    </sheetView>
  </sheetViews>
  <sheetFormatPr defaultColWidth="9.140625" defaultRowHeight="12.75"/>
  <cols>
    <col min="1" max="1" width="6.8515625" style="116" customWidth="1"/>
    <col min="2" max="2" width="20.140625" style="115" bestFit="1" customWidth="1"/>
    <col min="3" max="3" width="94.7109375" style="96" customWidth="1"/>
    <col min="4" max="4" width="10.7109375" style="128" customWidth="1"/>
    <col min="5" max="5" width="14.8515625" style="96" customWidth="1"/>
    <col min="6" max="6" width="12.7109375" style="96" bestFit="1" customWidth="1"/>
    <col min="7" max="7" width="12.140625" style="96" bestFit="1" customWidth="1"/>
    <col min="8" max="8" width="14.8515625" style="96" bestFit="1" customWidth="1"/>
    <col min="9" max="9" width="19.00390625" style="97" customWidth="1"/>
    <col min="10" max="10" width="14.28125" style="34" bestFit="1" customWidth="1"/>
    <col min="11" max="11" width="10.28125" style="34" bestFit="1" customWidth="1"/>
    <col min="12" max="12" width="45.7109375" style="34" customWidth="1"/>
    <col min="13" max="16384" width="9.140625" style="34" customWidth="1"/>
  </cols>
  <sheetData>
    <row r="1" spans="1:9" ht="15">
      <c r="A1" s="208"/>
      <c r="B1" s="209"/>
      <c r="C1" s="209"/>
      <c r="D1" s="209"/>
      <c r="E1" s="209"/>
      <c r="F1" s="209"/>
      <c r="G1" s="144"/>
      <c r="H1" s="144"/>
      <c r="I1" s="33"/>
    </row>
    <row r="2" spans="1:9" ht="15">
      <c r="A2" s="210"/>
      <c r="B2" s="211"/>
      <c r="C2" s="211"/>
      <c r="D2" s="211"/>
      <c r="E2" s="211"/>
      <c r="F2" s="211"/>
      <c r="G2" s="145"/>
      <c r="H2" s="145"/>
      <c r="I2" s="35"/>
    </row>
    <row r="3" spans="1:9" ht="15">
      <c r="A3" s="198"/>
      <c r="B3" s="199"/>
      <c r="C3" s="199"/>
      <c r="D3" s="153" t="s">
        <v>677</v>
      </c>
      <c r="E3" s="38"/>
      <c r="F3" s="37"/>
      <c r="G3" s="37"/>
      <c r="H3" s="37"/>
      <c r="I3" s="33"/>
    </row>
    <row r="4" spans="1:9" ht="14.25">
      <c r="A4" s="103"/>
      <c r="B4" s="107"/>
      <c r="C4" s="41"/>
      <c r="D4" s="129" t="s">
        <v>141</v>
      </c>
      <c r="E4" s="39"/>
      <c r="F4" s="40">
        <v>44698</v>
      </c>
      <c r="G4" s="40"/>
      <c r="H4" s="40"/>
      <c r="I4" s="35"/>
    </row>
    <row r="5" spans="2:9" ht="15">
      <c r="B5" s="112"/>
      <c r="C5" s="35"/>
      <c r="D5" s="130" t="s">
        <v>4</v>
      </c>
      <c r="E5" s="39"/>
      <c r="F5" s="42" t="s">
        <v>673</v>
      </c>
      <c r="G5" s="42"/>
      <c r="H5" s="42"/>
      <c r="I5" s="35"/>
    </row>
    <row r="6" spans="1:9" ht="14.25">
      <c r="A6" s="117" t="s">
        <v>86</v>
      </c>
      <c r="B6" s="107"/>
      <c r="C6" s="35"/>
      <c r="D6" s="130" t="s">
        <v>5</v>
      </c>
      <c r="E6" s="39"/>
      <c r="F6" s="42" t="s">
        <v>673</v>
      </c>
      <c r="G6" s="42"/>
      <c r="H6" s="42"/>
      <c r="I6" s="35"/>
    </row>
    <row r="7" spans="2:9" ht="15">
      <c r="B7" s="112"/>
      <c r="C7" s="35"/>
      <c r="D7" s="130" t="s">
        <v>6</v>
      </c>
      <c r="E7" s="39"/>
      <c r="F7" s="42" t="s">
        <v>674</v>
      </c>
      <c r="G7" s="42"/>
      <c r="H7" s="42"/>
      <c r="I7" s="35"/>
    </row>
    <row r="8" spans="1:9" ht="13.5">
      <c r="A8" s="43" t="s">
        <v>670</v>
      </c>
      <c r="B8" s="107"/>
      <c r="C8" s="35"/>
      <c r="D8" s="130" t="s">
        <v>675</v>
      </c>
      <c r="E8" s="39"/>
      <c r="F8" s="42" t="s">
        <v>116</v>
      </c>
      <c r="G8" s="42"/>
      <c r="H8" s="42"/>
      <c r="I8" s="35"/>
    </row>
    <row r="9" spans="1:9" ht="13.5">
      <c r="A9" s="43" t="s">
        <v>671</v>
      </c>
      <c r="B9" s="107"/>
      <c r="C9" s="35"/>
      <c r="D9" s="131" t="s">
        <v>46</v>
      </c>
      <c r="E9" s="45"/>
      <c r="F9" s="44" t="s">
        <v>117</v>
      </c>
      <c r="G9" s="44"/>
      <c r="H9" s="44"/>
      <c r="I9" s="36"/>
    </row>
    <row r="10" spans="1:9" ht="13.5">
      <c r="A10" s="43" t="s">
        <v>676</v>
      </c>
      <c r="B10" s="107"/>
      <c r="C10" s="41"/>
      <c r="D10" s="164"/>
      <c r="E10" s="38"/>
      <c r="F10" s="37"/>
      <c r="G10" s="37"/>
      <c r="H10" s="37"/>
      <c r="I10" s="33"/>
    </row>
    <row r="11" spans="1:9" s="4" customFormat="1" ht="15">
      <c r="A11" s="165"/>
      <c r="B11" s="166"/>
      <c r="C11" s="167" t="s">
        <v>163</v>
      </c>
      <c r="D11" s="168"/>
      <c r="E11" s="169"/>
      <c r="F11" s="170"/>
      <c r="G11" s="170"/>
      <c r="H11" s="170"/>
      <c r="I11" s="171"/>
    </row>
    <row r="12" spans="1:9" ht="12.75" customHeight="1">
      <c r="A12" s="212" t="s">
        <v>59</v>
      </c>
      <c r="B12" s="213" t="s">
        <v>60</v>
      </c>
      <c r="C12" s="213" t="s">
        <v>67</v>
      </c>
      <c r="D12" s="212" t="s">
        <v>68</v>
      </c>
      <c r="E12" s="214" t="s">
        <v>69</v>
      </c>
      <c r="F12" s="215" t="s">
        <v>47</v>
      </c>
      <c r="G12" s="215"/>
      <c r="H12" s="215"/>
      <c r="I12" s="215"/>
    </row>
    <row r="13" spans="1:9" ht="12.75" customHeight="1">
      <c r="A13" s="212"/>
      <c r="B13" s="213"/>
      <c r="C13" s="213"/>
      <c r="D13" s="212"/>
      <c r="E13" s="214"/>
      <c r="F13" s="47" t="s">
        <v>112</v>
      </c>
      <c r="G13" s="47" t="s">
        <v>113</v>
      </c>
      <c r="H13" s="47" t="s">
        <v>114</v>
      </c>
      <c r="I13" s="46" t="s">
        <v>115</v>
      </c>
    </row>
    <row r="14" spans="1:9" ht="14.25" customHeight="1">
      <c r="A14" s="118" t="s">
        <v>111</v>
      </c>
      <c r="B14" s="109"/>
      <c r="C14" s="207" t="s">
        <v>72</v>
      </c>
      <c r="D14" s="207"/>
      <c r="E14" s="207"/>
      <c r="F14" s="207"/>
      <c r="G14" s="207"/>
      <c r="H14" s="207"/>
      <c r="I14" s="207"/>
    </row>
    <row r="15" spans="1:11" s="182" customFormat="1" ht="41.25">
      <c r="A15" s="175" t="s">
        <v>12</v>
      </c>
      <c r="B15" s="176" t="s">
        <v>142</v>
      </c>
      <c r="C15" s="177" t="s">
        <v>189</v>
      </c>
      <c r="D15" s="178" t="s">
        <v>62</v>
      </c>
      <c r="E15" s="179">
        <v>8</v>
      </c>
      <c r="F15" s="180">
        <f>TRUNC(G21,2)</f>
        <v>211.58</v>
      </c>
      <c r="G15" s="180">
        <f>TRUNC(F15*1.2247,2)</f>
        <v>259.12</v>
      </c>
      <c r="H15" s="180">
        <f>TRUNC(F15*E15,2)</f>
        <v>1692.64</v>
      </c>
      <c r="I15" s="181">
        <f>TRUNC(E15*G15,2)</f>
        <v>2072.96</v>
      </c>
      <c r="J15" s="182">
        <v>8</v>
      </c>
      <c r="K15" s="183"/>
    </row>
    <row r="16" spans="1:11" s="98" customFormat="1" ht="27">
      <c r="A16" s="158"/>
      <c r="B16" s="86" t="s">
        <v>88</v>
      </c>
      <c r="C16" s="52" t="s">
        <v>87</v>
      </c>
      <c r="D16" s="160" t="s">
        <v>62</v>
      </c>
      <c r="E16" s="53">
        <v>1</v>
      </c>
      <c r="F16" s="54">
        <f>TRUNC(61.36,2)</f>
        <v>61.36</v>
      </c>
      <c r="G16" s="54">
        <f>TRUNC(E16*F16,2)</f>
        <v>61.36</v>
      </c>
      <c r="H16" s="54"/>
      <c r="I16" s="55"/>
      <c r="J16" s="98">
        <v>1</v>
      </c>
      <c r="K16" s="70"/>
    </row>
    <row r="17" spans="1:11" s="98" customFormat="1" ht="27">
      <c r="A17" s="158"/>
      <c r="B17" s="86" t="s">
        <v>64</v>
      </c>
      <c r="C17" s="52" t="s">
        <v>166</v>
      </c>
      <c r="D17" s="160" t="s">
        <v>85</v>
      </c>
      <c r="E17" s="53">
        <v>0.3</v>
      </c>
      <c r="F17" s="54">
        <f>TRUNC(18.8,2)</f>
        <v>18.8</v>
      </c>
      <c r="G17" s="54">
        <f>TRUNC(E17*F17,2)</f>
        <v>5.64</v>
      </c>
      <c r="H17" s="54"/>
      <c r="I17" s="55"/>
      <c r="J17" s="98">
        <v>0.3</v>
      </c>
      <c r="K17" s="70"/>
    </row>
    <row r="18" spans="1:11" s="98" customFormat="1" ht="13.5">
      <c r="A18" s="158"/>
      <c r="B18" s="86" t="s">
        <v>63</v>
      </c>
      <c r="C18" s="52" t="s">
        <v>119</v>
      </c>
      <c r="D18" s="160" t="s">
        <v>61</v>
      </c>
      <c r="E18" s="53">
        <v>9.2</v>
      </c>
      <c r="F18" s="54">
        <f>TRUNC(6.5,2)</f>
        <v>6.5</v>
      </c>
      <c r="G18" s="54">
        <f>TRUNC(E18*F18,2)</f>
        <v>59.8</v>
      </c>
      <c r="H18" s="54"/>
      <c r="I18" s="55"/>
      <c r="J18" s="98">
        <v>9.2</v>
      </c>
      <c r="K18" s="70"/>
    </row>
    <row r="19" spans="1:11" s="98" customFormat="1" ht="13.5">
      <c r="A19" s="158"/>
      <c r="B19" s="86" t="s">
        <v>143</v>
      </c>
      <c r="C19" s="52" t="s">
        <v>144</v>
      </c>
      <c r="D19" s="160" t="s">
        <v>27</v>
      </c>
      <c r="E19" s="53">
        <v>2.06</v>
      </c>
      <c r="F19" s="54">
        <f>TRUNC(16.55,2)</f>
        <v>16.55</v>
      </c>
      <c r="G19" s="54">
        <f>TRUNC(E19*F19,2)</f>
        <v>34.09</v>
      </c>
      <c r="H19" s="54"/>
      <c r="I19" s="55"/>
      <c r="J19" s="98">
        <v>2.06</v>
      </c>
      <c r="K19" s="70"/>
    </row>
    <row r="20" spans="1:11" s="98" customFormat="1" ht="13.5">
      <c r="A20" s="158"/>
      <c r="B20" s="86" t="s">
        <v>145</v>
      </c>
      <c r="C20" s="52" t="s">
        <v>146</v>
      </c>
      <c r="D20" s="160" t="s">
        <v>27</v>
      </c>
      <c r="E20" s="53">
        <v>2.06</v>
      </c>
      <c r="F20" s="54">
        <f>TRUNC(24.61,2)</f>
        <v>24.61</v>
      </c>
      <c r="G20" s="54">
        <f>TRUNC(E20*F20,2)</f>
        <v>50.69</v>
      </c>
      <c r="H20" s="54"/>
      <c r="I20" s="55"/>
      <c r="J20" s="98">
        <v>2.06</v>
      </c>
      <c r="K20" s="70"/>
    </row>
    <row r="21" spans="1:11" s="98" customFormat="1" ht="13.5">
      <c r="A21" s="158"/>
      <c r="B21" s="86"/>
      <c r="C21" s="52"/>
      <c r="D21" s="160"/>
      <c r="E21" s="53" t="s">
        <v>70</v>
      </c>
      <c r="F21" s="54"/>
      <c r="G21" s="54">
        <f>TRUNC(SUM(G16:G20),2)</f>
        <v>211.58</v>
      </c>
      <c r="H21" s="54"/>
      <c r="I21" s="55"/>
      <c r="J21" s="98" t="s">
        <v>70</v>
      </c>
      <c r="K21" s="70"/>
    </row>
    <row r="22" spans="1:11" s="182" customFormat="1" ht="41.25">
      <c r="A22" s="175" t="s">
        <v>13</v>
      </c>
      <c r="B22" s="176" t="s">
        <v>202</v>
      </c>
      <c r="C22" s="177" t="s">
        <v>190</v>
      </c>
      <c r="D22" s="178" t="s">
        <v>62</v>
      </c>
      <c r="E22" s="179">
        <v>9</v>
      </c>
      <c r="F22" s="180">
        <f>TRUNC(G40,2)</f>
        <v>455.56</v>
      </c>
      <c r="G22" s="180">
        <f>TRUNC(F22*1.2247,2)</f>
        <v>557.92</v>
      </c>
      <c r="H22" s="180">
        <f>TRUNC(F22*E22,2)</f>
        <v>4100.04</v>
      </c>
      <c r="I22" s="181">
        <f>TRUNC(E22*G22,2)</f>
        <v>5021.28</v>
      </c>
      <c r="J22" s="182">
        <v>9</v>
      </c>
      <c r="K22" s="183"/>
    </row>
    <row r="23" spans="1:11" s="98" customFormat="1" ht="13.5">
      <c r="A23" s="158"/>
      <c r="B23" s="86" t="s">
        <v>175</v>
      </c>
      <c r="C23" s="52" t="s">
        <v>191</v>
      </c>
      <c r="D23" s="160" t="s">
        <v>68</v>
      </c>
      <c r="E23" s="53">
        <v>0.0808</v>
      </c>
      <c r="F23" s="54">
        <f>TRUNC(7.31,2)</f>
        <v>7.31</v>
      </c>
      <c r="G23" s="54">
        <f aca="true" t="shared" si="0" ref="G23:G39">TRUNC(E23*F23,2)</f>
        <v>0.59</v>
      </c>
      <c r="H23" s="54"/>
      <c r="I23" s="55"/>
      <c r="J23" s="98">
        <v>0.06</v>
      </c>
      <c r="K23" s="70"/>
    </row>
    <row r="24" spans="1:11" s="98" customFormat="1" ht="13.5">
      <c r="A24" s="158"/>
      <c r="B24" s="86" t="s">
        <v>183</v>
      </c>
      <c r="C24" s="52" t="s">
        <v>184</v>
      </c>
      <c r="D24" s="160" t="s">
        <v>68</v>
      </c>
      <c r="E24" s="53">
        <v>0.0808</v>
      </c>
      <c r="F24" s="54">
        <f>TRUNC(3.13,2)</f>
        <v>3.13</v>
      </c>
      <c r="G24" s="54">
        <f t="shared" si="0"/>
        <v>0.25</v>
      </c>
      <c r="H24" s="54"/>
      <c r="I24" s="55"/>
      <c r="J24" s="98">
        <v>2</v>
      </c>
      <c r="K24" s="70"/>
    </row>
    <row r="25" spans="1:11" s="98" customFormat="1" ht="13.5">
      <c r="A25" s="158"/>
      <c r="B25" s="86" t="s">
        <v>181</v>
      </c>
      <c r="C25" s="52" t="s">
        <v>182</v>
      </c>
      <c r="D25" s="160" t="s">
        <v>68</v>
      </c>
      <c r="E25" s="53">
        <v>0.08</v>
      </c>
      <c r="F25" s="54">
        <f>TRUNC(6.21,2)</f>
        <v>6.21</v>
      </c>
      <c r="G25" s="54">
        <f t="shared" si="0"/>
        <v>0.49</v>
      </c>
      <c r="H25" s="54"/>
      <c r="I25" s="55"/>
      <c r="J25" s="98">
        <v>0.12</v>
      </c>
      <c r="K25" s="70"/>
    </row>
    <row r="26" spans="1:11" s="98" customFormat="1" ht="27">
      <c r="A26" s="158"/>
      <c r="B26" s="86" t="s">
        <v>169</v>
      </c>
      <c r="C26" s="52" t="s">
        <v>170</v>
      </c>
      <c r="D26" s="160" t="s">
        <v>68</v>
      </c>
      <c r="E26" s="53">
        <v>0.06</v>
      </c>
      <c r="F26" s="54">
        <f>TRUNC(10.36,2)</f>
        <v>10.36</v>
      </c>
      <c r="G26" s="54">
        <f t="shared" si="0"/>
        <v>0.62</v>
      </c>
      <c r="H26" s="54"/>
      <c r="I26" s="55"/>
      <c r="J26" s="98">
        <v>0.17170000000000002</v>
      </c>
      <c r="K26" s="70"/>
    </row>
    <row r="27" spans="1:11" s="98" customFormat="1" ht="13.5">
      <c r="A27" s="158"/>
      <c r="B27" s="86" t="s">
        <v>180</v>
      </c>
      <c r="C27" s="52" t="s">
        <v>192</v>
      </c>
      <c r="D27" s="160" t="s">
        <v>68</v>
      </c>
      <c r="E27" s="53">
        <v>0.17</v>
      </c>
      <c r="F27" s="54">
        <f>TRUNC(27.7,2)</f>
        <v>27.7</v>
      </c>
      <c r="G27" s="54">
        <f t="shared" si="0"/>
        <v>4.7</v>
      </c>
      <c r="H27" s="54"/>
      <c r="I27" s="55"/>
      <c r="J27" s="98">
        <v>0.06</v>
      </c>
      <c r="K27" s="70"/>
    </row>
    <row r="28" spans="1:11" s="98" customFormat="1" ht="13.5">
      <c r="A28" s="158"/>
      <c r="B28" s="86" t="s">
        <v>84</v>
      </c>
      <c r="C28" s="52" t="s">
        <v>90</v>
      </c>
      <c r="D28" s="160" t="s">
        <v>68</v>
      </c>
      <c r="E28" s="53">
        <v>0.0202</v>
      </c>
      <c r="F28" s="54">
        <f>TRUNC(6.08,2)</f>
        <v>6.08</v>
      </c>
      <c r="G28" s="54">
        <f t="shared" si="0"/>
        <v>0.12</v>
      </c>
      <c r="H28" s="54"/>
      <c r="I28" s="55"/>
      <c r="J28" s="98">
        <v>0.0808</v>
      </c>
      <c r="K28" s="70"/>
    </row>
    <row r="29" spans="1:11" s="98" customFormat="1" ht="13.5">
      <c r="A29" s="158"/>
      <c r="B29" s="86" t="s">
        <v>176</v>
      </c>
      <c r="C29" s="52" t="s">
        <v>177</v>
      </c>
      <c r="D29" s="160" t="s">
        <v>61</v>
      </c>
      <c r="E29" s="53">
        <v>0.505</v>
      </c>
      <c r="F29" s="54">
        <f>TRUNC(4.4835,2)</f>
        <v>4.48</v>
      </c>
      <c r="G29" s="54">
        <f t="shared" si="0"/>
        <v>2.26</v>
      </c>
      <c r="H29" s="54"/>
      <c r="I29" s="55"/>
      <c r="J29" s="98">
        <v>0.505</v>
      </c>
      <c r="K29" s="70"/>
    </row>
    <row r="30" spans="1:11" s="98" customFormat="1" ht="27">
      <c r="A30" s="158"/>
      <c r="B30" s="86" t="s">
        <v>185</v>
      </c>
      <c r="C30" s="52" t="s">
        <v>186</v>
      </c>
      <c r="D30" s="160" t="s">
        <v>68</v>
      </c>
      <c r="E30" s="53">
        <v>0.275</v>
      </c>
      <c r="F30" s="54">
        <f>TRUNC(66.13,2)</f>
        <v>66.13</v>
      </c>
      <c r="G30" s="54">
        <f t="shared" si="0"/>
        <v>18.18</v>
      </c>
      <c r="H30" s="54"/>
      <c r="I30" s="55"/>
      <c r="J30" s="98">
        <v>0.95</v>
      </c>
      <c r="K30" s="70"/>
    </row>
    <row r="31" spans="1:11" s="98" customFormat="1" ht="13.5">
      <c r="A31" s="158"/>
      <c r="B31" s="86" t="s">
        <v>63</v>
      </c>
      <c r="C31" s="52" t="s">
        <v>119</v>
      </c>
      <c r="D31" s="160" t="s">
        <v>61</v>
      </c>
      <c r="E31" s="53">
        <v>2</v>
      </c>
      <c r="F31" s="54">
        <f>TRUNC(6.5,2)</f>
        <v>6.5</v>
      </c>
      <c r="G31" s="54">
        <f t="shared" si="0"/>
        <v>13</v>
      </c>
      <c r="H31" s="54"/>
      <c r="I31" s="55"/>
      <c r="J31" s="98">
        <v>0.17</v>
      </c>
      <c r="K31" s="70"/>
    </row>
    <row r="32" spans="1:11" s="98" customFormat="1" ht="13.5">
      <c r="A32" s="158"/>
      <c r="B32" s="86" t="s">
        <v>178</v>
      </c>
      <c r="C32" s="52" t="s">
        <v>179</v>
      </c>
      <c r="D32" s="160" t="s">
        <v>68</v>
      </c>
      <c r="E32" s="53">
        <v>0.95</v>
      </c>
      <c r="F32" s="54">
        <f>TRUNC(1,2)</f>
        <v>1</v>
      </c>
      <c r="G32" s="54">
        <f t="shared" si="0"/>
        <v>0.95</v>
      </c>
      <c r="H32" s="54"/>
      <c r="I32" s="55"/>
      <c r="J32" s="98">
        <v>0.08</v>
      </c>
      <c r="K32" s="70"/>
    </row>
    <row r="33" spans="1:11" s="98" customFormat="1" ht="27">
      <c r="A33" s="158"/>
      <c r="B33" s="86" t="s">
        <v>64</v>
      </c>
      <c r="C33" s="52" t="s">
        <v>166</v>
      </c>
      <c r="D33" s="160" t="s">
        <v>85</v>
      </c>
      <c r="E33" s="53">
        <v>0.12</v>
      </c>
      <c r="F33" s="54">
        <f>TRUNC(18.8,2)</f>
        <v>18.8</v>
      </c>
      <c r="G33" s="54">
        <f t="shared" si="0"/>
        <v>2.25</v>
      </c>
      <c r="H33" s="54"/>
      <c r="I33" s="55"/>
      <c r="J33" s="98">
        <v>0.0808</v>
      </c>
      <c r="K33" s="70"/>
    </row>
    <row r="34" spans="1:11" s="98" customFormat="1" ht="13.5">
      <c r="A34" s="158"/>
      <c r="B34" s="86" t="s">
        <v>173</v>
      </c>
      <c r="C34" s="52" t="s">
        <v>174</v>
      </c>
      <c r="D34" s="160" t="s">
        <v>62</v>
      </c>
      <c r="E34" s="53">
        <v>0.06</v>
      </c>
      <c r="F34" s="54">
        <f>TRUNC(70.452,2)</f>
        <v>70.45</v>
      </c>
      <c r="G34" s="54">
        <f t="shared" si="0"/>
        <v>4.22</v>
      </c>
      <c r="H34" s="54"/>
      <c r="I34" s="55"/>
      <c r="J34" s="98">
        <v>0.275</v>
      </c>
      <c r="K34" s="70"/>
    </row>
    <row r="35" spans="1:11" s="98" customFormat="1" ht="13.5">
      <c r="A35" s="158"/>
      <c r="B35" s="86" t="s">
        <v>171</v>
      </c>
      <c r="C35" s="52" t="s">
        <v>172</v>
      </c>
      <c r="D35" s="160" t="s">
        <v>68</v>
      </c>
      <c r="E35" s="53">
        <v>0.17170000000000002</v>
      </c>
      <c r="F35" s="54">
        <f>TRUNC(2.12,2)</f>
        <v>2.12</v>
      </c>
      <c r="G35" s="54">
        <f t="shared" si="0"/>
        <v>0.36</v>
      </c>
      <c r="H35" s="54"/>
      <c r="I35" s="55"/>
      <c r="J35" s="98">
        <v>0.0202</v>
      </c>
      <c r="K35" s="70"/>
    </row>
    <row r="36" spans="1:11" s="98" customFormat="1" ht="13.5">
      <c r="A36" s="158"/>
      <c r="B36" s="86" t="s">
        <v>145</v>
      </c>
      <c r="C36" s="52" t="s">
        <v>146</v>
      </c>
      <c r="D36" s="160" t="s">
        <v>27</v>
      </c>
      <c r="E36" s="53">
        <v>8.137</v>
      </c>
      <c r="F36" s="54">
        <f>TRUNC(24.61,2)</f>
        <v>24.61</v>
      </c>
      <c r="G36" s="54">
        <f t="shared" si="0"/>
        <v>200.25</v>
      </c>
      <c r="H36" s="54"/>
      <c r="I36" s="55"/>
      <c r="J36" s="98">
        <v>8.137</v>
      </c>
      <c r="K36" s="70"/>
    </row>
    <row r="37" spans="1:11" s="98" customFormat="1" ht="13.5">
      <c r="A37" s="158"/>
      <c r="B37" s="86" t="s">
        <v>143</v>
      </c>
      <c r="C37" s="52" t="s">
        <v>144</v>
      </c>
      <c r="D37" s="160" t="s">
        <v>27</v>
      </c>
      <c r="E37" s="53">
        <v>8.549000000000001</v>
      </c>
      <c r="F37" s="54">
        <f>TRUNC(16.55,2)</f>
        <v>16.55</v>
      </c>
      <c r="G37" s="54">
        <f t="shared" si="0"/>
        <v>141.48</v>
      </c>
      <c r="H37" s="54"/>
      <c r="I37" s="55"/>
      <c r="J37" s="98">
        <v>0.41200000000000003</v>
      </c>
      <c r="K37" s="70"/>
    </row>
    <row r="38" spans="1:11" s="98" customFormat="1" ht="13.5">
      <c r="A38" s="158"/>
      <c r="B38" s="86" t="s">
        <v>150</v>
      </c>
      <c r="C38" s="52" t="s">
        <v>151</v>
      </c>
      <c r="D38" s="160" t="s">
        <v>27</v>
      </c>
      <c r="E38" s="53">
        <v>0.41200000000000003</v>
      </c>
      <c r="F38" s="54">
        <f>TRUNC(22.86,2)</f>
        <v>22.86</v>
      </c>
      <c r="G38" s="54">
        <f t="shared" si="0"/>
        <v>9.41</v>
      </c>
      <c r="H38" s="54"/>
      <c r="I38" s="55"/>
      <c r="J38" s="98">
        <v>8.549000000000001</v>
      </c>
      <c r="K38" s="70"/>
    </row>
    <row r="39" spans="1:11" s="98" customFormat="1" ht="13.5">
      <c r="A39" s="158"/>
      <c r="B39" s="86" t="s">
        <v>203</v>
      </c>
      <c r="C39" s="52" t="s">
        <v>204</v>
      </c>
      <c r="D39" s="160" t="s">
        <v>62</v>
      </c>
      <c r="E39" s="53">
        <v>1.65</v>
      </c>
      <c r="F39" s="54">
        <f>TRUNC(34.2004,2)</f>
        <v>34.2</v>
      </c>
      <c r="G39" s="54">
        <f t="shared" si="0"/>
        <v>56.43</v>
      </c>
      <c r="H39" s="54"/>
      <c r="I39" s="55"/>
      <c r="J39" s="98">
        <v>1.65</v>
      </c>
      <c r="K39" s="70"/>
    </row>
    <row r="40" spans="1:11" s="98" customFormat="1" ht="13.5">
      <c r="A40" s="158"/>
      <c r="B40" s="86"/>
      <c r="C40" s="52"/>
      <c r="D40" s="160"/>
      <c r="E40" s="53" t="s">
        <v>70</v>
      </c>
      <c r="F40" s="54"/>
      <c r="G40" s="54">
        <f>TRUNC(SUM(G23:G39),2)</f>
        <v>455.56</v>
      </c>
      <c r="H40" s="54"/>
      <c r="I40" s="55"/>
      <c r="J40" s="98" t="s">
        <v>70</v>
      </c>
      <c r="K40" s="70"/>
    </row>
    <row r="41" spans="1:11" s="182" customFormat="1" ht="13.5">
      <c r="A41" s="175" t="s">
        <v>36</v>
      </c>
      <c r="B41" s="176" t="s">
        <v>218</v>
      </c>
      <c r="C41" s="177" t="s">
        <v>219</v>
      </c>
      <c r="D41" s="178" t="s">
        <v>62</v>
      </c>
      <c r="E41" s="179">
        <v>188.12</v>
      </c>
      <c r="F41" s="180">
        <f>TRUNC(G43,2)</f>
        <v>5.96</v>
      </c>
      <c r="G41" s="180">
        <f>TRUNC(F41*1.2247,2)</f>
        <v>7.29</v>
      </c>
      <c r="H41" s="180">
        <f>TRUNC(F41*E41,2)</f>
        <v>1121.19</v>
      </c>
      <c r="I41" s="181">
        <f>TRUNC(E41*G41,2)</f>
        <v>1371.39</v>
      </c>
      <c r="J41" s="182">
        <v>188.12</v>
      </c>
      <c r="K41" s="183"/>
    </row>
    <row r="42" spans="1:11" s="98" customFormat="1" ht="13.5">
      <c r="A42" s="158"/>
      <c r="B42" s="86" t="s">
        <v>143</v>
      </c>
      <c r="C42" s="52" t="s">
        <v>144</v>
      </c>
      <c r="D42" s="160" t="s">
        <v>27</v>
      </c>
      <c r="E42" s="53">
        <v>0.3605</v>
      </c>
      <c r="F42" s="54">
        <f>TRUNC(16.55,2)</f>
        <v>16.55</v>
      </c>
      <c r="G42" s="54">
        <f>TRUNC(E42*F42,2)</f>
        <v>5.96</v>
      </c>
      <c r="H42" s="54"/>
      <c r="I42" s="55"/>
      <c r="J42" s="98">
        <v>0.3605</v>
      </c>
      <c r="K42" s="70"/>
    </row>
    <row r="43" spans="1:11" s="98" customFormat="1" ht="13.5">
      <c r="A43" s="158"/>
      <c r="B43" s="86"/>
      <c r="C43" s="52"/>
      <c r="D43" s="160"/>
      <c r="E43" s="53" t="s">
        <v>70</v>
      </c>
      <c r="F43" s="54"/>
      <c r="G43" s="54">
        <f>TRUNC(SUM(G42:G42),2)</f>
        <v>5.96</v>
      </c>
      <c r="H43" s="54"/>
      <c r="I43" s="55"/>
      <c r="J43" s="98" t="s">
        <v>70</v>
      </c>
      <c r="K43" s="70"/>
    </row>
    <row r="44" spans="1:11" s="182" customFormat="1" ht="27">
      <c r="A44" s="175" t="s">
        <v>10</v>
      </c>
      <c r="B44" s="176" t="s">
        <v>220</v>
      </c>
      <c r="C44" s="177" t="s">
        <v>221</v>
      </c>
      <c r="D44" s="178" t="s">
        <v>26</v>
      </c>
      <c r="E44" s="179">
        <v>8.11</v>
      </c>
      <c r="F44" s="180">
        <f>TRUNC(G46,2)</f>
        <v>41.82</v>
      </c>
      <c r="G44" s="180">
        <f>TRUNC(F44*1.2247,2)</f>
        <v>51.21</v>
      </c>
      <c r="H44" s="180">
        <f>TRUNC(F44*E44,2)</f>
        <v>339.16</v>
      </c>
      <c r="I44" s="181">
        <f>TRUNC(E44*G44,2)</f>
        <v>415.31</v>
      </c>
      <c r="J44" s="182">
        <v>8.11</v>
      </c>
      <c r="K44" s="183">
        <v>2.3</v>
      </c>
    </row>
    <row r="45" spans="1:11" s="98" customFormat="1" ht="13.5">
      <c r="A45" s="158"/>
      <c r="B45" s="86" t="s">
        <v>143</v>
      </c>
      <c r="C45" s="52" t="s">
        <v>144</v>
      </c>
      <c r="D45" s="160" t="s">
        <v>27</v>
      </c>
      <c r="E45" s="53">
        <v>2.5269000000000004</v>
      </c>
      <c r="F45" s="54">
        <f>TRUNC(16.55,2)</f>
        <v>16.55</v>
      </c>
      <c r="G45" s="54">
        <f>TRUNC(E45*F45,2)</f>
        <v>41.82</v>
      </c>
      <c r="H45" s="54"/>
      <c r="I45" s="55"/>
      <c r="J45" s="98">
        <v>2.5269000000000004</v>
      </c>
      <c r="K45" s="70"/>
    </row>
    <row r="46" spans="1:11" s="98" customFormat="1" ht="13.5">
      <c r="A46" s="158"/>
      <c r="B46" s="86"/>
      <c r="C46" s="52"/>
      <c r="D46" s="160"/>
      <c r="E46" s="53" t="s">
        <v>70</v>
      </c>
      <c r="F46" s="54"/>
      <c r="G46" s="54">
        <f>TRUNC(SUM(G45:G45),2)</f>
        <v>41.82</v>
      </c>
      <c r="H46" s="54"/>
      <c r="I46" s="55"/>
      <c r="J46" s="98" t="s">
        <v>70</v>
      </c>
      <c r="K46" s="70"/>
    </row>
    <row r="47" spans="1:11" s="182" customFormat="1" ht="41.25">
      <c r="A47" s="175" t="s">
        <v>9</v>
      </c>
      <c r="B47" s="176" t="s">
        <v>162</v>
      </c>
      <c r="C47" s="177" t="s">
        <v>195</v>
      </c>
      <c r="D47" s="178" t="s">
        <v>68</v>
      </c>
      <c r="E47" s="179">
        <v>2</v>
      </c>
      <c r="F47" s="180">
        <f>TRUNC(G50,2)</f>
        <v>260.22</v>
      </c>
      <c r="G47" s="180">
        <f>TRUNC(F47*1.2247,2)</f>
        <v>318.69</v>
      </c>
      <c r="H47" s="180">
        <f>TRUNC(F47*E47,2)</f>
        <v>520.44</v>
      </c>
      <c r="I47" s="181">
        <f>TRUNC(E47*G47,2)</f>
        <v>637.38</v>
      </c>
      <c r="J47" s="182">
        <v>2</v>
      </c>
      <c r="K47" s="183">
        <v>2.45</v>
      </c>
    </row>
    <row r="48" spans="1:11" s="98" customFormat="1" ht="13.5">
      <c r="A48" s="158"/>
      <c r="B48" s="86" t="s">
        <v>143</v>
      </c>
      <c r="C48" s="52" t="s">
        <v>144</v>
      </c>
      <c r="D48" s="160" t="s">
        <v>27</v>
      </c>
      <c r="E48" s="53">
        <v>0.618</v>
      </c>
      <c r="F48" s="54">
        <f>TRUNC(16.55,2)</f>
        <v>16.55</v>
      </c>
      <c r="G48" s="54">
        <f>TRUNC(E48*F48,2)</f>
        <v>10.22</v>
      </c>
      <c r="H48" s="54"/>
      <c r="I48" s="55"/>
      <c r="J48" s="98">
        <v>0.618</v>
      </c>
      <c r="K48" s="70"/>
    </row>
    <row r="49" spans="1:11" s="98" customFormat="1" ht="27">
      <c r="A49" s="158"/>
      <c r="B49" s="86" t="s">
        <v>94</v>
      </c>
      <c r="C49" s="52" t="s">
        <v>140</v>
      </c>
      <c r="D49" s="160" t="s">
        <v>68</v>
      </c>
      <c r="E49" s="53">
        <v>1</v>
      </c>
      <c r="F49" s="54">
        <f>TRUNC(250,2)</f>
        <v>250</v>
      </c>
      <c r="G49" s="54">
        <f>TRUNC(E49*F49,2)</f>
        <v>250</v>
      </c>
      <c r="H49" s="54"/>
      <c r="I49" s="55"/>
      <c r="J49" s="98">
        <v>1</v>
      </c>
      <c r="K49" s="70"/>
    </row>
    <row r="50" spans="1:11" s="98" customFormat="1" ht="13.5">
      <c r="A50" s="158"/>
      <c r="B50" s="86"/>
      <c r="C50" s="52"/>
      <c r="D50" s="160"/>
      <c r="E50" s="53" t="s">
        <v>70</v>
      </c>
      <c r="F50" s="54"/>
      <c r="G50" s="54">
        <f>TRUNC(SUM(G48:G49),2)</f>
        <v>260.22</v>
      </c>
      <c r="H50" s="54"/>
      <c r="I50" s="55"/>
      <c r="J50" s="98" t="s">
        <v>70</v>
      </c>
      <c r="K50" s="70"/>
    </row>
    <row r="51" spans="1:11" s="182" customFormat="1" ht="13.5">
      <c r="A51" s="175" t="s">
        <v>138</v>
      </c>
      <c r="B51" s="176" t="s">
        <v>222</v>
      </c>
      <c r="C51" s="177" t="s">
        <v>223</v>
      </c>
      <c r="D51" s="178" t="s">
        <v>62</v>
      </c>
      <c r="E51" s="179">
        <v>29.53</v>
      </c>
      <c r="F51" s="180">
        <f>TRUNC(G53,2)</f>
        <v>8.52</v>
      </c>
      <c r="G51" s="180">
        <f>TRUNC(F51*1.2247,2)</f>
        <v>10.43</v>
      </c>
      <c r="H51" s="180">
        <f>TRUNC(F51*E51,2)</f>
        <v>251.59</v>
      </c>
      <c r="I51" s="181">
        <f>TRUNC(E51*G51,2)</f>
        <v>307.99</v>
      </c>
      <c r="J51" s="182">
        <v>29.53</v>
      </c>
      <c r="K51" s="183"/>
    </row>
    <row r="52" spans="1:11" s="98" customFormat="1" ht="13.5">
      <c r="A52" s="158"/>
      <c r="B52" s="86" t="s">
        <v>143</v>
      </c>
      <c r="C52" s="52" t="s">
        <v>144</v>
      </c>
      <c r="D52" s="160" t="s">
        <v>27</v>
      </c>
      <c r="E52" s="53">
        <v>0.515</v>
      </c>
      <c r="F52" s="54">
        <f>TRUNC(16.55,2)</f>
        <v>16.55</v>
      </c>
      <c r="G52" s="54">
        <f>TRUNC(E52*F52,2)</f>
        <v>8.52</v>
      </c>
      <c r="H52" s="54"/>
      <c r="I52" s="55"/>
      <c r="J52" s="98">
        <v>0.515</v>
      </c>
      <c r="K52" s="70"/>
    </row>
    <row r="53" spans="1:11" s="98" customFormat="1" ht="13.5">
      <c r="A53" s="158"/>
      <c r="B53" s="86"/>
      <c r="C53" s="52"/>
      <c r="D53" s="160"/>
      <c r="E53" s="53" t="s">
        <v>70</v>
      </c>
      <c r="F53" s="54"/>
      <c r="G53" s="54">
        <f>TRUNC(SUM(G52:G52),2)</f>
        <v>8.52</v>
      </c>
      <c r="H53" s="54"/>
      <c r="I53" s="55"/>
      <c r="J53" s="98" t="s">
        <v>70</v>
      </c>
      <c r="K53" s="70"/>
    </row>
    <row r="54" spans="1:11" s="182" customFormat="1" ht="13.5">
      <c r="A54" s="175" t="s">
        <v>139</v>
      </c>
      <c r="B54" s="176" t="s">
        <v>573</v>
      </c>
      <c r="C54" s="177" t="s">
        <v>574</v>
      </c>
      <c r="D54" s="178" t="s">
        <v>62</v>
      </c>
      <c r="E54" s="179">
        <v>9.35</v>
      </c>
      <c r="F54" s="180">
        <f>TRUNC(G57,2)</f>
        <v>12.17</v>
      </c>
      <c r="G54" s="180">
        <f>TRUNC(F54*1.2247,2)</f>
        <v>14.9</v>
      </c>
      <c r="H54" s="180">
        <f>TRUNC(F54*E54,2)</f>
        <v>113.78</v>
      </c>
      <c r="I54" s="181">
        <f>TRUNC(E54*G54,2)</f>
        <v>139.31</v>
      </c>
      <c r="J54" s="182">
        <v>9.35</v>
      </c>
      <c r="K54" s="183"/>
    </row>
    <row r="55" spans="1:11" s="98" customFormat="1" ht="13.5">
      <c r="A55" s="158"/>
      <c r="B55" s="86" t="s">
        <v>143</v>
      </c>
      <c r="C55" s="52" t="s">
        <v>144</v>
      </c>
      <c r="D55" s="160" t="s">
        <v>27</v>
      </c>
      <c r="E55" s="53">
        <v>0.309</v>
      </c>
      <c r="F55" s="54">
        <f>TRUNC(16.55,2)</f>
        <v>16.55</v>
      </c>
      <c r="G55" s="54">
        <f>TRUNC(E55*F55,2)</f>
        <v>5.11</v>
      </c>
      <c r="H55" s="54"/>
      <c r="I55" s="55"/>
      <c r="J55" s="98">
        <v>0.309</v>
      </c>
      <c r="K55" s="70"/>
    </row>
    <row r="56" spans="1:11" s="98" customFormat="1" ht="13.5">
      <c r="A56" s="158"/>
      <c r="B56" s="86" t="s">
        <v>318</v>
      </c>
      <c r="C56" s="52" t="s">
        <v>319</v>
      </c>
      <c r="D56" s="160" t="s">
        <v>27</v>
      </c>
      <c r="E56" s="53">
        <v>0.309</v>
      </c>
      <c r="F56" s="54">
        <f>TRUNC(22.86,2)</f>
        <v>22.86</v>
      </c>
      <c r="G56" s="54">
        <f>TRUNC(E56*F56,2)</f>
        <v>7.06</v>
      </c>
      <c r="H56" s="54"/>
      <c r="I56" s="55"/>
      <c r="J56" s="98">
        <v>0.309</v>
      </c>
      <c r="K56" s="70"/>
    </row>
    <row r="57" spans="1:11" s="98" customFormat="1" ht="13.5">
      <c r="A57" s="158"/>
      <c r="B57" s="86"/>
      <c r="C57" s="52"/>
      <c r="D57" s="160"/>
      <c r="E57" s="53" t="s">
        <v>70</v>
      </c>
      <c r="F57" s="54"/>
      <c r="G57" s="54">
        <f>TRUNC(SUM(G55:G56),2)</f>
        <v>12.17</v>
      </c>
      <c r="H57" s="54"/>
      <c r="I57" s="55"/>
      <c r="J57" s="98" t="s">
        <v>70</v>
      </c>
      <c r="K57" s="70"/>
    </row>
    <row r="58" spans="1:9" s="41" customFormat="1" ht="13.5">
      <c r="A58" s="106" t="s">
        <v>111</v>
      </c>
      <c r="B58" s="100"/>
      <c r="C58" s="76" t="s">
        <v>73</v>
      </c>
      <c r="D58" s="125"/>
      <c r="E58" s="77"/>
      <c r="F58" s="78"/>
      <c r="G58" s="78"/>
      <c r="H58" s="79">
        <f>H15+H22+H41+H44+H47+H51+H54</f>
        <v>8138.840000000001</v>
      </c>
      <c r="I58" s="79">
        <f>I15+I22+I41+I44+I47+I51+I54</f>
        <v>9965.619999999997</v>
      </c>
    </row>
    <row r="59" spans="1:16" s="41" customFormat="1" ht="13.5">
      <c r="A59" s="133" t="s">
        <v>74</v>
      </c>
      <c r="B59" s="185"/>
      <c r="C59" s="186" t="s">
        <v>224</v>
      </c>
      <c r="D59" s="187"/>
      <c r="E59" s="186"/>
      <c r="F59" s="186"/>
      <c r="G59" s="186"/>
      <c r="H59" s="186"/>
      <c r="I59" s="186"/>
      <c r="K59" s="61"/>
      <c r="L59" s="62"/>
      <c r="M59" s="56"/>
      <c r="N59" s="63"/>
      <c r="O59" s="58"/>
      <c r="P59" s="58"/>
    </row>
    <row r="60" spans="1:11" s="182" customFormat="1" ht="41.25">
      <c r="A60" s="175" t="s">
        <v>14</v>
      </c>
      <c r="B60" s="176" t="s">
        <v>225</v>
      </c>
      <c r="C60" s="177" t="s">
        <v>226</v>
      </c>
      <c r="D60" s="178" t="s">
        <v>62</v>
      </c>
      <c r="E60" s="179">
        <v>54.46</v>
      </c>
      <c r="F60" s="180">
        <f>TRUNC(G66,2)</f>
        <v>32.11</v>
      </c>
      <c r="G60" s="180">
        <f>TRUNC(F60*1.2247,2)</f>
        <v>39.32</v>
      </c>
      <c r="H60" s="180">
        <f>TRUNC(F60*E60,2)</f>
        <v>1748.71</v>
      </c>
      <c r="I60" s="181">
        <f>TRUNC(E60*G60,2)</f>
        <v>2141.36</v>
      </c>
      <c r="J60" s="182">
        <v>54.46</v>
      </c>
      <c r="K60" s="183"/>
    </row>
    <row r="61" spans="1:11" s="98" customFormat="1" ht="13.5">
      <c r="A61" s="158"/>
      <c r="B61" s="86" t="s">
        <v>227</v>
      </c>
      <c r="C61" s="52" t="s">
        <v>228</v>
      </c>
      <c r="D61" s="160" t="s">
        <v>153</v>
      </c>
      <c r="E61" s="53">
        <v>0.21</v>
      </c>
      <c r="F61" s="54">
        <f>TRUNC(13.49,2)</f>
        <v>13.49</v>
      </c>
      <c r="G61" s="54">
        <f>TRUNC(E61*F61,2)</f>
        <v>2.83</v>
      </c>
      <c r="H61" s="54"/>
      <c r="I61" s="55"/>
      <c r="J61" s="98">
        <v>0.21</v>
      </c>
      <c r="K61" s="70"/>
    </row>
    <row r="62" spans="1:11" s="98" customFormat="1" ht="13.5">
      <c r="A62" s="158"/>
      <c r="B62" s="86" t="s">
        <v>229</v>
      </c>
      <c r="C62" s="52" t="s">
        <v>230</v>
      </c>
      <c r="D62" s="160" t="s">
        <v>85</v>
      </c>
      <c r="E62" s="53">
        <v>0.5</v>
      </c>
      <c r="F62" s="54">
        <f>TRUNC(0.6,2)</f>
        <v>0.6</v>
      </c>
      <c r="G62" s="54">
        <f>TRUNC(E62*F62,2)</f>
        <v>0.3</v>
      </c>
      <c r="H62" s="54"/>
      <c r="I62" s="55"/>
      <c r="J62" s="98">
        <v>0.5</v>
      </c>
      <c r="K62" s="70"/>
    </row>
    <row r="63" spans="1:11" s="98" customFormat="1" ht="13.5">
      <c r="A63" s="158"/>
      <c r="B63" s="86" t="s">
        <v>152</v>
      </c>
      <c r="C63" s="52" t="s">
        <v>122</v>
      </c>
      <c r="D63" s="160" t="s">
        <v>27</v>
      </c>
      <c r="E63" s="53">
        <v>0.107</v>
      </c>
      <c r="F63" s="54">
        <f>TRUNC(23.75,2)</f>
        <v>23.75</v>
      </c>
      <c r="G63" s="54">
        <f>TRUNC(E63*F63,2)</f>
        <v>2.54</v>
      </c>
      <c r="H63" s="54"/>
      <c r="I63" s="55"/>
      <c r="J63" s="98">
        <v>0.107</v>
      </c>
      <c r="K63" s="70"/>
    </row>
    <row r="64" spans="1:11" s="98" customFormat="1" ht="13.5">
      <c r="A64" s="158"/>
      <c r="B64" s="86" t="s">
        <v>157</v>
      </c>
      <c r="C64" s="52" t="s">
        <v>126</v>
      </c>
      <c r="D64" s="160" t="s">
        <v>27</v>
      </c>
      <c r="E64" s="53">
        <v>0.214</v>
      </c>
      <c r="F64" s="54">
        <f>TRUNC(30.22,2)</f>
        <v>30.22</v>
      </c>
      <c r="G64" s="54">
        <f>TRUNC(E64*F64,2)</f>
        <v>6.46</v>
      </c>
      <c r="H64" s="54"/>
      <c r="I64" s="55"/>
      <c r="J64" s="98">
        <v>0.214</v>
      </c>
      <c r="K64" s="70"/>
    </row>
    <row r="65" spans="1:11" s="98" customFormat="1" ht="27">
      <c r="A65" s="158"/>
      <c r="B65" s="86" t="s">
        <v>231</v>
      </c>
      <c r="C65" s="52" t="s">
        <v>232</v>
      </c>
      <c r="D65" s="160" t="s">
        <v>26</v>
      </c>
      <c r="E65" s="53">
        <v>0.031</v>
      </c>
      <c r="F65" s="54">
        <f>TRUNC(644.68,2)</f>
        <v>644.68</v>
      </c>
      <c r="G65" s="54">
        <f>TRUNC(E65*F65,2)</f>
        <v>19.98</v>
      </c>
      <c r="H65" s="54"/>
      <c r="I65" s="55"/>
      <c r="J65" s="98">
        <v>0.031</v>
      </c>
      <c r="K65" s="70"/>
    </row>
    <row r="66" spans="1:11" s="98" customFormat="1" ht="13.5">
      <c r="A66" s="158"/>
      <c r="B66" s="86"/>
      <c r="C66" s="52"/>
      <c r="D66" s="160"/>
      <c r="E66" s="53" t="s">
        <v>70</v>
      </c>
      <c r="F66" s="54"/>
      <c r="G66" s="54">
        <f>TRUNC(SUM(G61:G65),2)</f>
        <v>32.11</v>
      </c>
      <c r="H66" s="54"/>
      <c r="I66" s="55"/>
      <c r="J66" s="98" t="s">
        <v>70</v>
      </c>
      <c r="K66" s="70"/>
    </row>
    <row r="67" spans="1:16" s="41" customFormat="1" ht="13.5">
      <c r="A67" s="135" t="s">
        <v>111</v>
      </c>
      <c r="B67" s="134"/>
      <c r="C67" s="136" t="s">
        <v>75</v>
      </c>
      <c r="D67" s="140"/>
      <c r="E67" s="137"/>
      <c r="F67" s="138"/>
      <c r="G67" s="138"/>
      <c r="H67" s="139">
        <f>H60</f>
        <v>1748.71</v>
      </c>
      <c r="I67" s="139">
        <f>I60</f>
        <v>2141.36</v>
      </c>
      <c r="K67" s="61"/>
      <c r="L67" s="62"/>
      <c r="M67" s="56"/>
      <c r="N67" s="63"/>
      <c r="O67" s="58"/>
      <c r="P67" s="58"/>
    </row>
    <row r="68" spans="1:16" s="41" customFormat="1" ht="13.5">
      <c r="A68" s="80" t="s">
        <v>76</v>
      </c>
      <c r="B68" s="110"/>
      <c r="C68" s="71" t="s">
        <v>233</v>
      </c>
      <c r="D68" s="124"/>
      <c r="E68" s="71"/>
      <c r="F68" s="71"/>
      <c r="G68" s="71"/>
      <c r="H68" s="71"/>
      <c r="I68" s="71"/>
      <c r="K68" s="61"/>
      <c r="L68" s="62"/>
      <c r="M68" s="56"/>
      <c r="N68" s="63"/>
      <c r="O68" s="58"/>
      <c r="P68" s="58"/>
    </row>
    <row r="69" spans="1:11" s="182" customFormat="1" ht="27">
      <c r="A69" s="175" t="s">
        <v>15</v>
      </c>
      <c r="B69" s="176" t="s">
        <v>234</v>
      </c>
      <c r="C69" s="177" t="s">
        <v>235</v>
      </c>
      <c r="D69" s="178" t="s">
        <v>62</v>
      </c>
      <c r="E69" s="179">
        <v>188.12</v>
      </c>
      <c r="F69" s="180">
        <f>TRUNC(G75,2)</f>
        <v>94.61</v>
      </c>
      <c r="G69" s="180">
        <f>TRUNC(F69*1.2247,2)</f>
        <v>115.86</v>
      </c>
      <c r="H69" s="180">
        <f>TRUNC(F69*E69,2)</f>
        <v>17798.03</v>
      </c>
      <c r="I69" s="181">
        <f>TRUNC(E69*G69,2)</f>
        <v>21795.58</v>
      </c>
      <c r="J69" s="182">
        <v>188.12</v>
      </c>
      <c r="K69" s="183"/>
    </row>
    <row r="70" spans="1:11" s="98" customFormat="1" ht="13.5">
      <c r="A70" s="158"/>
      <c r="B70" s="86" t="s">
        <v>236</v>
      </c>
      <c r="C70" s="52" t="s">
        <v>237</v>
      </c>
      <c r="D70" s="160" t="s">
        <v>85</v>
      </c>
      <c r="E70" s="53">
        <v>0.14</v>
      </c>
      <c r="F70" s="54">
        <f>TRUNC(3.75,2)</f>
        <v>3.75</v>
      </c>
      <c r="G70" s="54">
        <f>TRUNC(E70*F70,2)</f>
        <v>0.52</v>
      </c>
      <c r="H70" s="54"/>
      <c r="I70" s="55"/>
      <c r="J70" s="98">
        <v>0.14</v>
      </c>
      <c r="K70" s="70"/>
    </row>
    <row r="71" spans="1:11" s="98" customFormat="1" ht="13.5">
      <c r="A71" s="158"/>
      <c r="B71" s="86" t="s">
        <v>238</v>
      </c>
      <c r="C71" s="52" t="s">
        <v>239</v>
      </c>
      <c r="D71" s="160" t="s">
        <v>85</v>
      </c>
      <c r="E71" s="53">
        <v>8.62</v>
      </c>
      <c r="F71" s="54">
        <f>TRUNC(0.64,2)</f>
        <v>0.64</v>
      </c>
      <c r="G71" s="54">
        <f>TRUNC(E71*F71,2)</f>
        <v>5.51</v>
      </c>
      <c r="H71" s="54"/>
      <c r="I71" s="55"/>
      <c r="J71" s="98">
        <v>8.62</v>
      </c>
      <c r="K71" s="70"/>
    </row>
    <row r="72" spans="1:11" s="98" customFormat="1" ht="27">
      <c r="A72" s="158"/>
      <c r="B72" s="86" t="s">
        <v>240</v>
      </c>
      <c r="C72" s="52" t="s">
        <v>241</v>
      </c>
      <c r="D72" s="160" t="s">
        <v>62</v>
      </c>
      <c r="E72" s="53">
        <v>1.07</v>
      </c>
      <c r="F72" s="54">
        <f>TRUNC(69.78,2)</f>
        <v>69.78</v>
      </c>
      <c r="G72" s="54">
        <f>TRUNC(E72*F72,2)</f>
        <v>74.66</v>
      </c>
      <c r="H72" s="54"/>
      <c r="I72" s="55"/>
      <c r="J72" s="98">
        <v>1.07</v>
      </c>
      <c r="K72" s="70"/>
    </row>
    <row r="73" spans="1:11" s="98" customFormat="1" ht="13.5">
      <c r="A73" s="158"/>
      <c r="B73" s="86" t="s">
        <v>152</v>
      </c>
      <c r="C73" s="52" t="s">
        <v>122</v>
      </c>
      <c r="D73" s="160" t="s">
        <v>27</v>
      </c>
      <c r="E73" s="53">
        <v>0.17</v>
      </c>
      <c r="F73" s="54">
        <f>TRUNC(23.75,2)</f>
        <v>23.75</v>
      </c>
      <c r="G73" s="54">
        <f>TRUNC(E73*F73,2)</f>
        <v>4.03</v>
      </c>
      <c r="H73" s="54"/>
      <c r="I73" s="55"/>
      <c r="J73" s="98">
        <v>0.17</v>
      </c>
      <c r="K73" s="70"/>
    </row>
    <row r="74" spans="1:11" s="98" customFormat="1" ht="13.5">
      <c r="A74" s="158"/>
      <c r="B74" s="86" t="s">
        <v>242</v>
      </c>
      <c r="C74" s="52" t="s">
        <v>243</v>
      </c>
      <c r="D74" s="160" t="s">
        <v>27</v>
      </c>
      <c r="E74" s="53">
        <v>0.31</v>
      </c>
      <c r="F74" s="54">
        <f>TRUNC(31.92,2)</f>
        <v>31.92</v>
      </c>
      <c r="G74" s="54">
        <f>TRUNC(E74*F74,2)</f>
        <v>9.89</v>
      </c>
      <c r="H74" s="54"/>
      <c r="I74" s="55"/>
      <c r="J74" s="98">
        <v>0.31</v>
      </c>
      <c r="K74" s="70"/>
    </row>
    <row r="75" spans="1:11" s="98" customFormat="1" ht="13.5">
      <c r="A75" s="158"/>
      <c r="B75" s="86"/>
      <c r="C75" s="52"/>
      <c r="D75" s="160"/>
      <c r="E75" s="53" t="s">
        <v>70</v>
      </c>
      <c r="F75" s="54"/>
      <c r="G75" s="54">
        <f>TRUNC(SUM(G70:G74),2)</f>
        <v>94.61</v>
      </c>
      <c r="H75" s="54"/>
      <c r="I75" s="55"/>
      <c r="J75" s="98" t="s">
        <v>70</v>
      </c>
      <c r="K75" s="70"/>
    </row>
    <row r="76" spans="1:11" s="182" customFormat="1" ht="27">
      <c r="A76" s="175" t="s">
        <v>16</v>
      </c>
      <c r="B76" s="176" t="s">
        <v>244</v>
      </c>
      <c r="C76" s="177" t="s">
        <v>245</v>
      </c>
      <c r="D76" s="178" t="s">
        <v>61</v>
      </c>
      <c r="E76" s="179">
        <v>84</v>
      </c>
      <c r="F76" s="180">
        <f>TRUNC(G82,2)</f>
        <v>17.24</v>
      </c>
      <c r="G76" s="180">
        <f>TRUNC(F76*1.2247,2)</f>
        <v>21.11</v>
      </c>
      <c r="H76" s="180">
        <f>TRUNC(F76*E76,2)</f>
        <v>1448.16</v>
      </c>
      <c r="I76" s="181">
        <f>TRUNC(E76*G76,2)</f>
        <v>1773.24</v>
      </c>
      <c r="J76" s="182">
        <v>84</v>
      </c>
      <c r="K76" s="183"/>
    </row>
    <row r="77" spans="1:11" s="98" customFormat="1" ht="13.5">
      <c r="A77" s="158"/>
      <c r="B77" s="86" t="s">
        <v>236</v>
      </c>
      <c r="C77" s="52" t="s">
        <v>237</v>
      </c>
      <c r="D77" s="160" t="s">
        <v>85</v>
      </c>
      <c r="E77" s="53">
        <v>0.084</v>
      </c>
      <c r="F77" s="54">
        <f>TRUNC(3.75,2)</f>
        <v>3.75</v>
      </c>
      <c r="G77" s="54">
        <f>TRUNC(E77*F77,2)</f>
        <v>0.31</v>
      </c>
      <c r="H77" s="54"/>
      <c r="I77" s="55"/>
      <c r="J77" s="98">
        <v>0.084</v>
      </c>
      <c r="K77" s="70"/>
    </row>
    <row r="78" spans="1:11" s="98" customFormat="1" ht="13.5">
      <c r="A78" s="158"/>
      <c r="B78" s="86" t="s">
        <v>238</v>
      </c>
      <c r="C78" s="52" t="s">
        <v>239</v>
      </c>
      <c r="D78" s="160" t="s">
        <v>85</v>
      </c>
      <c r="E78" s="53">
        <v>0.603</v>
      </c>
      <c r="F78" s="54">
        <f>TRUNC(0.64,2)</f>
        <v>0.64</v>
      </c>
      <c r="G78" s="54">
        <f>TRUNC(E78*F78,2)</f>
        <v>0.38</v>
      </c>
      <c r="H78" s="54"/>
      <c r="I78" s="55"/>
      <c r="J78" s="98">
        <v>0.603</v>
      </c>
      <c r="K78" s="70"/>
    </row>
    <row r="79" spans="1:11" s="98" customFormat="1" ht="27">
      <c r="A79" s="158"/>
      <c r="B79" s="86" t="s">
        <v>240</v>
      </c>
      <c r="C79" s="52" t="s">
        <v>241</v>
      </c>
      <c r="D79" s="160" t="s">
        <v>62</v>
      </c>
      <c r="E79" s="53">
        <v>0.188</v>
      </c>
      <c r="F79" s="54">
        <f>TRUNC(69.78,2)</f>
        <v>69.78</v>
      </c>
      <c r="G79" s="54">
        <f>TRUNC(E79*F79,2)</f>
        <v>13.11</v>
      </c>
      <c r="H79" s="54"/>
      <c r="I79" s="55"/>
      <c r="J79" s="98">
        <v>0.188</v>
      </c>
      <c r="K79" s="70"/>
    </row>
    <row r="80" spans="1:11" s="98" customFormat="1" ht="13.5">
      <c r="A80" s="158"/>
      <c r="B80" s="86" t="s">
        <v>152</v>
      </c>
      <c r="C80" s="52" t="s">
        <v>122</v>
      </c>
      <c r="D80" s="160" t="s">
        <v>27</v>
      </c>
      <c r="E80" s="53">
        <v>0.031</v>
      </c>
      <c r="F80" s="54">
        <f>TRUNC(23.75,2)</f>
        <v>23.75</v>
      </c>
      <c r="G80" s="54">
        <f>TRUNC(E80*F80,2)</f>
        <v>0.73</v>
      </c>
      <c r="H80" s="54"/>
      <c r="I80" s="55"/>
      <c r="J80" s="98">
        <v>0.031</v>
      </c>
      <c r="K80" s="70"/>
    </row>
    <row r="81" spans="1:11" s="98" customFormat="1" ht="13.5">
      <c r="A81" s="158"/>
      <c r="B81" s="86" t="s">
        <v>242</v>
      </c>
      <c r="C81" s="52" t="s">
        <v>243</v>
      </c>
      <c r="D81" s="160" t="s">
        <v>27</v>
      </c>
      <c r="E81" s="53">
        <v>0.085</v>
      </c>
      <c r="F81" s="54">
        <f>TRUNC(31.92,2)</f>
        <v>31.92</v>
      </c>
      <c r="G81" s="54">
        <f>TRUNC(E81*F81,2)</f>
        <v>2.71</v>
      </c>
      <c r="H81" s="54"/>
      <c r="I81" s="55"/>
      <c r="J81" s="98">
        <v>0.085</v>
      </c>
      <c r="K81" s="70"/>
    </row>
    <row r="82" spans="1:11" s="98" customFormat="1" ht="13.5">
      <c r="A82" s="158"/>
      <c r="B82" s="86"/>
      <c r="C82" s="52"/>
      <c r="D82" s="160"/>
      <c r="E82" s="53" t="s">
        <v>70</v>
      </c>
      <c r="F82" s="54"/>
      <c r="G82" s="54">
        <f>TRUNC(SUM(G77:G81),2)</f>
        <v>17.24</v>
      </c>
      <c r="H82" s="54"/>
      <c r="I82" s="55"/>
      <c r="J82" s="98" t="s">
        <v>70</v>
      </c>
      <c r="K82" s="70"/>
    </row>
    <row r="83" spans="1:16" s="41" customFormat="1" ht="13.5">
      <c r="A83" s="135" t="s">
        <v>111</v>
      </c>
      <c r="B83" s="134"/>
      <c r="C83" s="136" t="s">
        <v>77</v>
      </c>
      <c r="D83" s="140"/>
      <c r="E83" s="137"/>
      <c r="F83" s="138"/>
      <c r="G83" s="138"/>
      <c r="H83" s="139">
        <f>H69+H76</f>
        <v>19246.19</v>
      </c>
      <c r="I83" s="139">
        <f>I69+I76</f>
        <v>23568.820000000003</v>
      </c>
      <c r="K83" s="61"/>
      <c r="L83" s="62"/>
      <c r="M83" s="56"/>
      <c r="N83" s="63"/>
      <c r="O83" s="58"/>
      <c r="P83" s="58"/>
    </row>
    <row r="84" spans="1:16" s="41" customFormat="1" ht="13.5">
      <c r="A84" s="80" t="s">
        <v>78</v>
      </c>
      <c r="B84" s="110"/>
      <c r="C84" s="71" t="s">
        <v>1</v>
      </c>
      <c r="D84" s="124"/>
      <c r="E84" s="71"/>
      <c r="F84" s="71"/>
      <c r="G84" s="71"/>
      <c r="H84" s="71"/>
      <c r="I84" s="71"/>
      <c r="K84" s="61"/>
      <c r="L84" s="62"/>
      <c r="M84" s="56"/>
      <c r="N84" s="63"/>
      <c r="O84" s="58"/>
      <c r="P84" s="58"/>
    </row>
    <row r="85" spans="1:11" s="182" customFormat="1" ht="13.5">
      <c r="A85" s="175" t="s">
        <v>65</v>
      </c>
      <c r="B85" s="176" t="s">
        <v>149</v>
      </c>
      <c r="C85" s="177" t="s">
        <v>193</v>
      </c>
      <c r="D85" s="178" t="s">
        <v>68</v>
      </c>
      <c r="E85" s="179">
        <v>2</v>
      </c>
      <c r="F85" s="180">
        <f>TRUNC(G88,2)</f>
        <v>24.1</v>
      </c>
      <c r="G85" s="180">
        <f>TRUNC(F85*1.2247,2)</f>
        <v>29.51</v>
      </c>
      <c r="H85" s="180">
        <f>TRUNC(F85*E85,2)</f>
        <v>48.2</v>
      </c>
      <c r="I85" s="181">
        <f>TRUNC(E85*G85,2)</f>
        <v>59.02</v>
      </c>
      <c r="J85" s="182">
        <v>2</v>
      </c>
      <c r="K85" s="183"/>
    </row>
    <row r="86" spans="1:11" s="98" customFormat="1" ht="13.5">
      <c r="A86" s="158"/>
      <c r="B86" s="86" t="s">
        <v>143</v>
      </c>
      <c r="C86" s="52" t="s">
        <v>144</v>
      </c>
      <c r="D86" s="160" t="s">
        <v>27</v>
      </c>
      <c r="E86" s="53">
        <v>1.03</v>
      </c>
      <c r="F86" s="54">
        <f>TRUNC(16.55,2)</f>
        <v>16.55</v>
      </c>
      <c r="G86" s="54">
        <f>TRUNC(E86*F86,2)</f>
        <v>17.04</v>
      </c>
      <c r="H86" s="54"/>
      <c r="I86" s="55"/>
      <c r="J86" s="98">
        <v>1.03</v>
      </c>
      <c r="K86" s="70"/>
    </row>
    <row r="87" spans="1:11" s="98" customFormat="1" ht="13.5">
      <c r="A87" s="158"/>
      <c r="B87" s="86" t="s">
        <v>147</v>
      </c>
      <c r="C87" s="52" t="s">
        <v>148</v>
      </c>
      <c r="D87" s="160" t="s">
        <v>27</v>
      </c>
      <c r="E87" s="53">
        <v>0.309</v>
      </c>
      <c r="F87" s="54">
        <f>TRUNC(22.86,2)</f>
        <v>22.86</v>
      </c>
      <c r="G87" s="54">
        <f>TRUNC(E87*F87,2)</f>
        <v>7.06</v>
      </c>
      <c r="H87" s="54"/>
      <c r="I87" s="55"/>
      <c r="J87" s="98">
        <v>0.309</v>
      </c>
      <c r="K87" s="70"/>
    </row>
    <row r="88" spans="1:11" s="98" customFormat="1" ht="13.5">
      <c r="A88" s="158"/>
      <c r="B88" s="86"/>
      <c r="C88" s="52"/>
      <c r="D88" s="160"/>
      <c r="E88" s="53" t="s">
        <v>70</v>
      </c>
      <c r="F88" s="54"/>
      <c r="G88" s="54">
        <f>TRUNC(SUM(G86:G87),2)</f>
        <v>24.1</v>
      </c>
      <c r="H88" s="54"/>
      <c r="I88" s="55"/>
      <c r="J88" s="98" t="s">
        <v>70</v>
      </c>
      <c r="K88" s="70"/>
    </row>
    <row r="89" spans="1:11" s="182" customFormat="1" ht="27">
      <c r="A89" s="175" t="s">
        <v>2</v>
      </c>
      <c r="B89" s="176" t="s">
        <v>587</v>
      </c>
      <c r="C89" s="177" t="s">
        <v>247</v>
      </c>
      <c r="D89" s="178" t="s">
        <v>68</v>
      </c>
      <c r="E89" s="179">
        <v>2</v>
      </c>
      <c r="F89" s="180">
        <f>TRUNC(G94,2)</f>
        <v>86.1</v>
      </c>
      <c r="G89" s="180">
        <f>TRUNC(F89*1.2247,2)</f>
        <v>105.44</v>
      </c>
      <c r="H89" s="180">
        <f>TRUNC(F89*E89,2)</f>
        <v>172.2</v>
      </c>
      <c r="I89" s="181">
        <f>TRUNC(E89*G89,2)</f>
        <v>210.88</v>
      </c>
      <c r="J89" s="182">
        <v>2</v>
      </c>
      <c r="K89" s="183"/>
    </row>
    <row r="90" spans="1:11" s="98" customFormat="1" ht="13.5">
      <c r="A90" s="158"/>
      <c r="B90" s="86" t="s">
        <v>588</v>
      </c>
      <c r="C90" s="52" t="s">
        <v>249</v>
      </c>
      <c r="D90" s="160" t="s">
        <v>68</v>
      </c>
      <c r="E90" s="53">
        <v>19.8</v>
      </c>
      <c r="F90" s="54">
        <f>TRUNC(0.09,2)</f>
        <v>0.09</v>
      </c>
      <c r="G90" s="54">
        <f>TRUNC(E90*F90,2)</f>
        <v>1.78</v>
      </c>
      <c r="H90" s="54"/>
      <c r="I90" s="55"/>
      <c r="J90" s="98">
        <v>19.8</v>
      </c>
      <c r="K90" s="70"/>
    </row>
    <row r="91" spans="1:11" s="98" customFormat="1" ht="13.5">
      <c r="A91" s="158"/>
      <c r="B91" s="86" t="s">
        <v>152</v>
      </c>
      <c r="C91" s="52" t="s">
        <v>122</v>
      </c>
      <c r="D91" s="160" t="s">
        <v>27</v>
      </c>
      <c r="E91" s="53">
        <v>1.207</v>
      </c>
      <c r="F91" s="54">
        <f>TRUNC(23.75,2)</f>
        <v>23.75</v>
      </c>
      <c r="G91" s="54">
        <f>TRUNC(E91*F91,2)</f>
        <v>28.66</v>
      </c>
      <c r="H91" s="54"/>
      <c r="I91" s="55"/>
      <c r="J91" s="98">
        <v>1.207</v>
      </c>
      <c r="K91" s="70"/>
    </row>
    <row r="92" spans="1:11" s="98" customFormat="1" ht="13.5">
      <c r="A92" s="158"/>
      <c r="B92" s="86" t="s">
        <v>157</v>
      </c>
      <c r="C92" s="52" t="s">
        <v>126</v>
      </c>
      <c r="D92" s="160" t="s">
        <v>27</v>
      </c>
      <c r="E92" s="53">
        <v>0.221</v>
      </c>
      <c r="F92" s="54">
        <f>TRUNC(30.22,2)</f>
        <v>30.22</v>
      </c>
      <c r="G92" s="54">
        <f>TRUNC(E92*F92,2)</f>
        <v>6.67</v>
      </c>
      <c r="H92" s="54"/>
      <c r="I92" s="55"/>
      <c r="J92" s="98">
        <v>0.221</v>
      </c>
      <c r="K92" s="70"/>
    </row>
    <row r="93" spans="1:11" s="98" customFormat="1" ht="13.5">
      <c r="A93" s="158"/>
      <c r="B93" s="86" t="s">
        <v>589</v>
      </c>
      <c r="C93" s="52" t="s">
        <v>251</v>
      </c>
      <c r="D93" s="160" t="s">
        <v>27</v>
      </c>
      <c r="E93" s="53">
        <v>1.546</v>
      </c>
      <c r="F93" s="54">
        <f>TRUNC(31.69,2)</f>
        <v>31.69</v>
      </c>
      <c r="G93" s="54">
        <f>TRUNC(E93*F93,2)</f>
        <v>48.99</v>
      </c>
      <c r="H93" s="54"/>
      <c r="I93" s="55"/>
      <c r="J93" s="98">
        <v>1.546</v>
      </c>
      <c r="K93" s="70"/>
    </row>
    <row r="94" spans="1:11" s="98" customFormat="1" ht="13.5">
      <c r="A94" s="158"/>
      <c r="B94" s="86"/>
      <c r="C94" s="52"/>
      <c r="D94" s="160"/>
      <c r="E94" s="53" t="s">
        <v>70</v>
      </c>
      <c r="F94" s="54"/>
      <c r="G94" s="54">
        <f>TRUNC(SUM(G90:G93),2)</f>
        <v>86.1</v>
      </c>
      <c r="H94" s="54"/>
      <c r="I94" s="55"/>
      <c r="J94" s="98" t="s">
        <v>70</v>
      </c>
      <c r="K94" s="70"/>
    </row>
    <row r="95" spans="1:11" s="182" customFormat="1" ht="41.25">
      <c r="A95" s="175" t="s">
        <v>252</v>
      </c>
      <c r="B95" s="176" t="s">
        <v>253</v>
      </c>
      <c r="C95" s="177" t="s">
        <v>254</v>
      </c>
      <c r="D95" s="178" t="s">
        <v>68</v>
      </c>
      <c r="E95" s="179">
        <v>2</v>
      </c>
      <c r="F95" s="180">
        <f>TRUNC(G102,2)</f>
        <v>568.45</v>
      </c>
      <c r="G95" s="180">
        <f>TRUNC(F95*1.2247,2)</f>
        <v>696.18</v>
      </c>
      <c r="H95" s="180">
        <f>TRUNC(F95*E95,2)</f>
        <v>1136.9</v>
      </c>
      <c r="I95" s="181">
        <f>TRUNC(E95*G95,2)</f>
        <v>1392.36</v>
      </c>
      <c r="J95" s="182">
        <v>2</v>
      </c>
      <c r="K95" s="183"/>
    </row>
    <row r="96" spans="1:11" s="98" customFormat="1" ht="13.5">
      <c r="A96" s="158"/>
      <c r="B96" s="86" t="s">
        <v>255</v>
      </c>
      <c r="C96" s="52" t="s">
        <v>256</v>
      </c>
      <c r="D96" s="160" t="s">
        <v>61</v>
      </c>
      <c r="E96" s="53">
        <v>5.3</v>
      </c>
      <c r="F96" s="54">
        <f>TRUNC(35.53,2)</f>
        <v>35.53</v>
      </c>
      <c r="G96" s="54">
        <f aca="true" t="shared" si="1" ref="G96:G101">TRUNC(E96*F96,2)</f>
        <v>188.3</v>
      </c>
      <c r="H96" s="54"/>
      <c r="I96" s="55"/>
      <c r="J96" s="98">
        <v>5.3</v>
      </c>
      <c r="K96" s="70"/>
    </row>
    <row r="97" spans="1:11" s="98" customFormat="1" ht="13.5">
      <c r="A97" s="158"/>
      <c r="B97" s="86" t="s">
        <v>50</v>
      </c>
      <c r="C97" s="52" t="s">
        <v>95</v>
      </c>
      <c r="D97" s="160" t="s">
        <v>68</v>
      </c>
      <c r="E97" s="53">
        <v>1</v>
      </c>
      <c r="F97" s="54">
        <f>TRUNC(110,2)</f>
        <v>110</v>
      </c>
      <c r="G97" s="54">
        <f t="shared" si="1"/>
        <v>110</v>
      </c>
      <c r="H97" s="54"/>
      <c r="I97" s="55"/>
      <c r="J97" s="98">
        <v>1</v>
      </c>
      <c r="K97" s="70"/>
    </row>
    <row r="98" spans="1:11" s="98" customFormat="1" ht="27">
      <c r="A98" s="158"/>
      <c r="B98" s="86" t="s">
        <v>64</v>
      </c>
      <c r="C98" s="52" t="s">
        <v>166</v>
      </c>
      <c r="D98" s="160" t="s">
        <v>85</v>
      </c>
      <c r="E98" s="53">
        <v>0.1</v>
      </c>
      <c r="F98" s="54">
        <f>TRUNC(18.8,2)</f>
        <v>18.8</v>
      </c>
      <c r="G98" s="54">
        <f t="shared" si="1"/>
        <v>1.88</v>
      </c>
      <c r="H98" s="54"/>
      <c r="I98" s="55"/>
      <c r="J98" s="98">
        <v>0.1</v>
      </c>
      <c r="K98" s="70"/>
    </row>
    <row r="99" spans="1:11" s="98" customFormat="1" ht="13.5">
      <c r="A99" s="158"/>
      <c r="B99" s="86" t="s">
        <v>143</v>
      </c>
      <c r="C99" s="52" t="s">
        <v>144</v>
      </c>
      <c r="D99" s="160" t="s">
        <v>27</v>
      </c>
      <c r="E99" s="53">
        <v>6.18</v>
      </c>
      <c r="F99" s="54">
        <f>TRUNC(16.55,2)</f>
        <v>16.55</v>
      </c>
      <c r="G99" s="54">
        <f t="shared" si="1"/>
        <v>102.27</v>
      </c>
      <c r="H99" s="54"/>
      <c r="I99" s="55"/>
      <c r="J99" s="98">
        <v>6.18</v>
      </c>
      <c r="K99" s="70"/>
    </row>
    <row r="100" spans="1:11" s="98" customFormat="1" ht="13.5">
      <c r="A100" s="158"/>
      <c r="B100" s="86" t="s">
        <v>145</v>
      </c>
      <c r="C100" s="52" t="s">
        <v>146</v>
      </c>
      <c r="D100" s="160" t="s">
        <v>27</v>
      </c>
      <c r="E100" s="53">
        <v>6.18</v>
      </c>
      <c r="F100" s="54">
        <f>TRUNC(24.61,2)</f>
        <v>24.61</v>
      </c>
      <c r="G100" s="54">
        <f t="shared" si="1"/>
        <v>152.08</v>
      </c>
      <c r="H100" s="54"/>
      <c r="I100" s="55"/>
      <c r="J100" s="98">
        <v>6.18</v>
      </c>
      <c r="K100" s="70"/>
    </row>
    <row r="101" spans="1:11" s="98" customFormat="1" ht="13.5">
      <c r="A101" s="158"/>
      <c r="B101" s="86" t="s">
        <v>159</v>
      </c>
      <c r="C101" s="52" t="s">
        <v>160</v>
      </c>
      <c r="D101" s="160" t="s">
        <v>68</v>
      </c>
      <c r="E101" s="53">
        <v>6</v>
      </c>
      <c r="F101" s="54">
        <f>TRUNC(2.3249,2)</f>
        <v>2.32</v>
      </c>
      <c r="G101" s="54">
        <f t="shared" si="1"/>
        <v>13.92</v>
      </c>
      <c r="H101" s="54"/>
      <c r="I101" s="55"/>
      <c r="J101" s="98">
        <v>6</v>
      </c>
      <c r="K101" s="70"/>
    </row>
    <row r="102" spans="1:11" s="98" customFormat="1" ht="13.5">
      <c r="A102" s="158"/>
      <c r="B102" s="86"/>
      <c r="C102" s="52"/>
      <c r="D102" s="160"/>
      <c r="E102" s="53" t="s">
        <v>70</v>
      </c>
      <c r="F102" s="54"/>
      <c r="G102" s="54">
        <f>TRUNC(SUM(G96:G101),2)</f>
        <v>568.45</v>
      </c>
      <c r="H102" s="54"/>
      <c r="I102" s="55"/>
      <c r="J102" s="98" t="s">
        <v>70</v>
      </c>
      <c r="K102" s="70"/>
    </row>
    <row r="103" spans="1:11" s="182" customFormat="1" ht="69">
      <c r="A103" s="175" t="s">
        <v>305</v>
      </c>
      <c r="B103" s="176" t="s">
        <v>257</v>
      </c>
      <c r="C103" s="177" t="s">
        <v>258</v>
      </c>
      <c r="D103" s="178" t="s">
        <v>68</v>
      </c>
      <c r="E103" s="179">
        <v>2</v>
      </c>
      <c r="F103" s="180">
        <f>TRUNC(G110,2)</f>
        <v>387.22</v>
      </c>
      <c r="G103" s="180">
        <f>TRUNC(F103*1.2247,2)</f>
        <v>474.22</v>
      </c>
      <c r="H103" s="180">
        <f>TRUNC(F103*E103,2)</f>
        <v>774.44</v>
      </c>
      <c r="I103" s="181">
        <f>TRUNC(E103*G103,2)</f>
        <v>948.44</v>
      </c>
      <c r="J103" s="182">
        <v>2</v>
      </c>
      <c r="K103" s="183"/>
    </row>
    <row r="104" spans="1:11" s="98" customFormat="1" ht="27">
      <c r="A104" s="158"/>
      <c r="B104" s="86" t="s">
        <v>259</v>
      </c>
      <c r="C104" s="52" t="s">
        <v>260</v>
      </c>
      <c r="D104" s="160" t="s">
        <v>68</v>
      </c>
      <c r="E104" s="53">
        <v>1</v>
      </c>
      <c r="F104" s="54">
        <f>TRUNC(129.64,2)</f>
        <v>129.64</v>
      </c>
      <c r="G104" s="54">
        <f aca="true" t="shared" si="2" ref="G104:G109">TRUNC(E104*F104,2)</f>
        <v>129.64</v>
      </c>
      <c r="H104" s="54"/>
      <c r="I104" s="55"/>
      <c r="J104" s="98">
        <v>1</v>
      </c>
      <c r="K104" s="70"/>
    </row>
    <row r="105" spans="1:11" s="98" customFormat="1" ht="27">
      <c r="A105" s="158"/>
      <c r="B105" s="86" t="s">
        <v>261</v>
      </c>
      <c r="C105" s="52" t="s">
        <v>262</v>
      </c>
      <c r="D105" s="160" t="s">
        <v>68</v>
      </c>
      <c r="E105" s="53">
        <v>2</v>
      </c>
      <c r="F105" s="54">
        <f>TRUNC(56.55,2)</f>
        <v>56.55</v>
      </c>
      <c r="G105" s="54">
        <f t="shared" si="2"/>
        <v>113.1</v>
      </c>
      <c r="H105" s="54"/>
      <c r="I105" s="55"/>
      <c r="J105" s="98">
        <v>2</v>
      </c>
      <c r="K105" s="70"/>
    </row>
    <row r="106" spans="1:11" s="98" customFormat="1" ht="13.5">
      <c r="A106" s="158"/>
      <c r="B106" s="86" t="s">
        <v>263</v>
      </c>
      <c r="C106" s="52" t="s">
        <v>264</v>
      </c>
      <c r="D106" s="160" t="s">
        <v>61</v>
      </c>
      <c r="E106" s="53">
        <v>2</v>
      </c>
      <c r="F106" s="54">
        <f>TRUNC(11.62,2)</f>
        <v>11.62</v>
      </c>
      <c r="G106" s="54">
        <f t="shared" si="2"/>
        <v>23.24</v>
      </c>
      <c r="H106" s="54"/>
      <c r="I106" s="55"/>
      <c r="J106" s="98">
        <v>2</v>
      </c>
      <c r="K106" s="70"/>
    </row>
    <row r="107" spans="1:11" s="98" customFormat="1" ht="13.5">
      <c r="A107" s="158"/>
      <c r="B107" s="86" t="s">
        <v>265</v>
      </c>
      <c r="C107" s="52" t="s">
        <v>266</v>
      </c>
      <c r="D107" s="160" t="s">
        <v>61</v>
      </c>
      <c r="E107" s="53">
        <v>2</v>
      </c>
      <c r="F107" s="54">
        <f>TRUNC(45.27,2)</f>
        <v>45.27</v>
      </c>
      <c r="G107" s="54">
        <f t="shared" si="2"/>
        <v>90.54</v>
      </c>
      <c r="H107" s="54"/>
      <c r="I107" s="55"/>
      <c r="J107" s="98">
        <v>2</v>
      </c>
      <c r="K107" s="70"/>
    </row>
    <row r="108" spans="1:11" s="98" customFormat="1" ht="13.5">
      <c r="A108" s="158"/>
      <c r="B108" s="86" t="s">
        <v>267</v>
      </c>
      <c r="C108" s="52" t="s">
        <v>268</v>
      </c>
      <c r="D108" s="160" t="s">
        <v>68</v>
      </c>
      <c r="E108" s="53">
        <v>2</v>
      </c>
      <c r="F108" s="54">
        <f>TRUNC(8.96,2)</f>
        <v>8.96</v>
      </c>
      <c r="G108" s="54">
        <f t="shared" si="2"/>
        <v>17.92</v>
      </c>
      <c r="H108" s="54"/>
      <c r="I108" s="55"/>
      <c r="J108" s="98">
        <v>2</v>
      </c>
      <c r="K108" s="70"/>
    </row>
    <row r="109" spans="1:11" s="98" customFormat="1" ht="27">
      <c r="A109" s="158"/>
      <c r="B109" s="86" t="s">
        <v>269</v>
      </c>
      <c r="C109" s="52" t="s">
        <v>270</v>
      </c>
      <c r="D109" s="160" t="s">
        <v>68</v>
      </c>
      <c r="E109" s="53">
        <v>2</v>
      </c>
      <c r="F109" s="54">
        <f>TRUNC(6.39,2)</f>
        <v>6.39</v>
      </c>
      <c r="G109" s="54">
        <f t="shared" si="2"/>
        <v>12.78</v>
      </c>
      <c r="H109" s="54"/>
      <c r="I109" s="55"/>
      <c r="J109" s="98">
        <v>2</v>
      </c>
      <c r="K109" s="70"/>
    </row>
    <row r="110" spans="1:11" s="98" customFormat="1" ht="13.5">
      <c r="A110" s="158"/>
      <c r="B110" s="86"/>
      <c r="C110" s="52"/>
      <c r="D110" s="160"/>
      <c r="E110" s="53" t="s">
        <v>70</v>
      </c>
      <c r="F110" s="54"/>
      <c r="G110" s="54">
        <f>TRUNC(SUM(G104:G109),2)</f>
        <v>387.22</v>
      </c>
      <c r="H110" s="54"/>
      <c r="I110" s="55"/>
      <c r="J110" s="98" t="s">
        <v>70</v>
      </c>
      <c r="K110" s="70"/>
    </row>
    <row r="111" spans="1:11" s="182" customFormat="1" ht="41.25">
      <c r="A111" s="175" t="s">
        <v>306</v>
      </c>
      <c r="B111" s="176" t="s">
        <v>158</v>
      </c>
      <c r="C111" s="177" t="s">
        <v>194</v>
      </c>
      <c r="D111" s="178" t="s">
        <v>68</v>
      </c>
      <c r="E111" s="179">
        <v>2</v>
      </c>
      <c r="F111" s="180">
        <f>TRUNC(G119,2)</f>
        <v>629.09</v>
      </c>
      <c r="G111" s="180">
        <f>TRUNC(F111*1.2247,2)</f>
        <v>770.44</v>
      </c>
      <c r="H111" s="180">
        <f>TRUNC(F111*E111,2)</f>
        <v>1258.18</v>
      </c>
      <c r="I111" s="181">
        <f>TRUNC(E111*G111,2)</f>
        <v>1540.88</v>
      </c>
      <c r="J111" s="182">
        <v>2</v>
      </c>
      <c r="K111" s="183"/>
    </row>
    <row r="112" spans="1:11" s="98" customFormat="1" ht="13.5">
      <c r="A112" s="158"/>
      <c r="B112" s="86" t="s">
        <v>25</v>
      </c>
      <c r="C112" s="52" t="s">
        <v>93</v>
      </c>
      <c r="D112" s="160" t="s">
        <v>61</v>
      </c>
      <c r="E112" s="53">
        <v>10.6</v>
      </c>
      <c r="F112" s="54">
        <f>TRUNC(7.78,2)</f>
        <v>7.78</v>
      </c>
      <c r="G112" s="54">
        <f aca="true" t="shared" si="3" ref="G112:G118">TRUNC(E112*F112,2)</f>
        <v>82.46</v>
      </c>
      <c r="H112" s="54"/>
      <c r="I112" s="55"/>
      <c r="J112" s="98">
        <v>10.6</v>
      </c>
      <c r="K112" s="70"/>
    </row>
    <row r="113" spans="1:11" s="98" customFormat="1" ht="13.5">
      <c r="A113" s="158"/>
      <c r="B113" s="86" t="s">
        <v>42</v>
      </c>
      <c r="C113" s="52" t="s">
        <v>92</v>
      </c>
      <c r="D113" s="160" t="s">
        <v>61</v>
      </c>
      <c r="E113" s="53">
        <v>5.3</v>
      </c>
      <c r="F113" s="54">
        <f>TRUNC(31.2,2)</f>
        <v>31.2</v>
      </c>
      <c r="G113" s="54">
        <f t="shared" si="3"/>
        <v>165.36</v>
      </c>
      <c r="H113" s="54"/>
      <c r="I113" s="55"/>
      <c r="J113" s="98">
        <v>5.3</v>
      </c>
      <c r="K113" s="70"/>
    </row>
    <row r="114" spans="1:11" s="98" customFormat="1" ht="13.5">
      <c r="A114" s="158"/>
      <c r="B114" s="86" t="s">
        <v>50</v>
      </c>
      <c r="C114" s="52" t="s">
        <v>95</v>
      </c>
      <c r="D114" s="160" t="s">
        <v>68</v>
      </c>
      <c r="E114" s="53">
        <v>1</v>
      </c>
      <c r="F114" s="54">
        <f>TRUNC(110,2)</f>
        <v>110</v>
      </c>
      <c r="G114" s="54">
        <f t="shared" si="3"/>
        <v>110</v>
      </c>
      <c r="H114" s="54"/>
      <c r="I114" s="55"/>
      <c r="J114" s="98">
        <v>1</v>
      </c>
      <c r="K114" s="70"/>
    </row>
    <row r="115" spans="1:11" s="98" customFormat="1" ht="27">
      <c r="A115" s="158"/>
      <c r="B115" s="86" t="s">
        <v>64</v>
      </c>
      <c r="C115" s="52" t="s">
        <v>166</v>
      </c>
      <c r="D115" s="160" t="s">
        <v>85</v>
      </c>
      <c r="E115" s="53">
        <v>0.16</v>
      </c>
      <c r="F115" s="54">
        <f>TRUNC(18.8,2)</f>
        <v>18.8</v>
      </c>
      <c r="G115" s="54">
        <f t="shared" si="3"/>
        <v>3</v>
      </c>
      <c r="H115" s="54"/>
      <c r="I115" s="55"/>
      <c r="J115" s="98">
        <v>0.16</v>
      </c>
      <c r="K115" s="70"/>
    </row>
    <row r="116" spans="1:11" s="98" customFormat="1" ht="13.5">
      <c r="A116" s="158"/>
      <c r="B116" s="86" t="s">
        <v>143</v>
      </c>
      <c r="C116" s="52" t="s">
        <v>144</v>
      </c>
      <c r="D116" s="160" t="s">
        <v>27</v>
      </c>
      <c r="E116" s="53">
        <v>6.18</v>
      </c>
      <c r="F116" s="54">
        <f>TRUNC(16.55,2)</f>
        <v>16.55</v>
      </c>
      <c r="G116" s="54">
        <f t="shared" si="3"/>
        <v>102.27</v>
      </c>
      <c r="H116" s="54"/>
      <c r="I116" s="55"/>
      <c r="J116" s="98">
        <v>6.18</v>
      </c>
      <c r="K116" s="70"/>
    </row>
    <row r="117" spans="1:11" s="98" customFormat="1" ht="13.5">
      <c r="A117" s="158"/>
      <c r="B117" s="86" t="s">
        <v>145</v>
      </c>
      <c r="C117" s="52" t="s">
        <v>146</v>
      </c>
      <c r="D117" s="160" t="s">
        <v>27</v>
      </c>
      <c r="E117" s="53">
        <v>6.18</v>
      </c>
      <c r="F117" s="54">
        <f>TRUNC(24.61,2)</f>
        <v>24.61</v>
      </c>
      <c r="G117" s="54">
        <f t="shared" si="3"/>
        <v>152.08</v>
      </c>
      <c r="H117" s="54"/>
      <c r="I117" s="55"/>
      <c r="J117" s="98">
        <v>6.18</v>
      </c>
      <c r="K117" s="70"/>
    </row>
    <row r="118" spans="1:11" s="98" customFormat="1" ht="13.5">
      <c r="A118" s="158"/>
      <c r="B118" s="86" t="s">
        <v>159</v>
      </c>
      <c r="C118" s="52" t="s">
        <v>160</v>
      </c>
      <c r="D118" s="160" t="s">
        <v>68</v>
      </c>
      <c r="E118" s="53">
        <v>6</v>
      </c>
      <c r="F118" s="54">
        <f>TRUNC(2.3249,2)</f>
        <v>2.32</v>
      </c>
      <c r="G118" s="54">
        <f t="shared" si="3"/>
        <v>13.92</v>
      </c>
      <c r="H118" s="54"/>
      <c r="I118" s="55"/>
      <c r="J118" s="98">
        <v>6</v>
      </c>
      <c r="K118" s="70"/>
    </row>
    <row r="119" spans="1:11" s="98" customFormat="1" ht="13.5">
      <c r="A119" s="158"/>
      <c r="B119" s="86"/>
      <c r="C119" s="52"/>
      <c r="D119" s="160"/>
      <c r="E119" s="53" t="s">
        <v>70</v>
      </c>
      <c r="F119" s="54"/>
      <c r="G119" s="54">
        <f>TRUNC(SUM(G112:G118),2)</f>
        <v>629.09</v>
      </c>
      <c r="H119" s="54"/>
      <c r="I119" s="55"/>
      <c r="J119" s="98" t="s">
        <v>70</v>
      </c>
      <c r="K119" s="70"/>
    </row>
    <row r="120" spans="1:11" s="182" customFormat="1" ht="27">
      <c r="A120" s="175" t="s">
        <v>307</v>
      </c>
      <c r="B120" s="176" t="s">
        <v>271</v>
      </c>
      <c r="C120" s="177" t="s">
        <v>272</v>
      </c>
      <c r="D120" s="178" t="s">
        <v>62</v>
      </c>
      <c r="E120" s="179">
        <v>6</v>
      </c>
      <c r="F120" s="180">
        <f>TRUNC(G126,2)</f>
        <v>157.83</v>
      </c>
      <c r="G120" s="180">
        <f>TRUNC(F120*1.2247,2)</f>
        <v>193.29</v>
      </c>
      <c r="H120" s="180">
        <f>TRUNC(F120*E120,2)</f>
        <v>946.98</v>
      </c>
      <c r="I120" s="181">
        <f>TRUNC(E120*G120,2)</f>
        <v>1159.74</v>
      </c>
      <c r="J120" s="182">
        <v>6</v>
      </c>
      <c r="K120" s="183"/>
    </row>
    <row r="121" spans="1:11" s="98" customFormat="1" ht="13.5">
      <c r="A121" s="158"/>
      <c r="B121" s="86" t="s">
        <v>273</v>
      </c>
      <c r="C121" s="52" t="s">
        <v>274</v>
      </c>
      <c r="D121" s="160" t="s">
        <v>68</v>
      </c>
      <c r="E121" s="53">
        <v>0.565</v>
      </c>
      <c r="F121" s="54">
        <f>TRUNC(18.25,2)</f>
        <v>18.25</v>
      </c>
      <c r="G121" s="54">
        <f>TRUNC(E121*F121,2)</f>
        <v>10.31</v>
      </c>
      <c r="H121" s="54"/>
      <c r="I121" s="55"/>
      <c r="J121" s="98">
        <v>0.565</v>
      </c>
      <c r="K121" s="70"/>
    </row>
    <row r="122" spans="1:11" s="98" customFormat="1" ht="13.5">
      <c r="A122" s="158"/>
      <c r="B122" s="86" t="s">
        <v>275</v>
      </c>
      <c r="C122" s="52" t="s">
        <v>276</v>
      </c>
      <c r="D122" s="160" t="s">
        <v>85</v>
      </c>
      <c r="E122" s="53">
        <v>0.033</v>
      </c>
      <c r="F122" s="54">
        <f>TRUNC(22.53,2)</f>
        <v>22.53</v>
      </c>
      <c r="G122" s="54">
        <f>TRUNC(E122*F122,2)</f>
        <v>0.74</v>
      </c>
      <c r="H122" s="54"/>
      <c r="I122" s="55"/>
      <c r="J122" s="98">
        <v>0.033</v>
      </c>
      <c r="K122" s="70"/>
    </row>
    <row r="123" spans="1:11" s="98" customFormat="1" ht="13.5">
      <c r="A123" s="158"/>
      <c r="B123" s="86" t="s">
        <v>277</v>
      </c>
      <c r="C123" s="52" t="s">
        <v>278</v>
      </c>
      <c r="D123" s="160" t="s">
        <v>62</v>
      </c>
      <c r="E123" s="53">
        <v>1</v>
      </c>
      <c r="F123" s="54">
        <f>TRUNC(114.39,2)</f>
        <v>114.39</v>
      </c>
      <c r="G123" s="54">
        <f>TRUNC(E123*F123,2)</f>
        <v>114.39</v>
      </c>
      <c r="H123" s="54"/>
      <c r="I123" s="55"/>
      <c r="J123" s="98">
        <v>1</v>
      </c>
      <c r="K123" s="70"/>
    </row>
    <row r="124" spans="1:11" s="98" customFormat="1" ht="13.5">
      <c r="A124" s="158"/>
      <c r="B124" s="86" t="s">
        <v>161</v>
      </c>
      <c r="C124" s="52" t="s">
        <v>125</v>
      </c>
      <c r="D124" s="160" t="s">
        <v>27</v>
      </c>
      <c r="E124" s="53">
        <v>0.646</v>
      </c>
      <c r="F124" s="54">
        <f>TRUNC(27.06,2)</f>
        <v>27.06</v>
      </c>
      <c r="G124" s="54">
        <f>TRUNC(E124*F124,2)</f>
        <v>17.48</v>
      </c>
      <c r="H124" s="54"/>
      <c r="I124" s="55"/>
      <c r="J124" s="98">
        <v>0.646</v>
      </c>
      <c r="K124" s="70"/>
    </row>
    <row r="125" spans="1:11" s="98" customFormat="1" ht="13.5">
      <c r="A125" s="158"/>
      <c r="B125" s="86" t="s">
        <v>152</v>
      </c>
      <c r="C125" s="52" t="s">
        <v>122</v>
      </c>
      <c r="D125" s="160" t="s">
        <v>27</v>
      </c>
      <c r="E125" s="53">
        <v>0.628</v>
      </c>
      <c r="F125" s="54">
        <f>TRUNC(23.75,2)</f>
        <v>23.75</v>
      </c>
      <c r="G125" s="54">
        <f>TRUNC(E125*F125,2)</f>
        <v>14.91</v>
      </c>
      <c r="H125" s="54"/>
      <c r="I125" s="55"/>
      <c r="J125" s="98">
        <v>0.628</v>
      </c>
      <c r="K125" s="70"/>
    </row>
    <row r="126" spans="1:11" s="98" customFormat="1" ht="13.5">
      <c r="A126" s="158"/>
      <c r="B126" s="86"/>
      <c r="C126" s="52"/>
      <c r="D126" s="160"/>
      <c r="E126" s="53" t="s">
        <v>70</v>
      </c>
      <c r="F126" s="54"/>
      <c r="G126" s="54">
        <f>TRUNC(SUM(G121:G125),2)</f>
        <v>157.83</v>
      </c>
      <c r="H126" s="54"/>
      <c r="I126" s="55"/>
      <c r="J126" s="98" t="s">
        <v>70</v>
      </c>
      <c r="K126" s="70"/>
    </row>
    <row r="127" spans="1:11" s="182" customFormat="1" ht="27">
      <c r="A127" s="175" t="s">
        <v>308</v>
      </c>
      <c r="B127" s="184" t="s">
        <v>279</v>
      </c>
      <c r="C127" s="177" t="s">
        <v>280</v>
      </c>
      <c r="D127" s="178" t="s">
        <v>68</v>
      </c>
      <c r="E127" s="179">
        <v>1</v>
      </c>
      <c r="F127" s="180">
        <f>TRUNC(G131,2)</f>
        <v>737</v>
      </c>
      <c r="G127" s="180">
        <f>TRUNC(F127*1.2247,2)</f>
        <v>902.6</v>
      </c>
      <c r="H127" s="180">
        <f>TRUNC(F127*E127,2)</f>
        <v>737</v>
      </c>
      <c r="I127" s="181">
        <f>TRUNC(E127*G127,2)</f>
        <v>902.6</v>
      </c>
      <c r="J127" s="182">
        <v>1</v>
      </c>
      <c r="K127" s="183"/>
    </row>
    <row r="128" spans="1:11" s="98" customFormat="1" ht="27">
      <c r="A128" s="158"/>
      <c r="B128" s="174" t="s">
        <v>279</v>
      </c>
      <c r="C128" s="159" t="s">
        <v>281</v>
      </c>
      <c r="D128" s="160" t="s">
        <v>68</v>
      </c>
      <c r="E128" s="54">
        <v>1</v>
      </c>
      <c r="F128" s="54">
        <v>869</v>
      </c>
      <c r="G128" s="54">
        <f>TRUNC(E128*F128,2)</f>
        <v>869</v>
      </c>
      <c r="H128" s="54"/>
      <c r="I128" s="55"/>
      <c r="J128" s="98">
        <v>1</v>
      </c>
      <c r="K128" s="70"/>
    </row>
    <row r="129" spans="1:11" s="98" customFormat="1" ht="27">
      <c r="A129" s="158"/>
      <c r="B129" s="174" t="s">
        <v>279</v>
      </c>
      <c r="C129" s="159" t="s">
        <v>282</v>
      </c>
      <c r="D129" s="160" t="s">
        <v>68</v>
      </c>
      <c r="E129" s="54">
        <v>1</v>
      </c>
      <c r="F129" s="54">
        <v>737</v>
      </c>
      <c r="G129" s="54">
        <f>TRUNC(E129*F129,2)</f>
        <v>737</v>
      </c>
      <c r="H129" s="54"/>
      <c r="I129" s="55"/>
      <c r="J129" s="98">
        <v>1</v>
      </c>
      <c r="K129" s="70"/>
    </row>
    <row r="130" spans="1:11" s="98" customFormat="1" ht="27">
      <c r="A130" s="158"/>
      <c r="B130" s="174" t="s">
        <v>279</v>
      </c>
      <c r="C130" s="159" t="s">
        <v>283</v>
      </c>
      <c r="D130" s="160" t="s">
        <v>68</v>
      </c>
      <c r="E130" s="54">
        <v>1</v>
      </c>
      <c r="F130" s="54">
        <v>648</v>
      </c>
      <c r="G130" s="54">
        <f>TRUNC(E130*F130,2)</f>
        <v>648</v>
      </c>
      <c r="H130" s="54"/>
      <c r="I130" s="55"/>
      <c r="J130" s="98">
        <v>1</v>
      </c>
      <c r="K130" s="70"/>
    </row>
    <row r="131" spans="1:11" s="98" customFormat="1" ht="13.5">
      <c r="A131" s="158"/>
      <c r="B131" s="86"/>
      <c r="C131" s="159"/>
      <c r="D131" s="160"/>
      <c r="E131" s="54" t="s">
        <v>70</v>
      </c>
      <c r="F131" s="54"/>
      <c r="G131" s="54">
        <f>G129</f>
        <v>737</v>
      </c>
      <c r="H131" s="54"/>
      <c r="I131" s="55"/>
      <c r="J131" s="98" t="s">
        <v>70</v>
      </c>
      <c r="K131" s="70"/>
    </row>
    <row r="132" spans="1:11" s="182" customFormat="1" ht="41.25">
      <c r="A132" s="175" t="s">
        <v>309</v>
      </c>
      <c r="B132" s="184" t="s">
        <v>284</v>
      </c>
      <c r="C132" s="177" t="s">
        <v>285</v>
      </c>
      <c r="D132" s="178" t="s">
        <v>68</v>
      </c>
      <c r="E132" s="179">
        <v>1</v>
      </c>
      <c r="F132" s="180">
        <f>TRUNC(G141,2)</f>
        <v>2302.16</v>
      </c>
      <c r="G132" s="180">
        <f>TRUNC(F132*1.2247,2)</f>
        <v>2819.45</v>
      </c>
      <c r="H132" s="180">
        <f>TRUNC(F132*E132,2)</f>
        <v>2302.16</v>
      </c>
      <c r="I132" s="181">
        <f>TRUNC(E132*G132,2)</f>
        <v>2819.45</v>
      </c>
      <c r="J132" s="182">
        <v>1</v>
      </c>
      <c r="K132" s="183"/>
    </row>
    <row r="133" spans="1:11" s="98" customFormat="1" ht="27">
      <c r="A133" s="158"/>
      <c r="B133" s="86" t="s">
        <v>286</v>
      </c>
      <c r="C133" s="159" t="s">
        <v>287</v>
      </c>
      <c r="D133" s="160" t="s">
        <v>62</v>
      </c>
      <c r="E133" s="54">
        <v>1.89</v>
      </c>
      <c r="F133" s="54">
        <f>TRUNC(502.64,2)</f>
        <v>502.64</v>
      </c>
      <c r="G133" s="54">
        <f aca="true" t="shared" si="4" ref="G133:G139">TRUNC(E133*F133,2)</f>
        <v>949.98</v>
      </c>
      <c r="H133" s="54"/>
      <c r="I133" s="55"/>
      <c r="J133" s="98">
        <v>1.89</v>
      </c>
      <c r="K133" s="70"/>
    </row>
    <row r="134" spans="1:11" s="98" customFormat="1" ht="13.5">
      <c r="A134" s="158"/>
      <c r="B134" s="86" t="s">
        <v>288</v>
      </c>
      <c r="C134" s="159" t="s">
        <v>289</v>
      </c>
      <c r="D134" s="160" t="s">
        <v>68</v>
      </c>
      <c r="E134" s="54">
        <v>1</v>
      </c>
      <c r="F134" s="54">
        <v>14.96</v>
      </c>
      <c r="G134" s="54">
        <f t="shared" si="4"/>
        <v>14.96</v>
      </c>
      <c r="H134" s="54"/>
      <c r="I134" s="55"/>
      <c r="J134" s="98">
        <v>1</v>
      </c>
      <c r="K134" s="70"/>
    </row>
    <row r="135" spans="1:11" s="98" customFormat="1" ht="13.5">
      <c r="A135" s="158"/>
      <c r="B135" s="86" t="s">
        <v>290</v>
      </c>
      <c r="C135" s="159" t="s">
        <v>291</v>
      </c>
      <c r="D135" s="160" t="s">
        <v>68</v>
      </c>
      <c r="E135" s="54">
        <v>1</v>
      </c>
      <c r="F135" s="54">
        <v>30.86</v>
      </c>
      <c r="G135" s="54">
        <f t="shared" si="4"/>
        <v>30.86</v>
      </c>
      <c r="H135" s="54"/>
      <c r="I135" s="55"/>
      <c r="J135" s="98">
        <v>1</v>
      </c>
      <c r="K135" s="70"/>
    </row>
    <row r="136" spans="1:11" s="98" customFormat="1" ht="13.5">
      <c r="A136" s="158"/>
      <c r="B136" s="86" t="s">
        <v>292</v>
      </c>
      <c r="C136" s="159" t="s">
        <v>293</v>
      </c>
      <c r="D136" s="160" t="s">
        <v>68</v>
      </c>
      <c r="E136" s="54">
        <v>1</v>
      </c>
      <c r="F136" s="54">
        <v>5.22</v>
      </c>
      <c r="G136" s="54">
        <f t="shared" si="4"/>
        <v>5.22</v>
      </c>
      <c r="H136" s="54"/>
      <c r="I136" s="55"/>
      <c r="J136" s="98">
        <v>1</v>
      </c>
      <c r="K136" s="70"/>
    </row>
    <row r="137" spans="1:11" s="98" customFormat="1" ht="13.5">
      <c r="A137" s="158"/>
      <c r="B137" s="86" t="s">
        <v>294</v>
      </c>
      <c r="C137" s="159" t="s">
        <v>295</v>
      </c>
      <c r="D137" s="160" t="s">
        <v>68</v>
      </c>
      <c r="E137" s="54">
        <v>1</v>
      </c>
      <c r="F137" s="54">
        <v>25.65</v>
      </c>
      <c r="G137" s="54">
        <f t="shared" si="4"/>
        <v>25.65</v>
      </c>
      <c r="H137" s="54"/>
      <c r="I137" s="55"/>
      <c r="J137" s="98">
        <v>1</v>
      </c>
      <c r="K137" s="70"/>
    </row>
    <row r="138" spans="1:11" s="98" customFormat="1" ht="13.5">
      <c r="A138" s="158"/>
      <c r="B138" s="86" t="s">
        <v>296</v>
      </c>
      <c r="C138" s="159" t="s">
        <v>297</v>
      </c>
      <c r="D138" s="160" t="s">
        <v>68</v>
      </c>
      <c r="E138" s="54">
        <v>1</v>
      </c>
      <c r="F138" s="54">
        <v>72.96</v>
      </c>
      <c r="G138" s="54">
        <f t="shared" si="4"/>
        <v>72.96</v>
      </c>
      <c r="H138" s="54"/>
      <c r="I138" s="55"/>
      <c r="J138" s="98">
        <v>1</v>
      </c>
      <c r="K138" s="70"/>
    </row>
    <row r="139" spans="1:11" s="98" customFormat="1" ht="13.5">
      <c r="A139" s="158"/>
      <c r="B139" s="86" t="s">
        <v>298</v>
      </c>
      <c r="C139" s="159" t="s">
        <v>299</v>
      </c>
      <c r="D139" s="160" t="s">
        <v>68</v>
      </c>
      <c r="E139" s="54">
        <v>1</v>
      </c>
      <c r="F139" s="54">
        <v>51.45</v>
      </c>
      <c r="G139" s="54">
        <f t="shared" si="4"/>
        <v>51.45</v>
      </c>
      <c r="H139" s="54"/>
      <c r="I139" s="55"/>
      <c r="J139" s="98">
        <v>1</v>
      </c>
      <c r="K139" s="70"/>
    </row>
    <row r="140" spans="1:11" s="98" customFormat="1" ht="13.5">
      <c r="A140" s="158"/>
      <c r="B140" s="86" t="s">
        <v>300</v>
      </c>
      <c r="C140" s="159" t="s">
        <v>301</v>
      </c>
      <c r="D140" s="160" t="s">
        <v>68</v>
      </c>
      <c r="E140" s="54">
        <v>1</v>
      </c>
      <c r="F140" s="54">
        <v>296.7</v>
      </c>
      <c r="G140" s="54">
        <f>TRUNC(SUM(G133:G139),2)</f>
        <v>1151.08</v>
      </c>
      <c r="H140" s="54"/>
      <c r="I140" s="55"/>
      <c r="J140" s="98">
        <v>1</v>
      </c>
      <c r="K140" s="70"/>
    </row>
    <row r="141" spans="1:11" s="98" customFormat="1" ht="13.5">
      <c r="A141" s="158"/>
      <c r="B141" s="86"/>
      <c r="C141" s="159"/>
      <c r="D141" s="160"/>
      <c r="E141" s="54" t="s">
        <v>70</v>
      </c>
      <c r="F141" s="54"/>
      <c r="G141" s="54">
        <f>SUM(G133:G140)</f>
        <v>2302.16</v>
      </c>
      <c r="H141" s="54"/>
      <c r="I141" s="55"/>
      <c r="J141" s="98" t="s">
        <v>70</v>
      </c>
      <c r="K141" s="70"/>
    </row>
    <row r="142" spans="1:11" s="182" customFormat="1" ht="13.5">
      <c r="A142" s="175" t="s">
        <v>310</v>
      </c>
      <c r="B142" s="176" t="s">
        <v>302</v>
      </c>
      <c r="C142" s="177" t="s">
        <v>303</v>
      </c>
      <c r="D142" s="178" t="s">
        <v>62</v>
      </c>
      <c r="E142" s="179">
        <v>3.15</v>
      </c>
      <c r="F142" s="180">
        <f>TRUNC(G145,2)</f>
        <v>17.43</v>
      </c>
      <c r="G142" s="180">
        <f>TRUNC(F142*1.2247,2)</f>
        <v>21.34</v>
      </c>
      <c r="H142" s="180">
        <f>TRUNC(F142*E142,2)</f>
        <v>54.9</v>
      </c>
      <c r="I142" s="181">
        <f>TRUNC(E142*G142,2)</f>
        <v>67.22</v>
      </c>
      <c r="J142" s="182">
        <v>3.15</v>
      </c>
      <c r="K142" s="183"/>
    </row>
    <row r="143" spans="1:11" s="98" customFormat="1" ht="13.5">
      <c r="A143" s="158"/>
      <c r="B143" s="86" t="s">
        <v>161</v>
      </c>
      <c r="C143" s="52" t="s">
        <v>125</v>
      </c>
      <c r="D143" s="160" t="s">
        <v>27</v>
      </c>
      <c r="E143" s="53">
        <v>0.348</v>
      </c>
      <c r="F143" s="54">
        <f>TRUNC(27.06,2)</f>
        <v>27.06</v>
      </c>
      <c r="G143" s="54">
        <f>TRUNC(E143*F143,2)</f>
        <v>9.41</v>
      </c>
      <c r="H143" s="54"/>
      <c r="I143" s="55"/>
      <c r="J143" s="98">
        <v>0.348</v>
      </c>
      <c r="K143" s="70"/>
    </row>
    <row r="144" spans="1:11" s="98" customFormat="1" ht="13.5">
      <c r="A144" s="158"/>
      <c r="B144" s="86" t="s">
        <v>152</v>
      </c>
      <c r="C144" s="52" t="s">
        <v>122</v>
      </c>
      <c r="D144" s="160" t="s">
        <v>27</v>
      </c>
      <c r="E144" s="53">
        <v>0.338</v>
      </c>
      <c r="F144" s="54">
        <f>TRUNC(23.75,2)</f>
        <v>23.75</v>
      </c>
      <c r="G144" s="54">
        <f>TRUNC(E144*F144,2)</f>
        <v>8.02</v>
      </c>
      <c r="H144" s="54"/>
      <c r="I144" s="55"/>
      <c r="J144" s="98">
        <v>0.338</v>
      </c>
      <c r="K144" s="70"/>
    </row>
    <row r="145" spans="1:11" s="98" customFormat="1" ht="13.5">
      <c r="A145" s="158"/>
      <c r="B145" s="86"/>
      <c r="C145" s="52"/>
      <c r="D145" s="160"/>
      <c r="E145" s="53" t="s">
        <v>70</v>
      </c>
      <c r="F145" s="54"/>
      <c r="G145" s="54">
        <f>TRUNC(SUM(G143:G144),2)</f>
        <v>17.43</v>
      </c>
      <c r="H145" s="54"/>
      <c r="I145" s="55"/>
      <c r="J145" s="98" t="s">
        <v>70</v>
      </c>
      <c r="K145" s="70"/>
    </row>
    <row r="146" spans="1:11" s="182" customFormat="1" ht="27">
      <c r="A146" s="175" t="s">
        <v>311</v>
      </c>
      <c r="B146" s="184" t="s">
        <v>284</v>
      </c>
      <c r="C146" s="177" t="s">
        <v>304</v>
      </c>
      <c r="D146" s="178" t="s">
        <v>68</v>
      </c>
      <c r="E146" s="179">
        <v>1</v>
      </c>
      <c r="F146" s="180">
        <f>TRUNC(G149,2)</f>
        <v>185.98</v>
      </c>
      <c r="G146" s="180">
        <f>TRUNC(F146*1.2247,2)</f>
        <v>227.76</v>
      </c>
      <c r="H146" s="180">
        <f>TRUNC(F146*E146,2)</f>
        <v>185.98</v>
      </c>
      <c r="I146" s="181">
        <f>TRUNC(E146*G146,2)</f>
        <v>227.76</v>
      </c>
      <c r="J146" s="182">
        <v>1</v>
      </c>
      <c r="K146" s="183"/>
    </row>
    <row r="147" spans="1:11" s="98" customFormat="1" ht="13.5">
      <c r="A147" s="158"/>
      <c r="B147" s="86" t="s">
        <v>167</v>
      </c>
      <c r="C147" s="159" t="s">
        <v>125</v>
      </c>
      <c r="D147" s="160" t="s">
        <v>27</v>
      </c>
      <c r="E147" s="54">
        <v>4.1</v>
      </c>
      <c r="F147" s="54">
        <f>TRUNC(24.41,2)</f>
        <v>24.41</v>
      </c>
      <c r="G147" s="54">
        <f>TRUNC(E147*F147,2)</f>
        <v>100.08</v>
      </c>
      <c r="H147" s="54"/>
      <c r="I147" s="55"/>
      <c r="J147" s="98">
        <v>4.1</v>
      </c>
      <c r="K147" s="70"/>
    </row>
    <row r="148" spans="1:11" s="98" customFormat="1" ht="13.5">
      <c r="A148" s="158"/>
      <c r="B148" s="86" t="s">
        <v>121</v>
      </c>
      <c r="C148" s="159" t="s">
        <v>122</v>
      </c>
      <c r="D148" s="160" t="s">
        <v>27</v>
      </c>
      <c r="E148" s="54">
        <v>3.988</v>
      </c>
      <c r="F148" s="54">
        <f>TRUNC(21.54,2)</f>
        <v>21.54</v>
      </c>
      <c r="G148" s="54">
        <f>TRUNC(E148*F148,2)</f>
        <v>85.9</v>
      </c>
      <c r="H148" s="54"/>
      <c r="I148" s="55"/>
      <c r="J148" s="98">
        <v>3.988</v>
      </c>
      <c r="K148" s="70"/>
    </row>
    <row r="149" spans="1:11" s="98" customFormat="1" ht="13.5">
      <c r="A149" s="158"/>
      <c r="B149" s="86"/>
      <c r="C149" s="159"/>
      <c r="D149" s="160"/>
      <c r="E149" s="54" t="s">
        <v>70</v>
      </c>
      <c r="F149" s="54"/>
      <c r="G149" s="54">
        <f>TRUNC(SUM(G147:G148),2)</f>
        <v>185.98</v>
      </c>
      <c r="H149" s="54"/>
      <c r="I149" s="55"/>
      <c r="J149" s="98" t="s">
        <v>70</v>
      </c>
      <c r="K149" s="70"/>
    </row>
    <row r="150" spans="1:9" s="41" customFormat="1" ht="13.5">
      <c r="A150" s="106" t="s">
        <v>111</v>
      </c>
      <c r="B150" s="100"/>
      <c r="C150" s="76" t="s">
        <v>19</v>
      </c>
      <c r="D150" s="125"/>
      <c r="E150" s="77"/>
      <c r="F150" s="78"/>
      <c r="G150" s="78"/>
      <c r="H150" s="79">
        <f>H69+H76+H85+H89+H95+H103+H111+H120+H127+H132+H142+H146</f>
        <v>26863.13</v>
      </c>
      <c r="I150" s="79">
        <f>I69+I76+I85+I89+I95+I103+I111+I120+I127+I132+I142+I146</f>
        <v>32897.170000000006</v>
      </c>
    </row>
    <row r="151" spans="1:9" s="41" customFormat="1" ht="13.5">
      <c r="A151" s="80" t="s">
        <v>20</v>
      </c>
      <c r="B151" s="111"/>
      <c r="C151" s="81" t="s">
        <v>678</v>
      </c>
      <c r="D151" s="82"/>
      <c r="E151" s="83"/>
      <c r="F151" s="84"/>
      <c r="G151" s="84"/>
      <c r="H151" s="84"/>
      <c r="I151" s="83"/>
    </row>
    <row r="152" spans="1:11" s="182" customFormat="1" ht="69">
      <c r="A152" s="175" t="s">
        <v>43</v>
      </c>
      <c r="B152" s="176" t="s">
        <v>312</v>
      </c>
      <c r="C152" s="177" t="s">
        <v>313</v>
      </c>
      <c r="D152" s="178" t="s">
        <v>62</v>
      </c>
      <c r="E152" s="179">
        <v>21</v>
      </c>
      <c r="F152" s="180">
        <f>TRUNC(G154,2)</f>
        <v>121.5</v>
      </c>
      <c r="G152" s="180">
        <f>TRUNC(F152*1.2247,2)</f>
        <v>148.8</v>
      </c>
      <c r="H152" s="180">
        <f>TRUNC(F152*E152,2)</f>
        <v>2551.5</v>
      </c>
      <c r="I152" s="181">
        <f>TRUNC(E152*G152,2)</f>
        <v>3124.8</v>
      </c>
      <c r="J152" s="182">
        <v>21</v>
      </c>
      <c r="K152" s="183"/>
    </row>
    <row r="153" spans="1:11" s="98" customFormat="1" ht="27">
      <c r="A153" s="158"/>
      <c r="B153" s="86" t="s">
        <v>314</v>
      </c>
      <c r="C153" s="52" t="s">
        <v>315</v>
      </c>
      <c r="D153" s="160" t="s">
        <v>62</v>
      </c>
      <c r="E153" s="53">
        <v>1</v>
      </c>
      <c r="F153" s="54">
        <f>TRUNC(121.5051,2)</f>
        <v>121.5</v>
      </c>
      <c r="G153" s="54">
        <f>TRUNC(E153*F153,2)</f>
        <v>121.5</v>
      </c>
      <c r="H153" s="54"/>
      <c r="I153" s="55"/>
      <c r="J153" s="98">
        <v>1</v>
      </c>
      <c r="K153" s="70"/>
    </row>
    <row r="154" spans="1:11" s="98" customFormat="1" ht="13.5">
      <c r="A154" s="158"/>
      <c r="B154" s="86"/>
      <c r="C154" s="52"/>
      <c r="D154" s="160"/>
      <c r="E154" s="53" t="s">
        <v>70</v>
      </c>
      <c r="F154" s="54"/>
      <c r="G154" s="54">
        <f>TRUNC(SUM(G153:G153),2)</f>
        <v>121.5</v>
      </c>
      <c r="H154" s="54"/>
      <c r="I154" s="55"/>
      <c r="J154" s="98" t="s">
        <v>70</v>
      </c>
      <c r="K154" s="70"/>
    </row>
    <row r="155" spans="1:11" s="182" customFormat="1" ht="27">
      <c r="A155" s="175" t="s">
        <v>44</v>
      </c>
      <c r="B155" s="176" t="s">
        <v>316</v>
      </c>
      <c r="C155" s="177" t="s">
        <v>317</v>
      </c>
      <c r="D155" s="178" t="s">
        <v>62</v>
      </c>
      <c r="E155" s="179">
        <v>21</v>
      </c>
      <c r="F155" s="180">
        <f>TRUNC(G159,2)</f>
        <v>93.71</v>
      </c>
      <c r="G155" s="180">
        <f>TRUNC(F155*1.2247,2)</f>
        <v>114.76</v>
      </c>
      <c r="H155" s="180">
        <f>TRUNC(F155*E155,2)</f>
        <v>1967.91</v>
      </c>
      <c r="I155" s="181">
        <f>TRUNC(E155*G155,2)</f>
        <v>2409.96</v>
      </c>
      <c r="J155" s="182">
        <v>21</v>
      </c>
      <c r="K155" s="183"/>
    </row>
    <row r="156" spans="1:11" s="98" customFormat="1" ht="13.5">
      <c r="A156" s="158"/>
      <c r="B156" s="86" t="s">
        <v>173</v>
      </c>
      <c r="C156" s="52" t="s">
        <v>174</v>
      </c>
      <c r="D156" s="160" t="s">
        <v>62</v>
      </c>
      <c r="E156" s="53">
        <v>1.1</v>
      </c>
      <c r="F156" s="54">
        <f>TRUNC(70.452,2)</f>
        <v>70.45</v>
      </c>
      <c r="G156" s="54">
        <f>TRUNC(E156*F156,2)</f>
        <v>77.49</v>
      </c>
      <c r="H156" s="54"/>
      <c r="I156" s="55"/>
      <c r="J156" s="98">
        <v>1.1</v>
      </c>
      <c r="K156" s="70"/>
    </row>
    <row r="157" spans="1:11" s="98" customFormat="1" ht="13.5">
      <c r="A157" s="158"/>
      <c r="B157" s="86" t="s">
        <v>143</v>
      </c>
      <c r="C157" s="52" t="s">
        <v>144</v>
      </c>
      <c r="D157" s="160" t="s">
        <v>27</v>
      </c>
      <c r="E157" s="53">
        <v>0.41200000000000003</v>
      </c>
      <c r="F157" s="54">
        <f>TRUNC(16.55,2)</f>
        <v>16.55</v>
      </c>
      <c r="G157" s="54">
        <f>TRUNC(E157*F157,2)</f>
        <v>6.81</v>
      </c>
      <c r="H157" s="54"/>
      <c r="I157" s="55"/>
      <c r="J157" s="98">
        <v>0.41200000000000003</v>
      </c>
      <c r="K157" s="70"/>
    </row>
    <row r="158" spans="1:11" s="98" customFormat="1" ht="13.5">
      <c r="A158" s="158"/>
      <c r="B158" s="86" t="s">
        <v>318</v>
      </c>
      <c r="C158" s="52" t="s">
        <v>319</v>
      </c>
      <c r="D158" s="160" t="s">
        <v>27</v>
      </c>
      <c r="E158" s="53">
        <v>0.41200000000000003</v>
      </c>
      <c r="F158" s="54">
        <f>TRUNC(22.86,2)</f>
        <v>22.86</v>
      </c>
      <c r="G158" s="54">
        <f>TRUNC(E158*F158,2)</f>
        <v>9.41</v>
      </c>
      <c r="H158" s="54"/>
      <c r="I158" s="55"/>
      <c r="J158" s="98">
        <v>0.41200000000000003</v>
      </c>
      <c r="K158" s="70"/>
    </row>
    <row r="159" spans="1:11" s="98" customFormat="1" ht="13.5">
      <c r="A159" s="158"/>
      <c r="B159" s="86"/>
      <c r="C159" s="52"/>
      <c r="D159" s="160"/>
      <c r="E159" s="53" t="s">
        <v>70</v>
      </c>
      <c r="F159" s="54"/>
      <c r="G159" s="54">
        <f>TRUNC(SUM(G156:G158),2)</f>
        <v>93.71</v>
      </c>
      <c r="H159" s="54"/>
      <c r="I159" s="55"/>
      <c r="J159" s="98" t="s">
        <v>70</v>
      </c>
      <c r="K159" s="70"/>
    </row>
    <row r="160" spans="1:11" s="182" customFormat="1" ht="82.5">
      <c r="A160" s="175" t="s">
        <v>363</v>
      </c>
      <c r="B160" s="176" t="s">
        <v>320</v>
      </c>
      <c r="C160" s="177" t="s">
        <v>321</v>
      </c>
      <c r="D160" s="178" t="s">
        <v>62</v>
      </c>
      <c r="E160" s="179">
        <v>89.13</v>
      </c>
      <c r="F160" s="180">
        <f>TRUNC(G172,2)</f>
        <v>91.11</v>
      </c>
      <c r="G160" s="180">
        <f>TRUNC(F160*1.2247,2)</f>
        <v>111.58</v>
      </c>
      <c r="H160" s="180">
        <f>TRUNC(F160*E160,2)</f>
        <v>8120.63</v>
      </c>
      <c r="I160" s="181">
        <f>TRUNC(E160*G160,2)</f>
        <v>9945.12</v>
      </c>
      <c r="J160" s="182">
        <v>89.13</v>
      </c>
      <c r="K160" s="183"/>
    </row>
    <row r="161" spans="1:11" s="98" customFormat="1" ht="27">
      <c r="A161" s="158"/>
      <c r="B161" s="86" t="s">
        <v>322</v>
      </c>
      <c r="C161" s="159" t="s">
        <v>323</v>
      </c>
      <c r="D161" s="160" t="s">
        <v>68</v>
      </c>
      <c r="E161" s="54">
        <v>2.5556</v>
      </c>
      <c r="F161" s="54">
        <f>TRUNC(0.58,2)</f>
        <v>0.58</v>
      </c>
      <c r="G161" s="54">
        <f aca="true" t="shared" si="5" ref="G161:G171">TRUNC(E161*F161,2)</f>
        <v>1.48</v>
      </c>
      <c r="H161" s="54"/>
      <c r="I161" s="55"/>
      <c r="J161" s="98">
        <v>2.5556</v>
      </c>
      <c r="K161" s="70"/>
    </row>
    <row r="162" spans="1:11" s="98" customFormat="1" ht="27">
      <c r="A162" s="158"/>
      <c r="B162" s="86" t="s">
        <v>324</v>
      </c>
      <c r="C162" s="159" t="s">
        <v>325</v>
      </c>
      <c r="D162" s="160" t="s">
        <v>68</v>
      </c>
      <c r="E162" s="54">
        <v>20</v>
      </c>
      <c r="F162" s="54">
        <f>TRUNC(0.0462,2)</f>
        <v>0.04</v>
      </c>
      <c r="G162" s="54">
        <f t="shared" si="5"/>
        <v>0.8</v>
      </c>
      <c r="H162" s="54"/>
      <c r="I162" s="55"/>
      <c r="J162" s="98">
        <v>20</v>
      </c>
      <c r="K162" s="70"/>
    </row>
    <row r="163" spans="1:11" s="98" customFormat="1" ht="27">
      <c r="A163" s="158"/>
      <c r="B163" s="86" t="s">
        <v>326</v>
      </c>
      <c r="C163" s="159" t="s">
        <v>327</v>
      </c>
      <c r="D163" s="160" t="s">
        <v>61</v>
      </c>
      <c r="E163" s="54">
        <v>1.75</v>
      </c>
      <c r="F163" s="54">
        <f>TRUNC(9.92,2)</f>
        <v>9.92</v>
      </c>
      <c r="G163" s="54">
        <f t="shared" si="5"/>
        <v>17.36</v>
      </c>
      <c r="H163" s="54"/>
      <c r="I163" s="55"/>
      <c r="J163" s="98">
        <v>1.75</v>
      </c>
      <c r="K163" s="70"/>
    </row>
    <row r="164" spans="1:11" s="98" customFormat="1" ht="27">
      <c r="A164" s="158"/>
      <c r="B164" s="86" t="s">
        <v>328</v>
      </c>
      <c r="C164" s="159" t="s">
        <v>329</v>
      </c>
      <c r="D164" s="160" t="s">
        <v>61</v>
      </c>
      <c r="E164" s="54">
        <v>0.7</v>
      </c>
      <c r="F164" s="54">
        <f>TRUNC(8.25,2)</f>
        <v>8.25</v>
      </c>
      <c r="G164" s="54">
        <f t="shared" si="5"/>
        <v>5.77</v>
      </c>
      <c r="H164" s="54"/>
      <c r="I164" s="55"/>
      <c r="J164" s="98">
        <v>0.7</v>
      </c>
      <c r="K164" s="70"/>
    </row>
    <row r="165" spans="1:11" s="98" customFormat="1" ht="27">
      <c r="A165" s="158"/>
      <c r="B165" s="86" t="s">
        <v>330</v>
      </c>
      <c r="C165" s="159" t="s">
        <v>331</v>
      </c>
      <c r="D165" s="160" t="s">
        <v>85</v>
      </c>
      <c r="E165" s="54">
        <v>1.0327</v>
      </c>
      <c r="F165" s="54">
        <f>TRUNC(2.38,2)</f>
        <v>2.38</v>
      </c>
      <c r="G165" s="54">
        <f t="shared" si="5"/>
        <v>2.45</v>
      </c>
      <c r="H165" s="54"/>
      <c r="I165" s="55"/>
      <c r="J165" s="98">
        <v>1.0327</v>
      </c>
      <c r="K165" s="70"/>
    </row>
    <row r="166" spans="1:11" s="98" customFormat="1" ht="13.5">
      <c r="A166" s="158"/>
      <c r="B166" s="86" t="s">
        <v>332</v>
      </c>
      <c r="C166" s="159" t="s">
        <v>333</v>
      </c>
      <c r="D166" s="160" t="s">
        <v>61</v>
      </c>
      <c r="E166" s="54">
        <v>0.7</v>
      </c>
      <c r="F166" s="54">
        <f>TRUNC(2.75,2)</f>
        <v>2.75</v>
      </c>
      <c r="G166" s="54">
        <f t="shared" si="5"/>
        <v>1.92</v>
      </c>
      <c r="H166" s="54"/>
      <c r="I166" s="55"/>
      <c r="J166" s="98">
        <v>0.7</v>
      </c>
      <c r="K166" s="70"/>
    </row>
    <row r="167" spans="1:11" s="98" customFormat="1" ht="27">
      <c r="A167" s="158"/>
      <c r="B167" s="86" t="s">
        <v>334</v>
      </c>
      <c r="C167" s="159" t="s">
        <v>335</v>
      </c>
      <c r="D167" s="160" t="s">
        <v>61</v>
      </c>
      <c r="E167" s="54">
        <v>2.8</v>
      </c>
      <c r="F167" s="54">
        <f>TRUNC(0.27,2)</f>
        <v>0.27</v>
      </c>
      <c r="G167" s="54">
        <f t="shared" si="5"/>
        <v>0.75</v>
      </c>
      <c r="H167" s="54"/>
      <c r="I167" s="55"/>
      <c r="J167" s="98">
        <v>2.8</v>
      </c>
      <c r="K167" s="70"/>
    </row>
    <row r="168" spans="1:11" s="98" customFormat="1" ht="27">
      <c r="A168" s="158"/>
      <c r="B168" s="86" t="s">
        <v>336</v>
      </c>
      <c r="C168" s="159" t="s">
        <v>337</v>
      </c>
      <c r="D168" s="160" t="s">
        <v>62</v>
      </c>
      <c r="E168" s="54">
        <v>1.05</v>
      </c>
      <c r="F168" s="54">
        <f>TRUNC(8.97,2)</f>
        <v>8.97</v>
      </c>
      <c r="G168" s="54">
        <f t="shared" si="5"/>
        <v>9.41</v>
      </c>
      <c r="H168" s="54"/>
      <c r="I168" s="55"/>
      <c r="J168" s="98">
        <v>1.05</v>
      </c>
      <c r="K168" s="70"/>
    </row>
    <row r="169" spans="1:11" s="98" customFormat="1" ht="27">
      <c r="A169" s="158"/>
      <c r="B169" s="86" t="s">
        <v>338</v>
      </c>
      <c r="C169" s="159" t="s">
        <v>339</v>
      </c>
      <c r="D169" s="160" t="s">
        <v>62</v>
      </c>
      <c r="E169" s="54">
        <v>2.1</v>
      </c>
      <c r="F169" s="54">
        <f>TRUNC(15.73,2)</f>
        <v>15.73</v>
      </c>
      <c r="G169" s="54">
        <f t="shared" si="5"/>
        <v>33.03</v>
      </c>
      <c r="H169" s="54"/>
      <c r="I169" s="55"/>
      <c r="J169" s="98">
        <v>2.1</v>
      </c>
      <c r="K169" s="70"/>
    </row>
    <row r="170" spans="1:11" s="98" customFormat="1" ht="13.5">
      <c r="A170" s="158"/>
      <c r="B170" s="86" t="s">
        <v>143</v>
      </c>
      <c r="C170" s="159" t="s">
        <v>144</v>
      </c>
      <c r="D170" s="160" t="s">
        <v>27</v>
      </c>
      <c r="E170" s="54">
        <v>0.15779600000000002</v>
      </c>
      <c r="F170" s="54">
        <f>TRUNC(16.55,2)</f>
        <v>16.55</v>
      </c>
      <c r="G170" s="54">
        <f t="shared" si="5"/>
        <v>2.61</v>
      </c>
      <c r="H170" s="54"/>
      <c r="I170" s="55"/>
      <c r="J170" s="98">
        <v>0.15779600000000002</v>
      </c>
      <c r="K170" s="70"/>
    </row>
    <row r="171" spans="1:11" s="98" customFormat="1" ht="27">
      <c r="A171" s="158"/>
      <c r="B171" s="86" t="s">
        <v>340</v>
      </c>
      <c r="C171" s="159" t="s">
        <v>341</v>
      </c>
      <c r="D171" s="160" t="s">
        <v>27</v>
      </c>
      <c r="E171" s="54">
        <v>0.631287</v>
      </c>
      <c r="F171" s="54">
        <f>TRUNC(24.61,2)</f>
        <v>24.61</v>
      </c>
      <c r="G171" s="54">
        <f t="shared" si="5"/>
        <v>15.53</v>
      </c>
      <c r="H171" s="54"/>
      <c r="I171" s="55"/>
      <c r="J171" s="98">
        <v>0.631287</v>
      </c>
      <c r="K171" s="70"/>
    </row>
    <row r="172" spans="1:11" s="98" customFormat="1" ht="13.5">
      <c r="A172" s="158"/>
      <c r="B172" s="86"/>
      <c r="C172" s="159"/>
      <c r="D172" s="160"/>
      <c r="E172" s="54" t="s">
        <v>70</v>
      </c>
      <c r="F172" s="54"/>
      <c r="G172" s="54">
        <f>TRUNC(SUM(G161:G171),2)</f>
        <v>91.11</v>
      </c>
      <c r="H172" s="54"/>
      <c r="I172" s="55"/>
      <c r="J172" s="98" t="s">
        <v>70</v>
      </c>
      <c r="K172" s="70"/>
    </row>
    <row r="173" spans="1:11" s="182" customFormat="1" ht="13.5">
      <c r="A173" s="175" t="s">
        <v>364</v>
      </c>
      <c r="B173" s="184" t="s">
        <v>279</v>
      </c>
      <c r="C173" s="177" t="s">
        <v>342</v>
      </c>
      <c r="D173" s="178" t="s">
        <v>62</v>
      </c>
      <c r="E173" s="179">
        <v>73.53</v>
      </c>
      <c r="F173" s="180">
        <f>G177</f>
        <v>59.96</v>
      </c>
      <c r="G173" s="180">
        <f>TRUNC(F173*1.2247,2)</f>
        <v>73.43</v>
      </c>
      <c r="H173" s="180">
        <f>TRUNC(F173*E173,2)</f>
        <v>4408.85</v>
      </c>
      <c r="I173" s="181">
        <f>TRUNC(E173*G173,2)</f>
        <v>5399.3</v>
      </c>
      <c r="J173" s="182">
        <v>73.53</v>
      </c>
      <c r="K173" s="183"/>
    </row>
    <row r="174" spans="1:11" s="98" customFormat="1" ht="13.5">
      <c r="A174" s="158"/>
      <c r="B174" s="174" t="s">
        <v>279</v>
      </c>
      <c r="C174" s="159" t="s">
        <v>344</v>
      </c>
      <c r="D174" s="160" t="s">
        <v>62</v>
      </c>
      <c r="E174" s="54">
        <v>1</v>
      </c>
      <c r="F174" s="54">
        <v>46.38</v>
      </c>
      <c r="G174" s="54">
        <f>TRUNC(E174*F174,2)</f>
        <v>46.38</v>
      </c>
      <c r="H174" s="54"/>
      <c r="I174" s="55"/>
      <c r="J174" s="98">
        <v>1</v>
      </c>
      <c r="K174" s="70"/>
    </row>
    <row r="175" spans="1:11" s="98" customFormat="1" ht="13.5">
      <c r="A175" s="158"/>
      <c r="B175" s="174" t="s">
        <v>279</v>
      </c>
      <c r="C175" s="159" t="s">
        <v>343</v>
      </c>
      <c r="D175" s="160" t="s">
        <v>62</v>
      </c>
      <c r="E175" s="54">
        <v>1</v>
      </c>
      <c r="F175" s="54">
        <v>59.96</v>
      </c>
      <c r="G175" s="54">
        <f>TRUNC(E175*F175,2)</f>
        <v>59.96</v>
      </c>
      <c r="H175" s="54"/>
      <c r="I175" s="55"/>
      <c r="J175" s="98">
        <v>1</v>
      </c>
      <c r="K175" s="70"/>
    </row>
    <row r="176" spans="1:11" s="98" customFormat="1" ht="13.5">
      <c r="A176" s="158"/>
      <c r="B176" s="174" t="s">
        <v>279</v>
      </c>
      <c r="C176" s="159" t="s">
        <v>345</v>
      </c>
      <c r="D176" s="160" t="s">
        <v>62</v>
      </c>
      <c r="E176" s="54">
        <v>1</v>
      </c>
      <c r="F176" s="54">
        <v>94.35</v>
      </c>
      <c r="G176" s="54">
        <f>TRUNC(E176*F176,2)</f>
        <v>94.35</v>
      </c>
      <c r="H176" s="54"/>
      <c r="I176" s="55"/>
      <c r="J176" s="98">
        <v>1</v>
      </c>
      <c r="K176" s="70"/>
    </row>
    <row r="177" spans="1:11" s="98" customFormat="1" ht="13.5">
      <c r="A177" s="158"/>
      <c r="B177" s="86"/>
      <c r="C177" s="159"/>
      <c r="D177" s="160"/>
      <c r="E177" s="54" t="s">
        <v>70</v>
      </c>
      <c r="F177" s="54"/>
      <c r="G177" s="54">
        <f>TRUNC(SUM(G175),2)</f>
        <v>59.96</v>
      </c>
      <c r="H177" s="54"/>
      <c r="I177" s="55"/>
      <c r="J177" s="98" t="s">
        <v>70</v>
      </c>
      <c r="K177" s="70"/>
    </row>
    <row r="178" spans="1:11" s="182" customFormat="1" ht="27">
      <c r="A178" s="175" t="s">
        <v>365</v>
      </c>
      <c r="B178" s="176" t="s">
        <v>346</v>
      </c>
      <c r="C178" s="177" t="s">
        <v>347</v>
      </c>
      <c r="D178" s="178" t="s">
        <v>62</v>
      </c>
      <c r="E178" s="179">
        <v>188.12</v>
      </c>
      <c r="F178" s="180">
        <f>TRUNC(G180,2)</f>
        <v>55</v>
      </c>
      <c r="G178" s="180">
        <f>TRUNC(F178*1.2247,2)</f>
        <v>67.35</v>
      </c>
      <c r="H178" s="180">
        <f>TRUNC(F178*E178,2)</f>
        <v>10346.6</v>
      </c>
      <c r="I178" s="181">
        <f>TRUNC(E178*G178,2)</f>
        <v>12669.88</v>
      </c>
      <c r="J178" s="182">
        <v>188.12</v>
      </c>
      <c r="K178" s="183"/>
    </row>
    <row r="179" spans="1:11" s="98" customFormat="1" ht="27">
      <c r="A179" s="158"/>
      <c r="B179" s="86" t="s">
        <v>348</v>
      </c>
      <c r="C179" s="159" t="s">
        <v>349</v>
      </c>
      <c r="D179" s="160" t="s">
        <v>62</v>
      </c>
      <c r="E179" s="54">
        <v>1</v>
      </c>
      <c r="F179" s="54">
        <f>TRUNC(55,2)</f>
        <v>55</v>
      </c>
      <c r="G179" s="54">
        <f>TRUNC(E179*F179,2)</f>
        <v>55</v>
      </c>
      <c r="H179" s="54"/>
      <c r="I179" s="55"/>
      <c r="J179" s="98">
        <v>1</v>
      </c>
      <c r="K179" s="70"/>
    </row>
    <row r="180" spans="1:11" s="98" customFormat="1" ht="13.5">
      <c r="A180" s="158"/>
      <c r="B180" s="86"/>
      <c r="C180" s="159"/>
      <c r="D180" s="160"/>
      <c r="E180" s="54" t="s">
        <v>70</v>
      </c>
      <c r="F180" s="54"/>
      <c r="G180" s="54">
        <f>TRUNC(SUM(G179:G179),2)</f>
        <v>55</v>
      </c>
      <c r="H180" s="54"/>
      <c r="I180" s="55"/>
      <c r="J180" s="98" t="s">
        <v>70</v>
      </c>
      <c r="K180" s="70"/>
    </row>
    <row r="181" spans="1:11" s="182" customFormat="1" ht="13.5">
      <c r="A181" s="175" t="s">
        <v>366</v>
      </c>
      <c r="B181" s="176" t="s">
        <v>350</v>
      </c>
      <c r="C181" s="177" t="s">
        <v>351</v>
      </c>
      <c r="D181" s="178" t="s">
        <v>62</v>
      </c>
      <c r="E181" s="179">
        <v>8.4</v>
      </c>
      <c r="F181" s="180">
        <f>TRUNC(G190,2)</f>
        <v>57.67</v>
      </c>
      <c r="G181" s="180">
        <f>TRUNC(F181*1.2247,2)</f>
        <v>70.62</v>
      </c>
      <c r="H181" s="180">
        <f>TRUNC(F181*E181,2)</f>
        <v>484.42</v>
      </c>
      <c r="I181" s="181">
        <f>TRUNC(E181*G181,2)</f>
        <v>593.2</v>
      </c>
      <c r="J181" s="182">
        <v>8.4</v>
      </c>
      <c r="K181" s="183"/>
    </row>
    <row r="182" spans="1:11" s="98" customFormat="1" ht="13.5">
      <c r="A182" s="158"/>
      <c r="B182" s="86" t="s">
        <v>352</v>
      </c>
      <c r="C182" s="159" t="s">
        <v>353</v>
      </c>
      <c r="D182" s="160" t="s">
        <v>85</v>
      </c>
      <c r="E182" s="54">
        <v>0.0078</v>
      </c>
      <c r="F182" s="54">
        <f>TRUNC(14.45,2)</f>
        <v>14.45</v>
      </c>
      <c r="G182" s="54">
        <f aca="true" t="shared" si="6" ref="G182:G189">TRUNC(E182*F182,2)</f>
        <v>0.11</v>
      </c>
      <c r="H182" s="54"/>
      <c r="I182" s="55"/>
      <c r="J182" s="98">
        <v>0.0307</v>
      </c>
      <c r="K182" s="70"/>
    </row>
    <row r="183" spans="1:11" s="98" customFormat="1" ht="13.5">
      <c r="A183" s="158"/>
      <c r="B183" s="86" t="s">
        <v>354</v>
      </c>
      <c r="C183" s="159" t="s">
        <v>355</v>
      </c>
      <c r="D183" s="160" t="s">
        <v>85</v>
      </c>
      <c r="E183" s="54">
        <v>0.0037</v>
      </c>
      <c r="F183" s="54">
        <f>TRUNC(26.4,2)</f>
        <v>26.4</v>
      </c>
      <c r="G183" s="54">
        <f t="shared" si="6"/>
        <v>0.09</v>
      </c>
      <c r="H183" s="54"/>
      <c r="I183" s="55"/>
      <c r="J183" s="98">
        <v>0.0078</v>
      </c>
      <c r="K183" s="70"/>
    </row>
    <row r="184" spans="1:11" s="98" customFormat="1" ht="13.5">
      <c r="A184" s="158"/>
      <c r="B184" s="86" t="s">
        <v>356</v>
      </c>
      <c r="C184" s="159" t="s">
        <v>357</v>
      </c>
      <c r="D184" s="160" t="s">
        <v>62</v>
      </c>
      <c r="E184" s="54">
        <v>1.074</v>
      </c>
      <c r="F184" s="54">
        <f>TRUNC(9.72,2)</f>
        <v>9.72</v>
      </c>
      <c r="G184" s="54">
        <f t="shared" si="6"/>
        <v>10.43</v>
      </c>
      <c r="H184" s="54"/>
      <c r="I184" s="55"/>
      <c r="J184" s="98">
        <v>0.0037</v>
      </c>
      <c r="K184" s="70"/>
    </row>
    <row r="185" spans="1:11" s="98" customFormat="1" ht="13.5">
      <c r="A185" s="158"/>
      <c r="B185" s="86" t="s">
        <v>213</v>
      </c>
      <c r="C185" s="159" t="s">
        <v>209</v>
      </c>
      <c r="D185" s="160" t="s">
        <v>85</v>
      </c>
      <c r="E185" s="54">
        <v>0.9964</v>
      </c>
      <c r="F185" s="54">
        <f>TRUNC(0.69,2)</f>
        <v>0.69</v>
      </c>
      <c r="G185" s="54">
        <f t="shared" si="6"/>
        <v>0.68</v>
      </c>
      <c r="H185" s="54"/>
      <c r="I185" s="55"/>
      <c r="J185" s="98">
        <v>1.074</v>
      </c>
      <c r="K185" s="70"/>
    </row>
    <row r="186" spans="1:11" s="98" customFormat="1" ht="13.5">
      <c r="A186" s="158"/>
      <c r="B186" s="86" t="s">
        <v>358</v>
      </c>
      <c r="C186" s="159" t="s">
        <v>359</v>
      </c>
      <c r="D186" s="160" t="s">
        <v>360</v>
      </c>
      <c r="E186" s="54">
        <v>0.0307</v>
      </c>
      <c r="F186" s="54">
        <f>TRUNC(36.48,2)</f>
        <v>36.48</v>
      </c>
      <c r="G186" s="54">
        <f t="shared" si="6"/>
        <v>1.11</v>
      </c>
      <c r="H186" s="54"/>
      <c r="I186" s="55"/>
      <c r="J186" s="98">
        <v>0.9964</v>
      </c>
      <c r="K186" s="70"/>
    </row>
    <row r="187" spans="1:11" s="98" customFormat="1" ht="13.5">
      <c r="A187" s="158"/>
      <c r="B187" s="86" t="s">
        <v>361</v>
      </c>
      <c r="C187" s="159" t="s">
        <v>362</v>
      </c>
      <c r="D187" s="160" t="s">
        <v>85</v>
      </c>
      <c r="E187" s="54">
        <v>0.025</v>
      </c>
      <c r="F187" s="54">
        <f>TRUNC(34.52,2)</f>
        <v>34.52</v>
      </c>
      <c r="G187" s="54">
        <f t="shared" si="6"/>
        <v>0.86</v>
      </c>
      <c r="H187" s="54"/>
      <c r="I187" s="55"/>
      <c r="J187" s="98">
        <v>0.025</v>
      </c>
      <c r="K187" s="70"/>
    </row>
    <row r="188" spans="1:11" s="98" customFormat="1" ht="13.5">
      <c r="A188" s="158"/>
      <c r="B188" s="86" t="s">
        <v>152</v>
      </c>
      <c r="C188" s="159" t="s">
        <v>122</v>
      </c>
      <c r="D188" s="160" t="s">
        <v>27</v>
      </c>
      <c r="E188" s="54">
        <v>0.5371</v>
      </c>
      <c r="F188" s="54">
        <f>TRUNC(23.75,2)</f>
        <v>23.75</v>
      </c>
      <c r="G188" s="54">
        <f t="shared" si="6"/>
        <v>12.75</v>
      </c>
      <c r="H188" s="54"/>
      <c r="I188" s="55"/>
      <c r="J188" s="98">
        <v>0.5371</v>
      </c>
      <c r="K188" s="70"/>
    </row>
    <row r="189" spans="1:11" s="98" customFormat="1" ht="13.5">
      <c r="A189" s="158"/>
      <c r="B189" s="86" t="s">
        <v>212</v>
      </c>
      <c r="C189" s="159" t="s">
        <v>211</v>
      </c>
      <c r="D189" s="160" t="s">
        <v>27</v>
      </c>
      <c r="E189" s="54">
        <v>1.0741</v>
      </c>
      <c r="F189" s="54">
        <f>TRUNC(29.46,2)</f>
        <v>29.46</v>
      </c>
      <c r="G189" s="54">
        <f t="shared" si="6"/>
        <v>31.64</v>
      </c>
      <c r="H189" s="54"/>
      <c r="I189" s="55"/>
      <c r="J189" s="98">
        <v>1.0741</v>
      </c>
      <c r="K189" s="70"/>
    </row>
    <row r="190" spans="1:11" s="98" customFormat="1" ht="17.25" customHeight="1">
      <c r="A190" s="158"/>
      <c r="B190" s="86"/>
      <c r="C190" s="159"/>
      <c r="D190" s="160"/>
      <c r="E190" s="54" t="s">
        <v>70</v>
      </c>
      <c r="F190" s="54"/>
      <c r="G190" s="54">
        <f>TRUNC(SUM(G182:G189),2)</f>
        <v>57.67</v>
      </c>
      <c r="H190" s="54"/>
      <c r="I190" s="55"/>
      <c r="J190" s="98" t="s">
        <v>70</v>
      </c>
      <c r="K190" s="70"/>
    </row>
    <row r="191" spans="1:9" s="41" customFormat="1" ht="13.5">
      <c r="A191" s="106" t="s">
        <v>111</v>
      </c>
      <c r="B191" s="100"/>
      <c r="C191" s="76" t="s">
        <v>41</v>
      </c>
      <c r="D191" s="125"/>
      <c r="E191" s="77"/>
      <c r="F191" s="78"/>
      <c r="G191" s="78"/>
      <c r="H191" s="79">
        <f>H152+H155+H160+H173+H178+H181</f>
        <v>27879.909999999996</v>
      </c>
      <c r="I191" s="79">
        <f>I152+I155+I160+I173+I178+I181</f>
        <v>34142.259999999995</v>
      </c>
    </row>
    <row r="192" spans="1:9" ht="13.5">
      <c r="A192" s="99" t="s">
        <v>21</v>
      </c>
      <c r="B192" s="111"/>
      <c r="C192" s="87" t="s">
        <v>679</v>
      </c>
      <c r="D192" s="119"/>
      <c r="E192" s="87"/>
      <c r="F192" s="88"/>
      <c r="G192" s="88"/>
      <c r="H192" s="88"/>
      <c r="I192" s="89"/>
    </row>
    <row r="193" spans="1:11" s="182" customFormat="1" ht="41.25">
      <c r="A193" s="175" t="s">
        <v>53</v>
      </c>
      <c r="B193" s="176" t="s">
        <v>367</v>
      </c>
      <c r="C193" s="177" t="s">
        <v>368</v>
      </c>
      <c r="D193" s="178" t="s">
        <v>61</v>
      </c>
      <c r="E193" s="179">
        <v>2.6</v>
      </c>
      <c r="F193" s="180">
        <f>TRUNC(G199,2)</f>
        <v>295.16</v>
      </c>
      <c r="G193" s="180">
        <f>TRUNC(F193*1.2247,2)</f>
        <v>361.48</v>
      </c>
      <c r="H193" s="180">
        <f>TRUNC(F193*E193,2)</f>
        <v>767.41</v>
      </c>
      <c r="I193" s="181">
        <f>TRUNC(E193*G193,2)</f>
        <v>939.84</v>
      </c>
      <c r="J193" s="182">
        <v>2.6</v>
      </c>
      <c r="K193" s="183"/>
    </row>
    <row r="194" spans="1:11" s="98" customFormat="1" ht="13.5">
      <c r="A194" s="158"/>
      <c r="B194" s="86" t="s">
        <v>369</v>
      </c>
      <c r="C194" s="52" t="s">
        <v>370</v>
      </c>
      <c r="D194" s="160" t="s">
        <v>61</v>
      </c>
      <c r="E194" s="53">
        <v>1</v>
      </c>
      <c r="F194" s="54">
        <f>TRUNC(189.75,2)</f>
        <v>189.75</v>
      </c>
      <c r="G194" s="54">
        <f>TRUNC(E194*F194,2)</f>
        <v>189.75</v>
      </c>
      <c r="H194" s="54"/>
      <c r="I194" s="55"/>
      <c r="J194" s="98">
        <v>1</v>
      </c>
      <c r="K194" s="70"/>
    </row>
    <row r="195" spans="1:11" s="98" customFormat="1" ht="13.5">
      <c r="A195" s="158"/>
      <c r="B195" s="86" t="s">
        <v>143</v>
      </c>
      <c r="C195" s="52" t="s">
        <v>144</v>
      </c>
      <c r="D195" s="160" t="s">
        <v>27</v>
      </c>
      <c r="E195" s="53">
        <v>0.4326</v>
      </c>
      <c r="F195" s="54">
        <f>TRUNC(16.55,2)</f>
        <v>16.55</v>
      </c>
      <c r="G195" s="54">
        <f>TRUNC(E195*F195,2)</f>
        <v>7.15</v>
      </c>
      <c r="H195" s="54"/>
      <c r="I195" s="55"/>
      <c r="J195" s="98">
        <v>0.4326</v>
      </c>
      <c r="K195" s="70"/>
    </row>
    <row r="196" spans="1:11" s="98" customFormat="1" ht="13.5">
      <c r="A196" s="158"/>
      <c r="B196" s="86" t="s">
        <v>147</v>
      </c>
      <c r="C196" s="52" t="s">
        <v>148</v>
      </c>
      <c r="D196" s="160" t="s">
        <v>27</v>
      </c>
      <c r="E196" s="53">
        <v>0.4326</v>
      </c>
      <c r="F196" s="54">
        <f>TRUNC(22.86,2)</f>
        <v>22.86</v>
      </c>
      <c r="G196" s="54">
        <f>TRUNC(E196*F196,2)</f>
        <v>9.88</v>
      </c>
      <c r="H196" s="54"/>
      <c r="I196" s="55"/>
      <c r="J196" s="98">
        <v>0.4326</v>
      </c>
      <c r="K196" s="70"/>
    </row>
    <row r="197" spans="1:11" s="98" customFormat="1" ht="13.5">
      <c r="A197" s="158"/>
      <c r="B197" s="86" t="s">
        <v>371</v>
      </c>
      <c r="C197" s="52" t="s">
        <v>372</v>
      </c>
      <c r="D197" s="160" t="s">
        <v>26</v>
      </c>
      <c r="E197" s="53">
        <v>0.02</v>
      </c>
      <c r="F197" s="54">
        <f>TRUNC(2260.9992,2)</f>
        <v>2260.99</v>
      </c>
      <c r="G197" s="54">
        <f>TRUNC(E197*F197,2)</f>
        <v>45.21</v>
      </c>
      <c r="H197" s="54"/>
      <c r="I197" s="55"/>
      <c r="J197" s="98">
        <v>0.72</v>
      </c>
      <c r="K197" s="70"/>
    </row>
    <row r="198" spans="1:11" s="98" customFormat="1" ht="13.5">
      <c r="A198" s="158"/>
      <c r="B198" s="86" t="s">
        <v>373</v>
      </c>
      <c r="C198" s="52" t="s">
        <v>374</v>
      </c>
      <c r="D198" s="160" t="s">
        <v>62</v>
      </c>
      <c r="E198" s="53">
        <v>0.72</v>
      </c>
      <c r="F198" s="54">
        <f>TRUNC(59.9752,2)</f>
        <v>59.97</v>
      </c>
      <c r="G198" s="54">
        <f>TRUNC(E198*F198,2)</f>
        <v>43.17</v>
      </c>
      <c r="H198" s="54"/>
      <c r="I198" s="55"/>
      <c r="J198" s="98">
        <v>0.02</v>
      </c>
      <c r="K198" s="70"/>
    </row>
    <row r="199" spans="1:11" s="98" customFormat="1" ht="13.5">
      <c r="A199" s="158"/>
      <c r="B199" s="86"/>
      <c r="C199" s="52"/>
      <c r="D199" s="160"/>
      <c r="E199" s="53" t="s">
        <v>70</v>
      </c>
      <c r="F199" s="54"/>
      <c r="G199" s="54">
        <f>TRUNC(SUM(G194:G198),2)</f>
        <v>295.16</v>
      </c>
      <c r="H199" s="54"/>
      <c r="I199" s="55"/>
      <c r="J199" s="98" t="s">
        <v>70</v>
      </c>
      <c r="K199" s="70"/>
    </row>
    <row r="200" spans="1:11" s="182" customFormat="1" ht="41.25">
      <c r="A200" s="175" t="s">
        <v>31</v>
      </c>
      <c r="B200" s="176" t="s">
        <v>375</v>
      </c>
      <c r="C200" s="177" t="s">
        <v>376</v>
      </c>
      <c r="D200" s="178" t="s">
        <v>62</v>
      </c>
      <c r="E200" s="179">
        <v>0.72</v>
      </c>
      <c r="F200" s="180">
        <f>TRUNC(G206,2)</f>
        <v>512.21</v>
      </c>
      <c r="G200" s="180">
        <f>TRUNC(F200*1.2247,2)</f>
        <v>627.3</v>
      </c>
      <c r="H200" s="180">
        <f>TRUNC(F200*E200,2)</f>
        <v>368.79</v>
      </c>
      <c r="I200" s="181">
        <f>TRUNC(E200*G200,2)</f>
        <v>451.65</v>
      </c>
      <c r="J200" s="182">
        <v>0.72</v>
      </c>
      <c r="K200" s="183"/>
    </row>
    <row r="201" spans="1:11" s="98" customFormat="1" ht="27">
      <c r="A201" s="158"/>
      <c r="B201" s="86" t="s">
        <v>377</v>
      </c>
      <c r="C201" s="52" t="s">
        <v>378</v>
      </c>
      <c r="D201" s="160" t="s">
        <v>68</v>
      </c>
      <c r="E201" s="53">
        <v>1.3889</v>
      </c>
      <c r="F201" s="54">
        <f>TRUNC(260.67,2)</f>
        <v>260.67</v>
      </c>
      <c r="G201" s="54">
        <f>TRUNC(E201*F201,2)</f>
        <v>362.04</v>
      </c>
      <c r="H201" s="54"/>
      <c r="I201" s="55"/>
      <c r="J201" s="98">
        <v>1.3889</v>
      </c>
      <c r="K201" s="70"/>
    </row>
    <row r="202" spans="1:11" s="98" customFormat="1" ht="13.5">
      <c r="A202" s="158"/>
      <c r="B202" s="86" t="s">
        <v>143</v>
      </c>
      <c r="C202" s="52" t="s">
        <v>144</v>
      </c>
      <c r="D202" s="160" t="s">
        <v>27</v>
      </c>
      <c r="E202" s="53">
        <v>0.8549</v>
      </c>
      <c r="F202" s="54">
        <f>TRUNC(16.55,2)</f>
        <v>16.55</v>
      </c>
      <c r="G202" s="54">
        <f>TRUNC(E202*F202,2)</f>
        <v>14.14</v>
      </c>
      <c r="H202" s="54"/>
      <c r="I202" s="55"/>
      <c r="J202" s="98">
        <v>0.8549</v>
      </c>
      <c r="K202" s="70"/>
    </row>
    <row r="203" spans="1:11" s="98" customFormat="1" ht="13.5">
      <c r="A203" s="158"/>
      <c r="B203" s="86" t="s">
        <v>147</v>
      </c>
      <c r="C203" s="52" t="s">
        <v>148</v>
      </c>
      <c r="D203" s="160" t="s">
        <v>27</v>
      </c>
      <c r="E203" s="53">
        <v>0.8549</v>
      </c>
      <c r="F203" s="54">
        <f>TRUNC(22.86,2)</f>
        <v>22.86</v>
      </c>
      <c r="G203" s="54">
        <f>TRUNC(E203*F203,2)</f>
        <v>19.54</v>
      </c>
      <c r="H203" s="54"/>
      <c r="I203" s="55"/>
      <c r="J203" s="98">
        <v>0.8549</v>
      </c>
      <c r="K203" s="70"/>
    </row>
    <row r="204" spans="1:11" s="98" customFormat="1" ht="13.5">
      <c r="A204" s="158"/>
      <c r="B204" s="86" t="s">
        <v>371</v>
      </c>
      <c r="C204" s="52" t="s">
        <v>372</v>
      </c>
      <c r="D204" s="160" t="s">
        <v>26</v>
      </c>
      <c r="E204" s="53">
        <v>0.025</v>
      </c>
      <c r="F204" s="54">
        <f>TRUNC(2260.9992,2)</f>
        <v>2260.99</v>
      </c>
      <c r="G204" s="54">
        <f>TRUNC(E204*F204,2)</f>
        <v>56.52</v>
      </c>
      <c r="H204" s="54"/>
      <c r="I204" s="55"/>
      <c r="J204" s="98">
        <v>1</v>
      </c>
      <c r="K204" s="70"/>
    </row>
    <row r="205" spans="1:11" s="98" customFormat="1" ht="13.5">
      <c r="A205" s="158"/>
      <c r="B205" s="86" t="s">
        <v>373</v>
      </c>
      <c r="C205" s="52" t="s">
        <v>374</v>
      </c>
      <c r="D205" s="160" t="s">
        <v>62</v>
      </c>
      <c r="E205" s="53">
        <v>1</v>
      </c>
      <c r="F205" s="54">
        <f>TRUNC(59.9752,2)</f>
        <v>59.97</v>
      </c>
      <c r="G205" s="54">
        <f>TRUNC(E205*F205,2)</f>
        <v>59.97</v>
      </c>
      <c r="H205" s="54"/>
      <c r="I205" s="55"/>
      <c r="J205" s="98">
        <v>0.025</v>
      </c>
      <c r="K205" s="70"/>
    </row>
    <row r="206" spans="1:11" s="98" customFormat="1" ht="13.5">
      <c r="A206" s="158"/>
      <c r="B206" s="86"/>
      <c r="C206" s="52"/>
      <c r="D206" s="160"/>
      <c r="E206" s="53" t="s">
        <v>70</v>
      </c>
      <c r="F206" s="54"/>
      <c r="G206" s="54">
        <f>TRUNC(SUM(G201:G205),2)</f>
        <v>512.21</v>
      </c>
      <c r="H206" s="54"/>
      <c r="I206" s="55"/>
      <c r="J206" s="98" t="s">
        <v>70</v>
      </c>
      <c r="K206" s="70"/>
    </row>
    <row r="207" spans="1:11" s="182" customFormat="1" ht="41.25">
      <c r="A207" s="175" t="s">
        <v>32</v>
      </c>
      <c r="B207" s="184" t="s">
        <v>284</v>
      </c>
      <c r="C207" s="177" t="s">
        <v>387</v>
      </c>
      <c r="D207" s="178" t="s">
        <v>68</v>
      </c>
      <c r="E207" s="179">
        <v>1.2</v>
      </c>
      <c r="F207" s="180">
        <f>TRUNC(G215,2)</f>
        <v>72.43</v>
      </c>
      <c r="G207" s="180">
        <f>TRUNC(F207*1.2247,2)</f>
        <v>88.7</v>
      </c>
      <c r="H207" s="180">
        <f>TRUNC(F207*E207,2)</f>
        <v>86.91</v>
      </c>
      <c r="I207" s="181">
        <f>TRUNC(E207*G207,2)</f>
        <v>106.44</v>
      </c>
      <c r="J207" s="182">
        <v>1.2</v>
      </c>
      <c r="K207" s="183"/>
    </row>
    <row r="208" spans="1:10" s="101" customFormat="1" ht="13.5">
      <c r="A208" s="68"/>
      <c r="B208" s="104" t="s">
        <v>379</v>
      </c>
      <c r="C208" s="69" t="s">
        <v>380</v>
      </c>
      <c r="D208" s="68" t="s">
        <v>61</v>
      </c>
      <c r="E208" s="90">
        <v>1.4</v>
      </c>
      <c r="F208" s="55">
        <v>25</v>
      </c>
      <c r="G208" s="54">
        <f aca="true" t="shared" si="7" ref="G208:G214">TRUNC(E208*F208,2)</f>
        <v>35</v>
      </c>
      <c r="H208" s="54"/>
      <c r="I208" s="55"/>
      <c r="J208" s="101">
        <v>1.4</v>
      </c>
    </row>
    <row r="209" spans="1:10" s="101" customFormat="1" ht="13.5">
      <c r="A209" s="68"/>
      <c r="B209" s="104" t="s">
        <v>40</v>
      </c>
      <c r="C209" s="69" t="s">
        <v>89</v>
      </c>
      <c r="D209" s="68" t="s">
        <v>85</v>
      </c>
      <c r="E209" s="90">
        <v>0.35</v>
      </c>
      <c r="F209" s="55">
        <v>1.82</v>
      </c>
      <c r="G209" s="54">
        <f t="shared" si="7"/>
        <v>0.63</v>
      </c>
      <c r="H209" s="54"/>
      <c r="I209" s="55"/>
      <c r="J209" s="101">
        <v>0.35</v>
      </c>
    </row>
    <row r="210" spans="1:10" s="101" customFormat="1" ht="13.5">
      <c r="A210" s="68"/>
      <c r="B210" s="104" t="s">
        <v>143</v>
      </c>
      <c r="C210" s="69" t="s">
        <v>144</v>
      </c>
      <c r="D210" s="68" t="s">
        <v>27</v>
      </c>
      <c r="E210" s="90">
        <v>1.02382</v>
      </c>
      <c r="F210" s="55">
        <v>16.55</v>
      </c>
      <c r="G210" s="54">
        <f t="shared" si="7"/>
        <v>16.94</v>
      </c>
      <c r="H210" s="54"/>
      <c r="I210" s="55"/>
      <c r="J210" s="101">
        <v>1.02382</v>
      </c>
    </row>
    <row r="211" spans="1:10" s="101" customFormat="1" ht="13.5">
      <c r="A211" s="68"/>
      <c r="B211" s="104" t="s">
        <v>155</v>
      </c>
      <c r="C211" s="69" t="s">
        <v>156</v>
      </c>
      <c r="D211" s="68" t="s">
        <v>27</v>
      </c>
      <c r="E211" s="90">
        <v>0.73542</v>
      </c>
      <c r="F211" s="55">
        <v>22.86</v>
      </c>
      <c r="G211" s="54">
        <f t="shared" si="7"/>
        <v>16.81</v>
      </c>
      <c r="H211" s="54"/>
      <c r="I211" s="55"/>
      <c r="J211" s="101">
        <v>0.73542</v>
      </c>
    </row>
    <row r="212" spans="1:10" s="101" customFormat="1" ht="27">
      <c r="A212" s="68"/>
      <c r="B212" s="104" t="s">
        <v>381</v>
      </c>
      <c r="C212" s="69" t="s">
        <v>382</v>
      </c>
      <c r="D212" s="68" t="s">
        <v>62</v>
      </c>
      <c r="E212" s="90">
        <v>0.06999999999999999</v>
      </c>
      <c r="F212" s="55">
        <f>TRUNC(6.0675385,2)</f>
        <v>6.06</v>
      </c>
      <c r="G212" s="54">
        <f t="shared" si="7"/>
        <v>0.42</v>
      </c>
      <c r="H212" s="54"/>
      <c r="I212" s="55"/>
      <c r="J212" s="101">
        <v>0.06999999999999999</v>
      </c>
    </row>
    <row r="213" spans="1:10" s="101" customFormat="1" ht="13.5">
      <c r="A213" s="68"/>
      <c r="B213" s="104" t="s">
        <v>383</v>
      </c>
      <c r="C213" s="69" t="s">
        <v>384</v>
      </c>
      <c r="D213" s="68" t="s">
        <v>26</v>
      </c>
      <c r="E213" s="90">
        <v>0.0021</v>
      </c>
      <c r="F213" s="55">
        <f>TRUNC(785.9185,2)</f>
        <v>785.91</v>
      </c>
      <c r="G213" s="54">
        <f t="shared" si="7"/>
        <v>1.65</v>
      </c>
      <c r="H213" s="54"/>
      <c r="I213" s="55"/>
      <c r="J213" s="101">
        <v>0.0021</v>
      </c>
    </row>
    <row r="214" spans="1:10" s="101" customFormat="1" ht="13.5">
      <c r="A214" s="68"/>
      <c r="B214" s="104" t="s">
        <v>385</v>
      </c>
      <c r="C214" s="69" t="s">
        <v>386</v>
      </c>
      <c r="D214" s="68" t="s">
        <v>26</v>
      </c>
      <c r="E214" s="90">
        <v>0.0028</v>
      </c>
      <c r="F214" s="55">
        <f>TRUNC(352.09536,2)</f>
        <v>352.09</v>
      </c>
      <c r="G214" s="54">
        <f t="shared" si="7"/>
        <v>0.98</v>
      </c>
      <c r="H214" s="54"/>
      <c r="I214" s="55"/>
      <c r="J214" s="101">
        <v>0.0028</v>
      </c>
    </row>
    <row r="215" spans="1:10" s="101" customFormat="1" ht="13.5">
      <c r="A215" s="68"/>
      <c r="B215" s="104"/>
      <c r="C215" s="69"/>
      <c r="D215" s="68"/>
      <c r="E215" s="90" t="s">
        <v>70</v>
      </c>
      <c r="F215" s="55"/>
      <c r="G215" s="54">
        <f>TRUNC(SUM(G208:G214),2)</f>
        <v>72.43</v>
      </c>
      <c r="H215" s="54"/>
      <c r="I215" s="55"/>
      <c r="J215" s="101" t="s">
        <v>70</v>
      </c>
    </row>
    <row r="216" spans="1:11" s="182" customFormat="1" ht="41.25">
      <c r="A216" s="175" t="s">
        <v>33</v>
      </c>
      <c r="B216" s="184" t="s">
        <v>284</v>
      </c>
      <c r="C216" s="177" t="s">
        <v>388</v>
      </c>
      <c r="D216" s="178" t="s">
        <v>68</v>
      </c>
      <c r="E216" s="179">
        <v>1.2</v>
      </c>
      <c r="F216" s="180">
        <f>TRUNC(G224,2)</f>
        <v>36.22</v>
      </c>
      <c r="G216" s="180">
        <f>TRUNC(F216*1.2247,2)</f>
        <v>44.35</v>
      </c>
      <c r="H216" s="180">
        <f>TRUNC(F216*E216,2)</f>
        <v>43.46</v>
      </c>
      <c r="I216" s="181">
        <f>TRUNC(E216*G216,2)</f>
        <v>53.22</v>
      </c>
      <c r="J216" s="182">
        <v>1.2</v>
      </c>
      <c r="K216" s="183"/>
    </row>
    <row r="217" spans="1:10" s="101" customFormat="1" ht="13.5">
      <c r="A217" s="68"/>
      <c r="B217" s="104" t="s">
        <v>379</v>
      </c>
      <c r="C217" s="69" t="s">
        <v>380</v>
      </c>
      <c r="D217" s="68" t="s">
        <v>61</v>
      </c>
      <c r="E217" s="90">
        <v>0.6666666666666666</v>
      </c>
      <c r="F217" s="55">
        <v>25</v>
      </c>
      <c r="G217" s="54">
        <f aca="true" t="shared" si="8" ref="G217:G223">TRUNC(E217*F217,2)</f>
        <v>16.66</v>
      </c>
      <c r="H217" s="54"/>
      <c r="I217" s="55"/>
      <c r="J217" s="101">
        <v>0.67</v>
      </c>
    </row>
    <row r="218" spans="1:10" s="101" customFormat="1" ht="13.5">
      <c r="A218" s="68"/>
      <c r="B218" s="104" t="s">
        <v>40</v>
      </c>
      <c r="C218" s="69" t="s">
        <v>89</v>
      </c>
      <c r="D218" s="68" t="s">
        <v>85</v>
      </c>
      <c r="E218" s="90">
        <v>0.3333333333333333</v>
      </c>
      <c r="F218" s="55">
        <v>1.82</v>
      </c>
      <c r="G218" s="54">
        <f t="shared" si="8"/>
        <v>0.6</v>
      </c>
      <c r="H218" s="54"/>
      <c r="I218" s="55"/>
      <c r="J218" s="101">
        <v>0.35</v>
      </c>
    </row>
    <row r="219" spans="1:10" s="101" customFormat="1" ht="13.5">
      <c r="A219" s="68"/>
      <c r="B219" s="104" t="s">
        <v>143</v>
      </c>
      <c r="C219" s="69" t="s">
        <v>144</v>
      </c>
      <c r="D219" s="68" t="s">
        <v>27</v>
      </c>
      <c r="E219" s="90">
        <v>0.48753333333333326</v>
      </c>
      <c r="F219" s="55">
        <v>16.55</v>
      </c>
      <c r="G219" s="54">
        <f t="shared" si="8"/>
        <v>8.06</v>
      </c>
      <c r="H219" s="54"/>
      <c r="I219" s="55"/>
      <c r="J219" s="101">
        <v>1.02382</v>
      </c>
    </row>
    <row r="220" spans="1:10" s="101" customFormat="1" ht="13.5">
      <c r="A220" s="68"/>
      <c r="B220" s="104" t="s">
        <v>155</v>
      </c>
      <c r="C220" s="69" t="s">
        <v>156</v>
      </c>
      <c r="D220" s="68" t="s">
        <v>27</v>
      </c>
      <c r="E220" s="90">
        <v>0.35019999999999996</v>
      </c>
      <c r="F220" s="55">
        <v>22.86</v>
      </c>
      <c r="G220" s="54">
        <f t="shared" si="8"/>
        <v>8</v>
      </c>
      <c r="H220" s="54"/>
      <c r="I220" s="55"/>
      <c r="J220" s="101">
        <v>0.73542</v>
      </c>
    </row>
    <row r="221" spans="1:10" s="101" customFormat="1" ht="27">
      <c r="A221" s="68"/>
      <c r="B221" s="104" t="s">
        <v>381</v>
      </c>
      <c r="C221" s="69" t="s">
        <v>382</v>
      </c>
      <c r="D221" s="68" t="s">
        <v>62</v>
      </c>
      <c r="E221" s="90">
        <v>0.06666666666666667</v>
      </c>
      <c r="F221" s="55">
        <f>TRUNC(6.0675385,2)</f>
        <v>6.06</v>
      </c>
      <c r="G221" s="54">
        <f t="shared" si="8"/>
        <v>0.4</v>
      </c>
      <c r="H221" s="54"/>
      <c r="I221" s="55"/>
      <c r="J221" s="101">
        <v>0.06999999999999999</v>
      </c>
    </row>
    <row r="222" spans="1:10" s="101" customFormat="1" ht="13.5">
      <c r="A222" s="68"/>
      <c r="B222" s="104" t="s">
        <v>383</v>
      </c>
      <c r="C222" s="69" t="s">
        <v>384</v>
      </c>
      <c r="D222" s="68" t="s">
        <v>26</v>
      </c>
      <c r="E222" s="90">
        <v>0.002</v>
      </c>
      <c r="F222" s="55">
        <f>TRUNC(785.9185,2)</f>
        <v>785.91</v>
      </c>
      <c r="G222" s="54">
        <f t="shared" si="8"/>
        <v>1.57</v>
      </c>
      <c r="H222" s="54"/>
      <c r="I222" s="55"/>
      <c r="J222" s="101">
        <v>0.0021</v>
      </c>
    </row>
    <row r="223" spans="1:10" s="101" customFormat="1" ht="13.5">
      <c r="A223" s="68"/>
      <c r="B223" s="104" t="s">
        <v>385</v>
      </c>
      <c r="C223" s="69" t="s">
        <v>386</v>
      </c>
      <c r="D223" s="68" t="s">
        <v>26</v>
      </c>
      <c r="E223" s="90">
        <v>0.0026666666666666666</v>
      </c>
      <c r="F223" s="55">
        <f>TRUNC(352.09536,2)</f>
        <v>352.09</v>
      </c>
      <c r="G223" s="54">
        <f t="shared" si="8"/>
        <v>0.93</v>
      </c>
      <c r="H223" s="54"/>
      <c r="I223" s="55"/>
      <c r="J223" s="101">
        <v>0.0028</v>
      </c>
    </row>
    <row r="224" spans="1:10" s="101" customFormat="1" ht="13.5">
      <c r="A224" s="68"/>
      <c r="B224" s="104"/>
      <c r="C224" s="69"/>
      <c r="D224" s="68"/>
      <c r="E224" s="90" t="s">
        <v>70</v>
      </c>
      <c r="F224" s="55"/>
      <c r="G224" s="54">
        <f>TRUNC(SUM(G217:G223),2)</f>
        <v>36.22</v>
      </c>
      <c r="H224" s="54"/>
      <c r="I224" s="55"/>
      <c r="J224" s="101" t="s">
        <v>70</v>
      </c>
    </row>
    <row r="225" spans="1:11" s="182" customFormat="1" ht="41.25">
      <c r="A225" s="175" t="s">
        <v>34</v>
      </c>
      <c r="B225" s="176" t="s">
        <v>389</v>
      </c>
      <c r="C225" s="177" t="s">
        <v>390</v>
      </c>
      <c r="D225" s="178" t="s">
        <v>68</v>
      </c>
      <c r="E225" s="179">
        <v>1</v>
      </c>
      <c r="F225" s="180">
        <f>TRUNC(G231,2)</f>
        <v>570.31</v>
      </c>
      <c r="G225" s="180">
        <f>TRUNC(F225*1.2247,2)</f>
        <v>698.45</v>
      </c>
      <c r="H225" s="180">
        <f>TRUNC(F225*E225,2)</f>
        <v>570.31</v>
      </c>
      <c r="I225" s="181">
        <f>TRUNC(E225*G225,2)</f>
        <v>698.45</v>
      </c>
      <c r="J225" s="182">
        <v>1</v>
      </c>
      <c r="K225" s="183"/>
    </row>
    <row r="226" spans="1:10" s="101" customFormat="1" ht="13.5">
      <c r="A226" s="68"/>
      <c r="B226" s="104" t="s">
        <v>391</v>
      </c>
      <c r="C226" s="69" t="s">
        <v>392</v>
      </c>
      <c r="D226" s="68" t="s">
        <v>68</v>
      </c>
      <c r="E226" s="90">
        <v>1</v>
      </c>
      <c r="F226" s="55">
        <f>TRUNC(36.67,2)</f>
        <v>36.67</v>
      </c>
      <c r="G226" s="54">
        <f>TRUNC(E226*F226,2)</f>
        <v>36.67</v>
      </c>
      <c r="H226" s="54"/>
      <c r="I226" s="55"/>
      <c r="J226" s="101">
        <v>1</v>
      </c>
    </row>
    <row r="227" spans="1:10" s="101" customFormat="1" ht="27">
      <c r="A227" s="68"/>
      <c r="B227" s="104" t="s">
        <v>393</v>
      </c>
      <c r="C227" s="69" t="s">
        <v>394</v>
      </c>
      <c r="D227" s="68" t="s">
        <v>68</v>
      </c>
      <c r="E227" s="90">
        <v>1</v>
      </c>
      <c r="F227" s="55">
        <f>TRUNC(411.98,2)</f>
        <v>411.98</v>
      </c>
      <c r="G227" s="54">
        <f>TRUNC(E227*F227,2)</f>
        <v>411.98</v>
      </c>
      <c r="H227" s="54"/>
      <c r="I227" s="55"/>
      <c r="J227" s="101">
        <v>1</v>
      </c>
    </row>
    <row r="228" spans="1:10" s="101" customFormat="1" ht="13.5">
      <c r="A228" s="68"/>
      <c r="B228" s="104" t="s">
        <v>395</v>
      </c>
      <c r="C228" s="69" t="s">
        <v>396</v>
      </c>
      <c r="D228" s="68" t="s">
        <v>68</v>
      </c>
      <c r="E228" s="90">
        <v>1</v>
      </c>
      <c r="F228" s="55">
        <f>TRUNC(93.25,2)</f>
        <v>93.25</v>
      </c>
      <c r="G228" s="54">
        <f>TRUNC(E228*F228,2)</f>
        <v>93.25</v>
      </c>
      <c r="H228" s="54"/>
      <c r="I228" s="55"/>
      <c r="J228" s="101">
        <v>1</v>
      </c>
    </row>
    <row r="229" spans="1:10" s="101" customFormat="1" ht="13.5">
      <c r="A229" s="68"/>
      <c r="B229" s="104" t="s">
        <v>143</v>
      </c>
      <c r="C229" s="69" t="s">
        <v>144</v>
      </c>
      <c r="D229" s="68" t="s">
        <v>27</v>
      </c>
      <c r="E229" s="90">
        <v>0.721</v>
      </c>
      <c r="F229" s="55">
        <f>TRUNC(16.55,2)</f>
        <v>16.55</v>
      </c>
      <c r="G229" s="54">
        <f>TRUNC(E229*F229,2)</f>
        <v>11.93</v>
      </c>
      <c r="H229" s="54"/>
      <c r="I229" s="55"/>
      <c r="J229" s="101">
        <v>0.721</v>
      </c>
    </row>
    <row r="230" spans="1:10" s="101" customFormat="1" ht="13.5">
      <c r="A230" s="68"/>
      <c r="B230" s="104" t="s">
        <v>147</v>
      </c>
      <c r="C230" s="69" t="s">
        <v>148</v>
      </c>
      <c r="D230" s="68" t="s">
        <v>27</v>
      </c>
      <c r="E230" s="90">
        <v>0.721</v>
      </c>
      <c r="F230" s="55">
        <f>TRUNC(22.86,2)</f>
        <v>22.86</v>
      </c>
      <c r="G230" s="54">
        <f>TRUNC(E230*F230,2)</f>
        <v>16.48</v>
      </c>
      <c r="H230" s="54"/>
      <c r="I230" s="55"/>
      <c r="J230" s="101">
        <v>0.721</v>
      </c>
    </row>
    <row r="231" spans="1:10" s="101" customFormat="1" ht="13.5">
      <c r="A231" s="68"/>
      <c r="B231" s="104"/>
      <c r="C231" s="69"/>
      <c r="D231" s="68"/>
      <c r="E231" s="90" t="s">
        <v>70</v>
      </c>
      <c r="F231" s="55"/>
      <c r="G231" s="54">
        <f>TRUNC(SUM(G226:G230),2)</f>
        <v>570.31</v>
      </c>
      <c r="H231" s="54"/>
      <c r="I231" s="55"/>
      <c r="J231" s="101" t="s">
        <v>70</v>
      </c>
    </row>
    <row r="232" spans="1:11" s="182" customFormat="1" ht="13.5">
      <c r="A232" s="175" t="s">
        <v>35</v>
      </c>
      <c r="B232" s="176" t="s">
        <v>397</v>
      </c>
      <c r="C232" s="177" t="s">
        <v>402</v>
      </c>
      <c r="D232" s="178" t="s">
        <v>61</v>
      </c>
      <c r="E232" s="179">
        <v>8</v>
      </c>
      <c r="F232" s="180">
        <f>TRUNC(G234,2)</f>
        <v>21.55</v>
      </c>
      <c r="G232" s="180">
        <f>TRUNC(F232*1.2247,2)</f>
        <v>26.39</v>
      </c>
      <c r="H232" s="180">
        <f>TRUNC(F232*E232,2)</f>
        <v>172.4</v>
      </c>
      <c r="I232" s="181">
        <f>TRUNC(E232*G232,2)</f>
        <v>211.12</v>
      </c>
      <c r="J232" s="182">
        <v>8</v>
      </c>
      <c r="K232" s="183"/>
    </row>
    <row r="233" spans="1:10" s="101" customFormat="1" ht="27">
      <c r="A233" s="68"/>
      <c r="B233" s="104" t="s">
        <v>403</v>
      </c>
      <c r="C233" s="69" t="s">
        <v>404</v>
      </c>
      <c r="D233" s="68" t="s">
        <v>68</v>
      </c>
      <c r="E233" s="90">
        <v>0.1667</v>
      </c>
      <c r="F233" s="55">
        <f>TRUNC(129.3,2)</f>
        <v>129.3</v>
      </c>
      <c r="G233" s="54">
        <f>TRUNC(E233*F233,2)</f>
        <v>21.55</v>
      </c>
      <c r="H233" s="54"/>
      <c r="I233" s="55"/>
      <c r="J233" s="101">
        <v>0.1667</v>
      </c>
    </row>
    <row r="234" spans="1:10" s="101" customFormat="1" ht="13.5">
      <c r="A234" s="68"/>
      <c r="B234" s="104"/>
      <c r="C234" s="69"/>
      <c r="D234" s="68"/>
      <c r="E234" s="90" t="s">
        <v>70</v>
      </c>
      <c r="F234" s="55"/>
      <c r="G234" s="54">
        <f>TRUNC(SUM(G233:G233),2)</f>
        <v>21.55</v>
      </c>
      <c r="H234" s="54"/>
      <c r="I234" s="55"/>
      <c r="J234" s="101" t="s">
        <v>70</v>
      </c>
    </row>
    <row r="235" spans="1:11" s="182" customFormat="1" ht="13.5">
      <c r="A235" s="175" t="s">
        <v>79</v>
      </c>
      <c r="B235" s="176" t="s">
        <v>398</v>
      </c>
      <c r="C235" s="177" t="s">
        <v>405</v>
      </c>
      <c r="D235" s="178" t="s">
        <v>61</v>
      </c>
      <c r="E235" s="179">
        <v>10</v>
      </c>
      <c r="F235" s="180">
        <f>TRUNC(G237,2)</f>
        <v>40.06</v>
      </c>
      <c r="G235" s="180">
        <f>TRUNC(F235*1.2247,2)</f>
        <v>49.06</v>
      </c>
      <c r="H235" s="180">
        <f>TRUNC(F235*E235,2)</f>
        <v>400.6</v>
      </c>
      <c r="I235" s="181">
        <f>TRUNC(E235*G235,2)</f>
        <v>490.6</v>
      </c>
      <c r="J235" s="182">
        <v>10</v>
      </c>
      <c r="K235" s="183"/>
    </row>
    <row r="236" spans="1:10" s="101" customFormat="1" ht="27">
      <c r="A236" s="68"/>
      <c r="B236" s="104" t="s">
        <v>406</v>
      </c>
      <c r="C236" s="69" t="s">
        <v>407</v>
      </c>
      <c r="D236" s="68" t="s">
        <v>68</v>
      </c>
      <c r="E236" s="90">
        <v>0.1667</v>
      </c>
      <c r="F236" s="55">
        <f>TRUNC(240.32,2)</f>
        <v>240.32</v>
      </c>
      <c r="G236" s="54">
        <f>TRUNC(E236*F236,2)</f>
        <v>40.06</v>
      </c>
      <c r="H236" s="54"/>
      <c r="I236" s="55"/>
      <c r="J236" s="101">
        <v>0.1667</v>
      </c>
    </row>
    <row r="237" spans="1:10" s="101" customFormat="1" ht="13.5">
      <c r="A237" s="68"/>
      <c r="B237" s="104"/>
      <c r="C237" s="69"/>
      <c r="D237" s="68"/>
      <c r="E237" s="90" t="s">
        <v>70</v>
      </c>
      <c r="F237" s="55"/>
      <c r="G237" s="54">
        <f>TRUNC(SUM(G236:G236),2)</f>
        <v>40.06</v>
      </c>
      <c r="H237" s="54"/>
      <c r="I237" s="55"/>
      <c r="J237" s="101" t="s">
        <v>70</v>
      </c>
    </row>
    <row r="238" spans="1:11" s="182" customFormat="1" ht="13.5">
      <c r="A238" s="175" t="s">
        <v>80</v>
      </c>
      <c r="B238" s="176" t="s">
        <v>399</v>
      </c>
      <c r="C238" s="177" t="s">
        <v>408</v>
      </c>
      <c r="D238" s="178" t="s">
        <v>68</v>
      </c>
      <c r="E238" s="179">
        <v>1</v>
      </c>
      <c r="F238" s="180">
        <f>TRUNC(G240,2)</f>
        <v>113.8</v>
      </c>
      <c r="G238" s="180">
        <f>TRUNC(F238*1.2247,2)</f>
        <v>139.37</v>
      </c>
      <c r="H238" s="180">
        <f>TRUNC(F238*E238,2)</f>
        <v>113.8</v>
      </c>
      <c r="I238" s="181">
        <f>TRUNC(E238*G238,2)</f>
        <v>139.37</v>
      </c>
      <c r="J238" s="182">
        <v>1</v>
      </c>
      <c r="K238" s="183"/>
    </row>
    <row r="239" spans="1:10" s="101" customFormat="1" ht="13.5">
      <c r="A239" s="68"/>
      <c r="B239" s="104" t="s">
        <v>409</v>
      </c>
      <c r="C239" s="69" t="s">
        <v>410</v>
      </c>
      <c r="D239" s="68" t="s">
        <v>68</v>
      </c>
      <c r="E239" s="90">
        <v>1</v>
      </c>
      <c r="F239" s="55">
        <f>TRUNC(113.8021,2)</f>
        <v>113.8</v>
      </c>
      <c r="G239" s="54">
        <f>TRUNC(E239*F239,2)</f>
        <v>113.8</v>
      </c>
      <c r="H239" s="54"/>
      <c r="I239" s="55"/>
      <c r="J239" s="101">
        <v>1</v>
      </c>
    </row>
    <row r="240" spans="1:10" s="101" customFormat="1" ht="13.5">
      <c r="A240" s="68"/>
      <c r="B240" s="104"/>
      <c r="C240" s="69"/>
      <c r="D240" s="68"/>
      <c r="E240" s="90" t="s">
        <v>70</v>
      </c>
      <c r="F240" s="55"/>
      <c r="G240" s="54">
        <f>TRUNC(SUM(G239:G239),2)</f>
        <v>113.8</v>
      </c>
      <c r="H240" s="54"/>
      <c r="I240" s="55"/>
      <c r="J240" s="101" t="s">
        <v>70</v>
      </c>
    </row>
    <row r="241" spans="1:11" s="182" customFormat="1" ht="13.5">
      <c r="A241" s="175" t="s">
        <v>81</v>
      </c>
      <c r="B241" s="176" t="s">
        <v>400</v>
      </c>
      <c r="C241" s="177" t="s">
        <v>411</v>
      </c>
      <c r="D241" s="178" t="s">
        <v>68</v>
      </c>
      <c r="E241" s="179">
        <v>2</v>
      </c>
      <c r="F241" s="180">
        <f>TRUNC(G243,2)</f>
        <v>31.23</v>
      </c>
      <c r="G241" s="180">
        <f>TRUNC(F241*1.2247,2)</f>
        <v>38.24</v>
      </c>
      <c r="H241" s="180">
        <f>TRUNC(F241*E241,2)</f>
        <v>62.46</v>
      </c>
      <c r="I241" s="181">
        <f>TRUNC(E241*G241,2)</f>
        <v>76.48</v>
      </c>
      <c r="J241" s="182">
        <v>2</v>
      </c>
      <c r="K241" s="183"/>
    </row>
    <row r="242" spans="1:10" s="101" customFormat="1" ht="13.5">
      <c r="A242" s="68"/>
      <c r="B242" s="104" t="s">
        <v>412</v>
      </c>
      <c r="C242" s="69" t="s">
        <v>413</v>
      </c>
      <c r="D242" s="68" t="s">
        <v>68</v>
      </c>
      <c r="E242" s="90">
        <v>1</v>
      </c>
      <c r="F242" s="55">
        <f>TRUNC(31.23,2)</f>
        <v>31.23</v>
      </c>
      <c r="G242" s="54">
        <f>TRUNC(E242*F242,2)</f>
        <v>31.23</v>
      </c>
      <c r="H242" s="54"/>
      <c r="I242" s="55"/>
      <c r="J242" s="101">
        <v>1</v>
      </c>
    </row>
    <row r="243" spans="1:10" s="101" customFormat="1" ht="13.5">
      <c r="A243" s="68"/>
      <c r="B243" s="104"/>
      <c r="C243" s="69"/>
      <c r="D243" s="68"/>
      <c r="E243" s="90" t="s">
        <v>70</v>
      </c>
      <c r="F243" s="55"/>
      <c r="G243" s="54">
        <f>TRUNC(SUM(G242:G242),2)</f>
        <v>31.23</v>
      </c>
      <c r="H243" s="54"/>
      <c r="I243" s="55"/>
      <c r="J243" s="101" t="s">
        <v>70</v>
      </c>
    </row>
    <row r="244" spans="1:11" s="182" customFormat="1" ht="41.25">
      <c r="A244" s="175" t="s">
        <v>82</v>
      </c>
      <c r="B244" s="176" t="s">
        <v>401</v>
      </c>
      <c r="C244" s="177" t="s">
        <v>414</v>
      </c>
      <c r="D244" s="178" t="s">
        <v>68</v>
      </c>
      <c r="E244" s="179">
        <v>1</v>
      </c>
      <c r="F244" s="180">
        <f>TRUNC(G249,2)</f>
        <v>190.58</v>
      </c>
      <c r="G244" s="180">
        <f>TRUNC(F244*1.2247,2)</f>
        <v>233.4</v>
      </c>
      <c r="H244" s="180">
        <f>TRUNC(F244*E244,2)</f>
        <v>190.58</v>
      </c>
      <c r="I244" s="181">
        <f>TRUNC(E244*G244,2)</f>
        <v>233.4</v>
      </c>
      <c r="J244" s="182">
        <v>1</v>
      </c>
      <c r="K244" s="183"/>
    </row>
    <row r="245" spans="1:10" s="101" customFormat="1" ht="13.5">
      <c r="A245" s="68"/>
      <c r="B245" s="104" t="s">
        <v>415</v>
      </c>
      <c r="C245" s="69" t="s">
        <v>416</v>
      </c>
      <c r="D245" s="68" t="s">
        <v>68</v>
      </c>
      <c r="E245" s="90">
        <v>1</v>
      </c>
      <c r="F245" s="55">
        <f>TRUNC(109,2)</f>
        <v>109</v>
      </c>
      <c r="G245" s="54">
        <f>TRUNC(E245*F245,2)</f>
        <v>109</v>
      </c>
      <c r="H245" s="54"/>
      <c r="I245" s="55"/>
      <c r="J245" s="101">
        <v>1</v>
      </c>
    </row>
    <row r="246" spans="1:10" s="101" customFormat="1" ht="13.5">
      <c r="A246" s="68"/>
      <c r="B246" s="104" t="s">
        <v>417</v>
      </c>
      <c r="C246" s="69" t="s">
        <v>418</v>
      </c>
      <c r="D246" s="68" t="s">
        <v>85</v>
      </c>
      <c r="E246" s="90">
        <v>0.8</v>
      </c>
      <c r="F246" s="55">
        <f>TRUNC(0.506,2)</f>
        <v>0.5</v>
      </c>
      <c r="G246" s="54">
        <f>TRUNC(E246*F246,2)</f>
        <v>0.4</v>
      </c>
      <c r="H246" s="54"/>
      <c r="I246" s="55"/>
      <c r="J246" s="101">
        <v>0.8</v>
      </c>
    </row>
    <row r="247" spans="1:10" s="101" customFormat="1" ht="13.5">
      <c r="A247" s="68"/>
      <c r="B247" s="104" t="s">
        <v>143</v>
      </c>
      <c r="C247" s="69" t="s">
        <v>144</v>
      </c>
      <c r="D247" s="68" t="s">
        <v>27</v>
      </c>
      <c r="E247" s="90">
        <v>2.06</v>
      </c>
      <c r="F247" s="55">
        <f>TRUNC(16.55,2)</f>
        <v>16.55</v>
      </c>
      <c r="G247" s="54">
        <f>TRUNC(E247*F247,2)</f>
        <v>34.09</v>
      </c>
      <c r="H247" s="54"/>
      <c r="I247" s="55"/>
      <c r="J247" s="101">
        <v>2.06</v>
      </c>
    </row>
    <row r="248" spans="1:10" s="101" customFormat="1" ht="27">
      <c r="A248" s="68"/>
      <c r="B248" s="104" t="s">
        <v>419</v>
      </c>
      <c r="C248" s="69" t="s">
        <v>420</v>
      </c>
      <c r="D248" s="68" t="s">
        <v>27</v>
      </c>
      <c r="E248" s="90">
        <v>2.06</v>
      </c>
      <c r="F248" s="55">
        <f>TRUNC(22.86,2)</f>
        <v>22.86</v>
      </c>
      <c r="G248" s="54">
        <f>TRUNC(E248*F248,2)</f>
        <v>47.09</v>
      </c>
      <c r="H248" s="54"/>
      <c r="I248" s="55"/>
      <c r="J248" s="101">
        <v>2.06</v>
      </c>
    </row>
    <row r="249" spans="1:10" s="101" customFormat="1" ht="13.5">
      <c r="A249" s="68"/>
      <c r="B249" s="104"/>
      <c r="C249" s="69"/>
      <c r="D249" s="68"/>
      <c r="E249" s="90" t="s">
        <v>70</v>
      </c>
      <c r="F249" s="55"/>
      <c r="G249" s="54">
        <f>TRUNC(SUM(G245:G248),2)</f>
        <v>190.58</v>
      </c>
      <c r="H249" s="54"/>
      <c r="I249" s="55"/>
      <c r="J249" s="101" t="s">
        <v>70</v>
      </c>
    </row>
    <row r="250" spans="1:9" s="41" customFormat="1" ht="13.5">
      <c r="A250" s="106" t="s">
        <v>111</v>
      </c>
      <c r="B250" s="100"/>
      <c r="C250" s="76" t="s">
        <v>83</v>
      </c>
      <c r="D250" s="125"/>
      <c r="E250" s="77"/>
      <c r="F250" s="78"/>
      <c r="G250" s="78"/>
      <c r="H250" s="79">
        <f>H193+H200+H207+H216+H225+H232+H235+H238+H241+H244</f>
        <v>2776.7200000000003</v>
      </c>
      <c r="I250" s="79">
        <f>I193+I200+I207+I216+I225+I232+I235+I238+I241+I244</f>
        <v>3400.57</v>
      </c>
    </row>
    <row r="251" spans="1:9" ht="13.5">
      <c r="A251" s="99" t="s">
        <v>54</v>
      </c>
      <c r="B251" s="111"/>
      <c r="C251" s="87" t="s">
        <v>421</v>
      </c>
      <c r="D251" s="119"/>
      <c r="E251" s="87"/>
      <c r="F251" s="88"/>
      <c r="G251" s="88"/>
      <c r="H251" s="88"/>
      <c r="I251" s="89"/>
    </row>
    <row r="252" spans="1:11" s="182" customFormat="1" ht="41.25">
      <c r="A252" s="175" t="s">
        <v>55</v>
      </c>
      <c r="B252" s="176" t="s">
        <v>422</v>
      </c>
      <c r="C252" s="177" t="s">
        <v>424</v>
      </c>
      <c r="D252" s="178" t="s">
        <v>68</v>
      </c>
      <c r="E252" s="179">
        <v>36</v>
      </c>
      <c r="F252" s="180">
        <f>TRUNC(G264,2)</f>
        <v>267.55</v>
      </c>
      <c r="G252" s="180">
        <f>TRUNC(F252*1.2247,2)</f>
        <v>327.66</v>
      </c>
      <c r="H252" s="180">
        <f>TRUNC(F252*E252,2)</f>
        <v>9631.8</v>
      </c>
      <c r="I252" s="181">
        <f>TRUNC(E252*G252,2)</f>
        <v>11795.76</v>
      </c>
      <c r="J252" s="182">
        <v>36</v>
      </c>
      <c r="K252" s="183"/>
    </row>
    <row r="253" spans="1:10" s="101" customFormat="1" ht="13.5">
      <c r="A253" s="68"/>
      <c r="B253" s="104" t="s">
        <v>183</v>
      </c>
      <c r="C253" s="69" t="s">
        <v>184</v>
      </c>
      <c r="D253" s="68" t="s">
        <v>68</v>
      </c>
      <c r="E253" s="90">
        <v>1</v>
      </c>
      <c r="F253" s="55">
        <f>TRUNC(3.13,2)</f>
        <v>3.13</v>
      </c>
      <c r="G253" s="54">
        <f aca="true" t="shared" si="9" ref="G253:G263">TRUNC(E253*F253,2)</f>
        <v>3.13</v>
      </c>
      <c r="H253" s="54"/>
      <c r="I253" s="55"/>
      <c r="J253" s="101">
        <v>1</v>
      </c>
    </row>
    <row r="254" spans="1:10" s="101" customFormat="1" ht="13.5">
      <c r="A254" s="68"/>
      <c r="B254" s="104" t="s">
        <v>0</v>
      </c>
      <c r="C254" s="69" t="s">
        <v>128</v>
      </c>
      <c r="D254" s="68" t="s">
        <v>68</v>
      </c>
      <c r="E254" s="90">
        <v>1</v>
      </c>
      <c r="F254" s="55">
        <f>TRUNC(2.58,2)</f>
        <v>2.58</v>
      </c>
      <c r="G254" s="54">
        <f t="shared" si="9"/>
        <v>2.58</v>
      </c>
      <c r="H254" s="54"/>
      <c r="I254" s="55"/>
      <c r="J254" s="101">
        <v>1</v>
      </c>
    </row>
    <row r="255" spans="1:10" s="101" customFormat="1" ht="13.5">
      <c r="A255" s="68"/>
      <c r="B255" s="104" t="s">
        <v>28</v>
      </c>
      <c r="C255" s="69" t="s">
        <v>129</v>
      </c>
      <c r="D255" s="68" t="s">
        <v>68</v>
      </c>
      <c r="E255" s="90">
        <v>1</v>
      </c>
      <c r="F255" s="55">
        <f>TRUNC(0.98,2)</f>
        <v>0.98</v>
      </c>
      <c r="G255" s="54">
        <f t="shared" si="9"/>
        <v>0.98</v>
      </c>
      <c r="H255" s="54"/>
      <c r="I255" s="55"/>
      <c r="J255" s="101">
        <v>1</v>
      </c>
    </row>
    <row r="256" spans="1:10" s="101" customFormat="1" ht="13.5">
      <c r="A256" s="68"/>
      <c r="B256" s="104" t="s">
        <v>206</v>
      </c>
      <c r="C256" s="69" t="s">
        <v>207</v>
      </c>
      <c r="D256" s="68" t="s">
        <v>68</v>
      </c>
      <c r="E256" s="90">
        <v>6</v>
      </c>
      <c r="F256" s="55">
        <f>TRUNC(2.35,2)</f>
        <v>2.35</v>
      </c>
      <c r="G256" s="54">
        <f t="shared" si="9"/>
        <v>14.1</v>
      </c>
      <c r="H256" s="54"/>
      <c r="I256" s="55"/>
      <c r="J256" s="101">
        <v>6</v>
      </c>
    </row>
    <row r="257" spans="1:10" s="101" customFormat="1" ht="13.5">
      <c r="A257" s="68"/>
      <c r="B257" s="104" t="s">
        <v>24</v>
      </c>
      <c r="C257" s="69" t="s">
        <v>196</v>
      </c>
      <c r="D257" s="68" t="s">
        <v>68</v>
      </c>
      <c r="E257" s="90">
        <v>1</v>
      </c>
      <c r="F257" s="55">
        <f>TRUNC(2.25,2)</f>
        <v>2.25</v>
      </c>
      <c r="G257" s="54">
        <f t="shared" si="9"/>
        <v>2.25</v>
      </c>
      <c r="H257" s="54"/>
      <c r="I257" s="55"/>
      <c r="J257" s="101">
        <v>1</v>
      </c>
    </row>
    <row r="258" spans="1:10" s="101" customFormat="1" ht="13.5">
      <c r="A258" s="68"/>
      <c r="B258" s="104" t="s">
        <v>23</v>
      </c>
      <c r="C258" s="69" t="s">
        <v>130</v>
      </c>
      <c r="D258" s="68" t="s">
        <v>68</v>
      </c>
      <c r="E258" s="90">
        <v>1</v>
      </c>
      <c r="F258" s="55">
        <f>TRUNC(0.78,2)</f>
        <v>0.78</v>
      </c>
      <c r="G258" s="54">
        <f t="shared" si="9"/>
        <v>0.78</v>
      </c>
      <c r="H258" s="54"/>
      <c r="I258" s="55"/>
      <c r="J258" s="101">
        <v>1</v>
      </c>
    </row>
    <row r="259" spans="1:10" s="101" customFormat="1" ht="27">
      <c r="A259" s="68"/>
      <c r="B259" s="104" t="s">
        <v>18</v>
      </c>
      <c r="C259" s="69" t="s">
        <v>131</v>
      </c>
      <c r="D259" s="68" t="s">
        <v>68</v>
      </c>
      <c r="E259" s="90">
        <v>2</v>
      </c>
      <c r="F259" s="55">
        <f>TRUNC(9.84,2)</f>
        <v>9.84</v>
      </c>
      <c r="G259" s="54">
        <f t="shared" si="9"/>
        <v>19.68</v>
      </c>
      <c r="H259" s="54"/>
      <c r="I259" s="55"/>
      <c r="J259" s="101">
        <v>2</v>
      </c>
    </row>
    <row r="260" spans="1:10" s="101" customFormat="1" ht="13.5">
      <c r="A260" s="68"/>
      <c r="B260" s="104" t="s">
        <v>17</v>
      </c>
      <c r="C260" s="69" t="s">
        <v>91</v>
      </c>
      <c r="D260" s="68" t="s">
        <v>61</v>
      </c>
      <c r="E260" s="90">
        <v>12</v>
      </c>
      <c r="F260" s="55">
        <f>TRUNC(1.98,2)</f>
        <v>1.98</v>
      </c>
      <c r="G260" s="54">
        <f t="shared" si="9"/>
        <v>23.76</v>
      </c>
      <c r="H260" s="54"/>
      <c r="I260" s="55"/>
      <c r="J260" s="101">
        <v>12</v>
      </c>
    </row>
    <row r="261" spans="1:10" s="101" customFormat="1" ht="13.5">
      <c r="A261" s="68"/>
      <c r="B261" s="104" t="s">
        <v>11</v>
      </c>
      <c r="C261" s="69" t="s">
        <v>132</v>
      </c>
      <c r="D261" s="68" t="s">
        <v>68</v>
      </c>
      <c r="E261" s="90">
        <v>4</v>
      </c>
      <c r="F261" s="55">
        <f>TRUNC(0.96,2)</f>
        <v>0.96</v>
      </c>
      <c r="G261" s="54">
        <f t="shared" si="9"/>
        <v>3.84</v>
      </c>
      <c r="H261" s="54"/>
      <c r="I261" s="55"/>
      <c r="J261" s="101">
        <v>4</v>
      </c>
    </row>
    <row r="262" spans="1:10" s="101" customFormat="1" ht="13.5">
      <c r="A262" s="68"/>
      <c r="B262" s="104" t="s">
        <v>143</v>
      </c>
      <c r="C262" s="69" t="s">
        <v>144</v>
      </c>
      <c r="D262" s="68" t="s">
        <v>27</v>
      </c>
      <c r="E262" s="90">
        <v>6.18</v>
      </c>
      <c r="F262" s="55">
        <f>TRUNC(16.55,2)</f>
        <v>16.55</v>
      </c>
      <c r="G262" s="54">
        <f t="shared" si="9"/>
        <v>102.27</v>
      </c>
      <c r="H262" s="54"/>
      <c r="I262" s="55"/>
      <c r="J262" s="101">
        <v>6.18</v>
      </c>
    </row>
    <row r="263" spans="1:10" s="101" customFormat="1" ht="13.5">
      <c r="A263" s="68"/>
      <c r="B263" s="104" t="s">
        <v>150</v>
      </c>
      <c r="C263" s="69" t="s">
        <v>151</v>
      </c>
      <c r="D263" s="68" t="s">
        <v>27</v>
      </c>
      <c r="E263" s="90">
        <v>4.12</v>
      </c>
      <c r="F263" s="55">
        <f>TRUNC(22.86,2)</f>
        <v>22.86</v>
      </c>
      <c r="G263" s="54">
        <f t="shared" si="9"/>
        <v>94.18</v>
      </c>
      <c r="H263" s="54"/>
      <c r="I263" s="55"/>
      <c r="J263" s="101">
        <v>4.12</v>
      </c>
    </row>
    <row r="264" spans="1:10" s="101" customFormat="1" ht="13.5">
      <c r="A264" s="68"/>
      <c r="B264" s="104"/>
      <c r="C264" s="69"/>
      <c r="D264" s="68"/>
      <c r="E264" s="90" t="s">
        <v>70</v>
      </c>
      <c r="F264" s="55"/>
      <c r="G264" s="54">
        <f>TRUNC(SUM(G253:G263),2)</f>
        <v>267.55</v>
      </c>
      <c r="H264" s="54"/>
      <c r="I264" s="55"/>
      <c r="J264" s="101" t="s">
        <v>70</v>
      </c>
    </row>
    <row r="265" spans="1:11" s="182" customFormat="1" ht="41.25">
      <c r="A265" s="175" t="s">
        <v>56</v>
      </c>
      <c r="B265" s="176" t="s">
        <v>423</v>
      </c>
      <c r="C265" s="177" t="s">
        <v>425</v>
      </c>
      <c r="D265" s="178" t="s">
        <v>68</v>
      </c>
      <c r="E265" s="179">
        <v>15</v>
      </c>
      <c r="F265" s="180">
        <f>TRUNC(G276,2)</f>
        <v>42.3</v>
      </c>
      <c r="G265" s="180">
        <f>TRUNC(F265*1.2247,2)</f>
        <v>51.8</v>
      </c>
      <c r="H265" s="180">
        <f>TRUNC(F265*E265,2)</f>
        <v>634.5</v>
      </c>
      <c r="I265" s="181">
        <f>TRUNC(E265*G265,2)</f>
        <v>777</v>
      </c>
      <c r="J265" s="182">
        <v>15</v>
      </c>
      <c r="K265" s="183"/>
    </row>
    <row r="266" spans="1:10" s="101" customFormat="1" ht="13.5">
      <c r="A266" s="68"/>
      <c r="B266" s="104" t="s">
        <v>426</v>
      </c>
      <c r="C266" s="69" t="s">
        <v>427</v>
      </c>
      <c r="D266" s="68" t="s">
        <v>68</v>
      </c>
      <c r="E266" s="90">
        <v>2</v>
      </c>
      <c r="F266" s="55">
        <f>TRUNC(4.5379,2)</f>
        <v>4.53</v>
      </c>
      <c r="G266" s="54">
        <f aca="true" t="shared" si="10" ref="G266:G275">TRUNC(E266*F266,2)</f>
        <v>9.06</v>
      </c>
      <c r="H266" s="54"/>
      <c r="I266" s="55"/>
      <c r="J266" s="101">
        <v>2</v>
      </c>
    </row>
    <row r="267" spans="1:10" s="101" customFormat="1" ht="13.5">
      <c r="A267" s="68"/>
      <c r="B267" s="104" t="s">
        <v>428</v>
      </c>
      <c r="C267" s="69" t="s">
        <v>429</v>
      </c>
      <c r="D267" s="68" t="s">
        <v>68</v>
      </c>
      <c r="E267" s="90">
        <v>2</v>
      </c>
      <c r="F267" s="55">
        <f>TRUNC(0.2843,2)</f>
        <v>0.28</v>
      </c>
      <c r="G267" s="54">
        <f t="shared" si="10"/>
        <v>0.56</v>
      </c>
      <c r="H267" s="54"/>
      <c r="I267" s="55"/>
      <c r="J267" s="101">
        <v>2</v>
      </c>
    </row>
    <row r="268" spans="1:10" s="101" customFormat="1" ht="13.5">
      <c r="A268" s="68"/>
      <c r="B268" s="104" t="s">
        <v>430</v>
      </c>
      <c r="C268" s="69" t="s">
        <v>431</v>
      </c>
      <c r="D268" s="68" t="s">
        <v>68</v>
      </c>
      <c r="E268" s="90">
        <v>4</v>
      </c>
      <c r="F268" s="55">
        <f>TRUNC(0.0656,2)</f>
        <v>0.06</v>
      </c>
      <c r="G268" s="54">
        <f t="shared" si="10"/>
        <v>0.24</v>
      </c>
      <c r="H268" s="54"/>
      <c r="I268" s="55"/>
      <c r="J268" s="101">
        <v>4</v>
      </c>
    </row>
    <row r="269" spans="1:10" s="101" customFormat="1" ht="13.5">
      <c r="A269" s="68"/>
      <c r="B269" s="104" t="s">
        <v>432</v>
      </c>
      <c r="C269" s="69" t="s">
        <v>433</v>
      </c>
      <c r="D269" s="68" t="s">
        <v>68</v>
      </c>
      <c r="E269" s="90">
        <v>1</v>
      </c>
      <c r="F269" s="55">
        <f>TRUNC(6.3749,2)</f>
        <v>6.37</v>
      </c>
      <c r="G269" s="54">
        <f t="shared" si="10"/>
        <v>6.37</v>
      </c>
      <c r="H269" s="54"/>
      <c r="I269" s="55"/>
      <c r="J269" s="101">
        <v>1</v>
      </c>
    </row>
    <row r="270" spans="1:10" s="101" customFormat="1" ht="13.5">
      <c r="A270" s="68"/>
      <c r="B270" s="104" t="s">
        <v>434</v>
      </c>
      <c r="C270" s="69" t="s">
        <v>435</v>
      </c>
      <c r="D270" s="68" t="s">
        <v>68</v>
      </c>
      <c r="E270" s="90">
        <v>4</v>
      </c>
      <c r="F270" s="55">
        <f>TRUNC(0.0875,2)</f>
        <v>0.08</v>
      </c>
      <c r="G270" s="54">
        <f t="shared" si="10"/>
        <v>0.32</v>
      </c>
      <c r="H270" s="54"/>
      <c r="I270" s="55"/>
      <c r="J270" s="101">
        <v>4</v>
      </c>
    </row>
    <row r="271" spans="1:10" s="101" customFormat="1" ht="13.5">
      <c r="A271" s="68"/>
      <c r="B271" s="104" t="s">
        <v>436</v>
      </c>
      <c r="C271" s="69" t="s">
        <v>437</v>
      </c>
      <c r="D271" s="68" t="s">
        <v>61</v>
      </c>
      <c r="E271" s="90">
        <v>1</v>
      </c>
      <c r="F271" s="55">
        <f>TRUNC(1.0941,2)</f>
        <v>1.09</v>
      </c>
      <c r="G271" s="54">
        <f t="shared" si="10"/>
        <v>1.09</v>
      </c>
      <c r="H271" s="54"/>
      <c r="I271" s="55"/>
      <c r="J271" s="101">
        <v>1</v>
      </c>
    </row>
    <row r="272" spans="1:10" s="101" customFormat="1" ht="13.5">
      <c r="A272" s="68"/>
      <c r="B272" s="104" t="s">
        <v>438</v>
      </c>
      <c r="C272" s="69" t="s">
        <v>439</v>
      </c>
      <c r="D272" s="68" t="s">
        <v>68</v>
      </c>
      <c r="E272" s="90">
        <v>4</v>
      </c>
      <c r="F272" s="55">
        <f>TRUNC(0.08,2)</f>
        <v>0.08</v>
      </c>
      <c r="G272" s="54">
        <f t="shared" si="10"/>
        <v>0.32</v>
      </c>
      <c r="H272" s="54"/>
      <c r="I272" s="55"/>
      <c r="J272" s="101">
        <v>4</v>
      </c>
    </row>
    <row r="273" spans="1:10" s="101" customFormat="1" ht="13.5">
      <c r="A273" s="68"/>
      <c r="B273" s="104" t="s">
        <v>214</v>
      </c>
      <c r="C273" s="69" t="s">
        <v>215</v>
      </c>
      <c r="D273" s="68" t="s">
        <v>68</v>
      </c>
      <c r="E273" s="90">
        <v>1</v>
      </c>
      <c r="F273" s="55">
        <f>TRUNC(6.08,2)</f>
        <v>6.08</v>
      </c>
      <c r="G273" s="54">
        <f t="shared" si="10"/>
        <v>6.08</v>
      </c>
      <c r="H273" s="54"/>
      <c r="I273" s="55"/>
      <c r="J273" s="101">
        <v>1</v>
      </c>
    </row>
    <row r="274" spans="1:10" s="101" customFormat="1" ht="13.5">
      <c r="A274" s="68"/>
      <c r="B274" s="104" t="s">
        <v>143</v>
      </c>
      <c r="C274" s="69" t="s">
        <v>144</v>
      </c>
      <c r="D274" s="68" t="s">
        <v>27</v>
      </c>
      <c r="E274" s="90">
        <v>0.4635</v>
      </c>
      <c r="F274" s="55">
        <f>TRUNC(16.55,2)</f>
        <v>16.55</v>
      </c>
      <c r="G274" s="54">
        <f t="shared" si="10"/>
        <v>7.67</v>
      </c>
      <c r="H274" s="54"/>
      <c r="I274" s="55"/>
      <c r="J274" s="101">
        <v>0.4635</v>
      </c>
    </row>
    <row r="275" spans="1:10" s="101" customFormat="1" ht="13.5">
      <c r="A275" s="68"/>
      <c r="B275" s="104" t="s">
        <v>150</v>
      </c>
      <c r="C275" s="69" t="s">
        <v>151</v>
      </c>
      <c r="D275" s="68" t="s">
        <v>27</v>
      </c>
      <c r="E275" s="90">
        <v>0.4635</v>
      </c>
      <c r="F275" s="55">
        <f>TRUNC(22.86,2)</f>
        <v>22.86</v>
      </c>
      <c r="G275" s="54">
        <f t="shared" si="10"/>
        <v>10.59</v>
      </c>
      <c r="H275" s="54"/>
      <c r="I275" s="55"/>
      <c r="J275" s="101">
        <v>0.4635</v>
      </c>
    </row>
    <row r="276" spans="1:10" s="101" customFormat="1" ht="13.5">
      <c r="A276" s="68"/>
      <c r="B276" s="104"/>
      <c r="C276" s="69"/>
      <c r="D276" s="68"/>
      <c r="E276" s="90" t="s">
        <v>70</v>
      </c>
      <c r="F276" s="55"/>
      <c r="G276" s="54">
        <f>TRUNC(SUM(G266:G275),2)</f>
        <v>42.3</v>
      </c>
      <c r="H276" s="54"/>
      <c r="I276" s="55"/>
      <c r="J276" s="101" t="s">
        <v>70</v>
      </c>
    </row>
    <row r="277" spans="1:11" s="182" customFormat="1" ht="54.75">
      <c r="A277" s="175" t="s">
        <v>57</v>
      </c>
      <c r="B277" s="184" t="s">
        <v>279</v>
      </c>
      <c r="C277" s="177" t="s">
        <v>440</v>
      </c>
      <c r="D277" s="178" t="s">
        <v>68</v>
      </c>
      <c r="E277" s="179">
        <v>9</v>
      </c>
      <c r="F277" s="180">
        <f>TRUNC(G281,2)</f>
        <v>353.82</v>
      </c>
      <c r="G277" s="180">
        <f>TRUNC(F277*1.2247,2)</f>
        <v>433.32</v>
      </c>
      <c r="H277" s="180">
        <f>TRUNC(F277*E277,2)</f>
        <v>3184.38</v>
      </c>
      <c r="I277" s="181">
        <f>TRUNC(E277*G277,2)</f>
        <v>3899.88</v>
      </c>
      <c r="J277" s="182">
        <v>9</v>
      </c>
      <c r="K277" s="183"/>
    </row>
    <row r="278" spans="1:10" s="101" customFormat="1" ht="54.75">
      <c r="A278" s="68"/>
      <c r="B278" s="161" t="s">
        <v>279</v>
      </c>
      <c r="C278" s="69" t="s">
        <v>441</v>
      </c>
      <c r="D278" s="68" t="s">
        <v>68</v>
      </c>
      <c r="E278" s="90">
        <v>1</v>
      </c>
      <c r="F278" s="55">
        <v>353.82</v>
      </c>
      <c r="G278" s="54">
        <f>TRUNC(E278*F278,2)</f>
        <v>353.82</v>
      </c>
      <c r="H278" s="54"/>
      <c r="I278" s="55"/>
      <c r="J278" s="101">
        <v>1</v>
      </c>
    </row>
    <row r="279" spans="1:10" s="101" customFormat="1" ht="54.75">
      <c r="A279" s="68"/>
      <c r="B279" s="161" t="s">
        <v>279</v>
      </c>
      <c r="C279" s="69" t="s">
        <v>442</v>
      </c>
      <c r="D279" s="68" t="s">
        <v>68</v>
      </c>
      <c r="E279" s="90">
        <v>1</v>
      </c>
      <c r="F279" s="55">
        <v>219.89</v>
      </c>
      <c r="G279" s="54">
        <f>TRUNC(E279*F279,2)</f>
        <v>219.89</v>
      </c>
      <c r="H279" s="54"/>
      <c r="I279" s="55"/>
      <c r="J279" s="101">
        <v>1</v>
      </c>
    </row>
    <row r="280" spans="1:10" s="101" customFormat="1" ht="54.75">
      <c r="A280" s="68"/>
      <c r="B280" s="161" t="s">
        <v>279</v>
      </c>
      <c r="C280" s="69" t="s">
        <v>443</v>
      </c>
      <c r="D280" s="68" t="s">
        <v>68</v>
      </c>
      <c r="E280" s="90">
        <v>1</v>
      </c>
      <c r="F280" s="55">
        <v>389.9</v>
      </c>
      <c r="G280" s="54">
        <f>TRUNC(E280*F280,2)</f>
        <v>389.9</v>
      </c>
      <c r="H280" s="54"/>
      <c r="I280" s="55"/>
      <c r="J280" s="101">
        <v>1</v>
      </c>
    </row>
    <row r="281" spans="1:10" s="101" customFormat="1" ht="13.5">
      <c r="A281" s="68"/>
      <c r="B281" s="104"/>
      <c r="C281" s="69"/>
      <c r="D281" s="90"/>
      <c r="E281" s="90" t="s">
        <v>70</v>
      </c>
      <c r="F281" s="55"/>
      <c r="G281" s="54">
        <f>G278</f>
        <v>353.82</v>
      </c>
      <c r="H281" s="54"/>
      <c r="I281" s="55"/>
      <c r="J281" s="101" t="s">
        <v>70</v>
      </c>
    </row>
    <row r="282" spans="1:11" s="182" customFormat="1" ht="27">
      <c r="A282" s="175" t="s">
        <v>58</v>
      </c>
      <c r="B282" s="176" t="s">
        <v>628</v>
      </c>
      <c r="C282" s="177" t="s">
        <v>445</v>
      </c>
      <c r="D282" s="178" t="s">
        <v>68</v>
      </c>
      <c r="E282" s="179">
        <v>15</v>
      </c>
      <c r="F282" s="180">
        <f>TRUNC(G287,2)</f>
        <v>11.48</v>
      </c>
      <c r="G282" s="180">
        <f>TRUNC(F282*1.2247,2)</f>
        <v>14.05</v>
      </c>
      <c r="H282" s="180">
        <f>TRUNC(F282*E282,2)</f>
        <v>172.2</v>
      </c>
      <c r="I282" s="181">
        <f>TRUNC(E282*G282,2)</f>
        <v>210.75</v>
      </c>
      <c r="J282" s="182">
        <v>15</v>
      </c>
      <c r="K282" s="183"/>
    </row>
    <row r="283" spans="1:10" s="101" customFormat="1" ht="13.5">
      <c r="A283" s="68"/>
      <c r="B283" s="104" t="s">
        <v>629</v>
      </c>
      <c r="C283" s="69" t="s">
        <v>217</v>
      </c>
      <c r="D283" s="68" t="s">
        <v>68</v>
      </c>
      <c r="E283" s="90">
        <v>1</v>
      </c>
      <c r="F283" s="55">
        <f>TRUNC(8.24,2)</f>
        <v>8.24</v>
      </c>
      <c r="G283" s="54">
        <f>TRUNC(E283*F283,2)</f>
        <v>8.24</v>
      </c>
      <c r="H283" s="54"/>
      <c r="I283" s="55"/>
      <c r="J283" s="101">
        <v>1</v>
      </c>
    </row>
    <row r="284" spans="1:10" s="101" customFormat="1" ht="27">
      <c r="A284" s="68"/>
      <c r="B284" s="104" t="s">
        <v>630</v>
      </c>
      <c r="C284" s="69" t="s">
        <v>135</v>
      </c>
      <c r="D284" s="68" t="s">
        <v>68</v>
      </c>
      <c r="E284" s="90">
        <v>1</v>
      </c>
      <c r="F284" s="55">
        <f>TRUNC(0.68,2)</f>
        <v>0.68</v>
      </c>
      <c r="G284" s="54">
        <f>TRUNC(E284*F284,2)</f>
        <v>0.68</v>
      </c>
      <c r="H284" s="54"/>
      <c r="I284" s="55"/>
      <c r="J284" s="101">
        <v>1</v>
      </c>
    </row>
    <row r="285" spans="1:10" s="101" customFormat="1" ht="13.5">
      <c r="A285" s="68"/>
      <c r="B285" s="104" t="s">
        <v>500</v>
      </c>
      <c r="C285" s="69" t="s">
        <v>133</v>
      </c>
      <c r="D285" s="68" t="s">
        <v>27</v>
      </c>
      <c r="E285" s="90">
        <v>0.0476</v>
      </c>
      <c r="F285" s="55">
        <f>TRUNC(30.39,2)</f>
        <v>30.39</v>
      </c>
      <c r="G285" s="54">
        <f>TRUNC(E285*F285,2)</f>
        <v>1.44</v>
      </c>
      <c r="H285" s="54"/>
      <c r="I285" s="55"/>
      <c r="J285" s="101">
        <v>0.0476</v>
      </c>
    </row>
    <row r="286" spans="1:10" s="101" customFormat="1" ht="13.5">
      <c r="A286" s="68"/>
      <c r="B286" s="104" t="s">
        <v>501</v>
      </c>
      <c r="C286" s="69" t="s">
        <v>134</v>
      </c>
      <c r="D286" s="68" t="s">
        <v>27</v>
      </c>
      <c r="E286" s="90">
        <v>0.0476</v>
      </c>
      <c r="F286" s="55">
        <f>TRUNC(23.64,2)</f>
        <v>23.64</v>
      </c>
      <c r="G286" s="54">
        <f>TRUNC(E286*F286,2)</f>
        <v>1.12</v>
      </c>
      <c r="H286" s="54"/>
      <c r="I286" s="55"/>
      <c r="J286" s="101">
        <v>0.0476</v>
      </c>
    </row>
    <row r="287" spans="1:10" s="101" customFormat="1" ht="13.5">
      <c r="A287" s="68"/>
      <c r="B287" s="104"/>
      <c r="C287" s="69"/>
      <c r="D287" s="68"/>
      <c r="E287" s="90" t="s">
        <v>70</v>
      </c>
      <c r="F287" s="55"/>
      <c r="G287" s="54">
        <f>TRUNC(SUM(G283:G286),2)</f>
        <v>11.48</v>
      </c>
      <c r="H287" s="54"/>
      <c r="I287" s="55"/>
      <c r="J287" s="101" t="s">
        <v>70</v>
      </c>
    </row>
    <row r="288" spans="1:11" s="182" customFormat="1" ht="13.5">
      <c r="A288" s="175" t="s">
        <v>550</v>
      </c>
      <c r="B288" s="184" t="s">
        <v>279</v>
      </c>
      <c r="C288" s="177" t="s">
        <v>446</v>
      </c>
      <c r="D288" s="178" t="s">
        <v>68</v>
      </c>
      <c r="E288" s="179">
        <v>4</v>
      </c>
      <c r="F288" s="180">
        <f>TRUNC(G292,2)</f>
        <v>107.1</v>
      </c>
      <c r="G288" s="180">
        <f>TRUNC(F288*1.2247,2)</f>
        <v>131.16</v>
      </c>
      <c r="H288" s="180">
        <f>TRUNC(F288*E288,2)</f>
        <v>428.4</v>
      </c>
      <c r="I288" s="181">
        <f>TRUNC(E288*G288,2)</f>
        <v>524.64</v>
      </c>
      <c r="J288" s="182">
        <v>4</v>
      </c>
      <c r="K288" s="183"/>
    </row>
    <row r="289" spans="1:10" s="101" customFormat="1" ht="27">
      <c r="A289" s="68"/>
      <c r="B289" s="161" t="s">
        <v>279</v>
      </c>
      <c r="C289" s="69" t="s">
        <v>447</v>
      </c>
      <c r="D289" s="68" t="s">
        <v>68</v>
      </c>
      <c r="E289" s="90">
        <v>1</v>
      </c>
      <c r="F289" s="55">
        <v>107.1</v>
      </c>
      <c r="G289" s="54">
        <f>TRUNC(E289*F289,2)</f>
        <v>107.1</v>
      </c>
      <c r="H289" s="54"/>
      <c r="I289" s="55"/>
      <c r="J289" s="101">
        <v>1</v>
      </c>
    </row>
    <row r="290" spans="1:10" s="101" customFormat="1" ht="27">
      <c r="A290" s="68"/>
      <c r="B290" s="161" t="s">
        <v>279</v>
      </c>
      <c r="C290" s="69" t="s">
        <v>448</v>
      </c>
      <c r="D290" s="68" t="s">
        <v>68</v>
      </c>
      <c r="E290" s="90">
        <v>1</v>
      </c>
      <c r="F290" s="55">
        <v>110.93</v>
      </c>
      <c r="G290" s="54">
        <f>TRUNC(E290*F290,2)</f>
        <v>110.93</v>
      </c>
      <c r="H290" s="54"/>
      <c r="I290" s="55"/>
      <c r="J290" s="101">
        <v>1</v>
      </c>
    </row>
    <row r="291" spans="1:10" s="101" customFormat="1" ht="13.5">
      <c r="A291" s="68"/>
      <c r="B291" s="161" t="s">
        <v>279</v>
      </c>
      <c r="C291" s="69" t="s">
        <v>449</v>
      </c>
      <c r="D291" s="68" t="s">
        <v>68</v>
      </c>
      <c r="E291" s="90">
        <v>1</v>
      </c>
      <c r="F291" s="55">
        <v>99.43</v>
      </c>
      <c r="G291" s="54">
        <f>TRUNC(E291*F291,2)</f>
        <v>99.43</v>
      </c>
      <c r="H291" s="54"/>
      <c r="I291" s="55"/>
      <c r="J291" s="101">
        <v>1</v>
      </c>
    </row>
    <row r="292" spans="1:10" s="101" customFormat="1" ht="13.5">
      <c r="A292" s="68"/>
      <c r="B292" s="104"/>
      <c r="C292" s="69"/>
      <c r="D292" s="68"/>
      <c r="E292" s="90" t="s">
        <v>70</v>
      </c>
      <c r="F292" s="55"/>
      <c r="G292" s="54">
        <f>G289</f>
        <v>107.1</v>
      </c>
      <c r="H292" s="54"/>
      <c r="I292" s="55"/>
      <c r="J292" s="101" t="s">
        <v>70</v>
      </c>
    </row>
    <row r="293" spans="1:11" s="182" customFormat="1" ht="13.5">
      <c r="A293" s="175" t="s">
        <v>551</v>
      </c>
      <c r="B293" s="184" t="s">
        <v>279</v>
      </c>
      <c r="C293" s="177" t="s">
        <v>450</v>
      </c>
      <c r="D293" s="178" t="s">
        <v>68</v>
      </c>
      <c r="E293" s="179">
        <v>1</v>
      </c>
      <c r="F293" s="180">
        <f>G297</f>
        <v>396.09</v>
      </c>
      <c r="G293" s="180">
        <f>TRUNC(F293*1.2247,2)</f>
        <v>485.09</v>
      </c>
      <c r="H293" s="180">
        <f>TRUNC(F293*E293,2)</f>
        <v>396.09</v>
      </c>
      <c r="I293" s="181">
        <f>TRUNC(E293*G293,2)</f>
        <v>485.09</v>
      </c>
      <c r="J293" s="182">
        <v>1</v>
      </c>
      <c r="K293" s="183"/>
    </row>
    <row r="294" spans="1:10" s="101" customFormat="1" ht="13.5">
      <c r="A294" s="68"/>
      <c r="B294" s="161" t="s">
        <v>279</v>
      </c>
      <c r="C294" s="69" t="s">
        <v>451</v>
      </c>
      <c r="D294" s="68" t="s">
        <v>68</v>
      </c>
      <c r="E294" s="90">
        <v>1</v>
      </c>
      <c r="F294" s="55">
        <v>396.09</v>
      </c>
      <c r="G294" s="54">
        <f>TRUNC(E294*F294,2)</f>
        <v>396.09</v>
      </c>
      <c r="H294" s="54"/>
      <c r="I294" s="55"/>
      <c r="J294" s="101">
        <v>1</v>
      </c>
    </row>
    <row r="295" spans="1:10" s="101" customFormat="1" ht="27">
      <c r="A295" s="68"/>
      <c r="B295" s="161" t="s">
        <v>279</v>
      </c>
      <c r="C295" s="69" t="s">
        <v>452</v>
      </c>
      <c r="D295" s="68" t="s">
        <v>68</v>
      </c>
      <c r="E295" s="90">
        <v>1</v>
      </c>
      <c r="F295" s="55">
        <v>575.64</v>
      </c>
      <c r="G295" s="54">
        <f>TRUNC(E295*F295,2)</f>
        <v>575.64</v>
      </c>
      <c r="H295" s="54"/>
      <c r="I295" s="55"/>
      <c r="J295" s="101">
        <v>1</v>
      </c>
    </row>
    <row r="296" spans="1:10" s="101" customFormat="1" ht="13.5">
      <c r="A296" s="68"/>
      <c r="B296" s="161" t="s">
        <v>279</v>
      </c>
      <c r="C296" s="69" t="s">
        <v>453</v>
      </c>
      <c r="D296" s="68" t="s">
        <v>68</v>
      </c>
      <c r="E296" s="90">
        <v>1</v>
      </c>
      <c r="F296" s="55">
        <v>289</v>
      </c>
      <c r="G296" s="54">
        <f>TRUNC(E296*F296,2)</f>
        <v>289</v>
      </c>
      <c r="H296" s="54"/>
      <c r="I296" s="55"/>
      <c r="J296" s="101">
        <v>1</v>
      </c>
    </row>
    <row r="297" spans="1:10" s="101" customFormat="1" ht="13.5">
      <c r="A297" s="68"/>
      <c r="B297" s="104"/>
      <c r="C297" s="69"/>
      <c r="D297" s="68"/>
      <c r="E297" s="90" t="s">
        <v>70</v>
      </c>
      <c r="F297" s="55"/>
      <c r="G297" s="54">
        <v>396.09</v>
      </c>
      <c r="H297" s="54"/>
      <c r="I297" s="55"/>
      <c r="J297" s="101" t="s">
        <v>70</v>
      </c>
    </row>
    <row r="298" spans="1:11" s="182" customFormat="1" ht="13.5">
      <c r="A298" s="175" t="s">
        <v>553</v>
      </c>
      <c r="B298" s="184" t="s">
        <v>279</v>
      </c>
      <c r="C298" s="177" t="s">
        <v>454</v>
      </c>
      <c r="D298" s="178" t="s">
        <v>68</v>
      </c>
      <c r="E298" s="179">
        <v>1</v>
      </c>
      <c r="F298" s="180">
        <f>G302</f>
        <v>19</v>
      </c>
      <c r="G298" s="180">
        <f>TRUNC(F298*1.2247,2)</f>
        <v>23.26</v>
      </c>
      <c r="H298" s="180">
        <f>TRUNC(F298*E298,2)</f>
        <v>19</v>
      </c>
      <c r="I298" s="181">
        <f>TRUNC(E298*G298,2)</f>
        <v>23.26</v>
      </c>
      <c r="J298" s="182">
        <v>1</v>
      </c>
      <c r="K298" s="183"/>
    </row>
    <row r="299" spans="1:10" s="101" customFormat="1" ht="13.5">
      <c r="A299" s="68"/>
      <c r="B299" s="161" t="s">
        <v>279</v>
      </c>
      <c r="C299" s="69" t="s">
        <v>455</v>
      </c>
      <c r="D299" s="68" t="s">
        <v>68</v>
      </c>
      <c r="E299" s="90">
        <v>1</v>
      </c>
      <c r="F299" s="55">
        <v>3.4</v>
      </c>
      <c r="G299" s="54">
        <f>TRUNC(E299*F299,2)</f>
        <v>3.4</v>
      </c>
      <c r="H299" s="54"/>
      <c r="I299" s="55"/>
      <c r="J299" s="101">
        <v>1</v>
      </c>
    </row>
    <row r="300" spans="1:10" s="101" customFormat="1" ht="13.5">
      <c r="A300" s="68"/>
      <c r="B300" s="161" t="s">
        <v>279</v>
      </c>
      <c r="C300" s="69" t="s">
        <v>456</v>
      </c>
      <c r="D300" s="68" t="s">
        <v>68</v>
      </c>
      <c r="E300" s="90">
        <v>1</v>
      </c>
      <c r="F300" s="55">
        <v>27.84</v>
      </c>
      <c r="G300" s="54">
        <f>TRUNC(E300*F300,2)</f>
        <v>27.84</v>
      </c>
      <c r="H300" s="54"/>
      <c r="I300" s="55"/>
      <c r="J300" s="101">
        <v>1</v>
      </c>
    </row>
    <row r="301" spans="1:10" s="101" customFormat="1" ht="13.5">
      <c r="A301" s="68"/>
      <c r="B301" s="161" t="s">
        <v>279</v>
      </c>
      <c r="C301" s="69" t="s">
        <v>457</v>
      </c>
      <c r="D301" s="68" t="s">
        <v>68</v>
      </c>
      <c r="E301" s="90">
        <v>1</v>
      </c>
      <c r="F301" s="55">
        <v>19</v>
      </c>
      <c r="G301" s="54">
        <f>TRUNC(E301*F301,2)</f>
        <v>19</v>
      </c>
      <c r="H301" s="54"/>
      <c r="I301" s="55"/>
      <c r="J301" s="101">
        <v>1</v>
      </c>
    </row>
    <row r="302" spans="1:10" s="101" customFormat="1" ht="13.5">
      <c r="A302" s="68"/>
      <c r="B302" s="104"/>
      <c r="C302" s="69"/>
      <c r="D302" s="68"/>
      <c r="E302" s="90" t="s">
        <v>70</v>
      </c>
      <c r="F302" s="55"/>
      <c r="G302" s="54">
        <f>G301</f>
        <v>19</v>
      </c>
      <c r="H302" s="54"/>
      <c r="I302" s="55"/>
      <c r="J302" s="101" t="s">
        <v>70</v>
      </c>
    </row>
    <row r="303" spans="1:11" s="182" customFormat="1" ht="13.5">
      <c r="A303" s="175" t="s">
        <v>552</v>
      </c>
      <c r="B303" s="184" t="s">
        <v>279</v>
      </c>
      <c r="C303" s="177" t="s">
        <v>458</v>
      </c>
      <c r="D303" s="178" t="s">
        <v>68</v>
      </c>
      <c r="E303" s="179">
        <v>9</v>
      </c>
      <c r="F303" s="180">
        <f>G307</f>
        <v>36.33</v>
      </c>
      <c r="G303" s="180">
        <f>TRUNC(F303*1.2247,2)</f>
        <v>44.49</v>
      </c>
      <c r="H303" s="180">
        <f>TRUNC(F303*E303,2)</f>
        <v>326.97</v>
      </c>
      <c r="I303" s="181">
        <f>TRUNC(E303*G303,2)</f>
        <v>400.41</v>
      </c>
      <c r="J303" s="182">
        <v>9</v>
      </c>
      <c r="K303" s="183"/>
    </row>
    <row r="304" spans="1:10" s="101" customFormat="1" ht="13.5">
      <c r="A304" s="68"/>
      <c r="B304" s="161" t="s">
        <v>279</v>
      </c>
      <c r="C304" s="69" t="s">
        <v>459</v>
      </c>
      <c r="D304" s="68" t="s">
        <v>68</v>
      </c>
      <c r="E304" s="90">
        <v>1</v>
      </c>
      <c r="F304" s="55">
        <v>36.33</v>
      </c>
      <c r="G304" s="54">
        <f>TRUNC(E304*F304,2)</f>
        <v>36.33</v>
      </c>
      <c r="H304" s="54"/>
      <c r="I304" s="55"/>
      <c r="J304" s="101">
        <v>1</v>
      </c>
    </row>
    <row r="305" spans="1:10" s="101" customFormat="1" ht="13.5">
      <c r="A305" s="68"/>
      <c r="B305" s="161" t="s">
        <v>279</v>
      </c>
      <c r="C305" s="69" t="s">
        <v>460</v>
      </c>
      <c r="D305" s="68" t="s">
        <v>68</v>
      </c>
      <c r="E305" s="90">
        <v>1</v>
      </c>
      <c r="F305" s="55">
        <v>40.75</v>
      </c>
      <c r="G305" s="54">
        <f>TRUNC(E305*F305,2)</f>
        <v>40.75</v>
      </c>
      <c r="H305" s="54"/>
      <c r="I305" s="55"/>
      <c r="J305" s="101">
        <v>1</v>
      </c>
    </row>
    <row r="306" spans="1:10" s="101" customFormat="1" ht="13.5">
      <c r="A306" s="68"/>
      <c r="B306" s="161" t="s">
        <v>279</v>
      </c>
      <c r="C306" s="69" t="s">
        <v>461</v>
      </c>
      <c r="D306" s="68" t="s">
        <v>68</v>
      </c>
      <c r="E306" s="90">
        <v>1</v>
      </c>
      <c r="F306" s="55">
        <v>29.66</v>
      </c>
      <c r="G306" s="54">
        <f>TRUNC(E306*F306,2)</f>
        <v>29.66</v>
      </c>
      <c r="H306" s="54"/>
      <c r="I306" s="55"/>
      <c r="J306" s="101">
        <v>1</v>
      </c>
    </row>
    <row r="307" spans="1:10" s="101" customFormat="1" ht="13.5">
      <c r="A307" s="68"/>
      <c r="B307" s="104"/>
      <c r="C307" s="69"/>
      <c r="D307" s="68"/>
      <c r="E307" s="90" t="s">
        <v>70</v>
      </c>
      <c r="F307" s="55"/>
      <c r="G307" s="54">
        <f>G304</f>
        <v>36.33</v>
      </c>
      <c r="H307" s="54"/>
      <c r="I307" s="55"/>
      <c r="J307" s="101" t="s">
        <v>70</v>
      </c>
    </row>
    <row r="308" spans="1:11" s="182" customFormat="1" ht="27">
      <c r="A308" s="175" t="s">
        <v>554</v>
      </c>
      <c r="B308" s="176" t="s">
        <v>462</v>
      </c>
      <c r="C308" s="177" t="s">
        <v>463</v>
      </c>
      <c r="D308" s="178" t="s">
        <v>68</v>
      </c>
      <c r="E308" s="179">
        <v>9</v>
      </c>
      <c r="F308" s="180">
        <f>TRUNC(G311,2)</f>
        <v>25.71</v>
      </c>
      <c r="G308" s="180">
        <f>TRUNC(F308*1.2247,2)</f>
        <v>31.48</v>
      </c>
      <c r="H308" s="180">
        <f>TRUNC(F308*E308,2)</f>
        <v>231.39</v>
      </c>
      <c r="I308" s="181">
        <f>TRUNC(E308*G308,2)</f>
        <v>283.32</v>
      </c>
      <c r="J308" s="182">
        <v>9</v>
      </c>
      <c r="K308" s="183"/>
    </row>
    <row r="309" spans="1:10" s="101" customFormat="1" ht="27">
      <c r="A309" s="68"/>
      <c r="B309" s="104" t="s">
        <v>464</v>
      </c>
      <c r="C309" s="69" t="s">
        <v>465</v>
      </c>
      <c r="D309" s="68" t="s">
        <v>68</v>
      </c>
      <c r="E309" s="90">
        <v>1</v>
      </c>
      <c r="F309" s="55">
        <f>TRUNC(18.11,2)</f>
        <v>18.11</v>
      </c>
      <c r="G309" s="54">
        <f>TRUNC(E309*F309,2)</f>
        <v>18.11</v>
      </c>
      <c r="H309" s="54"/>
      <c r="I309" s="55"/>
      <c r="J309" s="101">
        <v>1</v>
      </c>
    </row>
    <row r="310" spans="1:10" s="101" customFormat="1" ht="27">
      <c r="A310" s="68"/>
      <c r="B310" s="104" t="s">
        <v>466</v>
      </c>
      <c r="C310" s="69" t="s">
        <v>467</v>
      </c>
      <c r="D310" s="68" t="s">
        <v>68</v>
      </c>
      <c r="E310" s="90">
        <v>1</v>
      </c>
      <c r="F310" s="55">
        <f>TRUNC(7.6,2)</f>
        <v>7.6</v>
      </c>
      <c r="G310" s="54">
        <f>TRUNC(E310*F310,2)</f>
        <v>7.6</v>
      </c>
      <c r="H310" s="54"/>
      <c r="I310" s="55"/>
      <c r="J310" s="101">
        <v>1</v>
      </c>
    </row>
    <row r="311" spans="1:10" s="101" customFormat="1" ht="13.5">
      <c r="A311" s="68"/>
      <c r="B311" s="104"/>
      <c r="C311" s="69"/>
      <c r="D311" s="68"/>
      <c r="E311" s="90" t="s">
        <v>70</v>
      </c>
      <c r="F311" s="55"/>
      <c r="G311" s="54">
        <f>TRUNC(SUM(G309:G310),2)</f>
        <v>25.71</v>
      </c>
      <c r="H311" s="54"/>
      <c r="I311" s="55"/>
      <c r="J311" s="101" t="s">
        <v>70</v>
      </c>
    </row>
    <row r="312" spans="1:11" s="182" customFormat="1" ht="27">
      <c r="A312" s="175" t="s">
        <v>555</v>
      </c>
      <c r="B312" s="176" t="s">
        <v>468</v>
      </c>
      <c r="C312" s="177" t="s">
        <v>469</v>
      </c>
      <c r="D312" s="178" t="s">
        <v>68</v>
      </c>
      <c r="E312" s="179">
        <v>1</v>
      </c>
      <c r="F312" s="180">
        <f>TRUNC(G315,2)</f>
        <v>40.6</v>
      </c>
      <c r="G312" s="180">
        <f>TRUNC(F312*1.2247,2)</f>
        <v>49.72</v>
      </c>
      <c r="H312" s="180">
        <f>TRUNC(F312*E312,2)</f>
        <v>40.6</v>
      </c>
      <c r="I312" s="181">
        <f>TRUNC(E312*G312,2)</f>
        <v>49.72</v>
      </c>
      <c r="J312" s="182">
        <v>1</v>
      </c>
      <c r="K312" s="183"/>
    </row>
    <row r="313" spans="1:10" s="101" customFormat="1" ht="27">
      <c r="A313" s="68"/>
      <c r="B313" s="104" t="s">
        <v>470</v>
      </c>
      <c r="C313" s="69" t="s">
        <v>471</v>
      </c>
      <c r="D313" s="68" t="s">
        <v>68</v>
      </c>
      <c r="E313" s="90">
        <v>1</v>
      </c>
      <c r="F313" s="55">
        <f>TRUNC(33,2)</f>
        <v>33</v>
      </c>
      <c r="G313" s="54">
        <f>TRUNC(E313*F313,2)</f>
        <v>33</v>
      </c>
      <c r="H313" s="54"/>
      <c r="I313" s="55"/>
      <c r="J313" s="101">
        <v>1</v>
      </c>
    </row>
    <row r="314" spans="1:10" s="101" customFormat="1" ht="27">
      <c r="A314" s="68"/>
      <c r="B314" s="104" t="s">
        <v>466</v>
      </c>
      <c r="C314" s="69" t="s">
        <v>467</v>
      </c>
      <c r="D314" s="68" t="s">
        <v>68</v>
      </c>
      <c r="E314" s="90">
        <v>1</v>
      </c>
      <c r="F314" s="55">
        <f>TRUNC(7.6,2)</f>
        <v>7.6</v>
      </c>
      <c r="G314" s="54">
        <f>TRUNC(E314*F314,2)</f>
        <v>7.6</v>
      </c>
      <c r="H314" s="54"/>
      <c r="I314" s="55"/>
      <c r="J314" s="101">
        <v>1</v>
      </c>
    </row>
    <row r="315" spans="1:10" s="101" customFormat="1" ht="13.5">
      <c r="A315" s="68"/>
      <c r="B315" s="104"/>
      <c r="C315" s="69"/>
      <c r="D315" s="68"/>
      <c r="E315" s="90" t="s">
        <v>70</v>
      </c>
      <c r="F315" s="55"/>
      <c r="G315" s="54">
        <f>TRUNC(SUM(G313:G314),2)</f>
        <v>40.6</v>
      </c>
      <c r="H315" s="54"/>
      <c r="I315" s="55"/>
      <c r="J315" s="101" t="s">
        <v>70</v>
      </c>
    </row>
    <row r="316" spans="1:11" s="182" customFormat="1" ht="27">
      <c r="A316" s="175" t="s">
        <v>556</v>
      </c>
      <c r="B316" s="176" t="s">
        <v>472</v>
      </c>
      <c r="C316" s="177" t="s">
        <v>473</v>
      </c>
      <c r="D316" s="178" t="s">
        <v>68</v>
      </c>
      <c r="E316" s="179">
        <v>53</v>
      </c>
      <c r="F316" s="180">
        <f>TRUNC(G319,2)</f>
        <v>31.04</v>
      </c>
      <c r="G316" s="180">
        <f>TRUNC(F316*1.2247,2)</f>
        <v>38.01</v>
      </c>
      <c r="H316" s="180">
        <f>TRUNC(F316*E316,2)</f>
        <v>1645.12</v>
      </c>
      <c r="I316" s="181">
        <f>TRUNC(E316*G316,2)</f>
        <v>2014.53</v>
      </c>
      <c r="J316" s="182">
        <v>53</v>
      </c>
      <c r="K316" s="183"/>
    </row>
    <row r="317" spans="1:10" s="101" customFormat="1" ht="27">
      <c r="A317" s="68"/>
      <c r="B317" s="104" t="s">
        <v>474</v>
      </c>
      <c r="C317" s="69" t="s">
        <v>475</v>
      </c>
      <c r="D317" s="68" t="s">
        <v>68</v>
      </c>
      <c r="E317" s="90">
        <v>1</v>
      </c>
      <c r="F317" s="55">
        <f>TRUNC(23.44,2)</f>
        <v>23.44</v>
      </c>
      <c r="G317" s="54">
        <f>TRUNC(E317*F317,2)</f>
        <v>23.44</v>
      </c>
      <c r="H317" s="54"/>
      <c r="I317" s="55"/>
      <c r="J317" s="101">
        <v>1</v>
      </c>
    </row>
    <row r="318" spans="1:10" s="101" customFormat="1" ht="27">
      <c r="A318" s="68"/>
      <c r="B318" s="104" t="s">
        <v>466</v>
      </c>
      <c r="C318" s="69" t="s">
        <v>467</v>
      </c>
      <c r="D318" s="68" t="s">
        <v>68</v>
      </c>
      <c r="E318" s="90">
        <v>1</v>
      </c>
      <c r="F318" s="55">
        <f>TRUNC(7.6,2)</f>
        <v>7.6</v>
      </c>
      <c r="G318" s="54">
        <f>TRUNC(E318*F318,2)</f>
        <v>7.6</v>
      </c>
      <c r="H318" s="54"/>
      <c r="I318" s="55"/>
      <c r="J318" s="101">
        <v>1</v>
      </c>
    </row>
    <row r="319" spans="1:10" s="101" customFormat="1" ht="13.5">
      <c r="A319" s="68"/>
      <c r="B319" s="104"/>
      <c r="C319" s="69"/>
      <c r="D319" s="68"/>
      <c r="E319" s="90" t="s">
        <v>70</v>
      </c>
      <c r="F319" s="55"/>
      <c r="G319" s="54">
        <f>TRUNC(SUM(G317:G318),2)</f>
        <v>31.04</v>
      </c>
      <c r="H319" s="54"/>
      <c r="I319" s="55"/>
      <c r="J319" s="101" t="s">
        <v>70</v>
      </c>
    </row>
    <row r="320" spans="1:11" s="182" customFormat="1" ht="27">
      <c r="A320" s="175" t="s">
        <v>557</v>
      </c>
      <c r="B320" s="176" t="s">
        <v>476</v>
      </c>
      <c r="C320" s="177" t="s">
        <v>477</v>
      </c>
      <c r="D320" s="178" t="s">
        <v>68</v>
      </c>
      <c r="E320" s="179">
        <v>2</v>
      </c>
      <c r="F320" s="180">
        <f>TRUNC(G323,2)</f>
        <v>51.18</v>
      </c>
      <c r="G320" s="180">
        <f>TRUNC(F320*1.2247,2)</f>
        <v>62.68</v>
      </c>
      <c r="H320" s="180">
        <f>TRUNC(F320*E320,2)</f>
        <v>102.36</v>
      </c>
      <c r="I320" s="181">
        <f>TRUNC(E320*G320,2)</f>
        <v>125.36</v>
      </c>
      <c r="J320" s="182">
        <v>2</v>
      </c>
      <c r="K320" s="183"/>
    </row>
    <row r="321" spans="1:10" s="101" customFormat="1" ht="27">
      <c r="A321" s="68"/>
      <c r="B321" s="104" t="s">
        <v>478</v>
      </c>
      <c r="C321" s="69" t="s">
        <v>479</v>
      </c>
      <c r="D321" s="68" t="s">
        <v>68</v>
      </c>
      <c r="E321" s="90">
        <v>1</v>
      </c>
      <c r="F321" s="55">
        <f>TRUNC(43.58,2)</f>
        <v>43.58</v>
      </c>
      <c r="G321" s="54">
        <f>TRUNC(E321*F321,2)</f>
        <v>43.58</v>
      </c>
      <c r="H321" s="54"/>
      <c r="I321" s="55"/>
      <c r="J321" s="101">
        <v>1</v>
      </c>
    </row>
    <row r="322" spans="1:10" s="101" customFormat="1" ht="27">
      <c r="A322" s="68"/>
      <c r="B322" s="104" t="s">
        <v>466</v>
      </c>
      <c r="C322" s="69" t="s">
        <v>467</v>
      </c>
      <c r="D322" s="68" t="s">
        <v>68</v>
      </c>
      <c r="E322" s="90">
        <v>1</v>
      </c>
      <c r="F322" s="55">
        <f>TRUNC(7.6,2)</f>
        <v>7.6</v>
      </c>
      <c r="G322" s="54">
        <f>TRUNC(E322*F322,2)</f>
        <v>7.6</v>
      </c>
      <c r="H322" s="54"/>
      <c r="I322" s="55"/>
      <c r="J322" s="101">
        <v>1</v>
      </c>
    </row>
    <row r="323" spans="1:10" s="101" customFormat="1" ht="13.5">
      <c r="A323" s="68"/>
      <c r="B323" s="104"/>
      <c r="C323" s="69"/>
      <c r="D323" s="68"/>
      <c r="E323" s="90" t="s">
        <v>70</v>
      </c>
      <c r="F323" s="55"/>
      <c r="G323" s="54">
        <f>TRUNC(SUM(G321:G322),2)</f>
        <v>51.18</v>
      </c>
      <c r="H323" s="54"/>
      <c r="I323" s="55"/>
      <c r="J323" s="101" t="s">
        <v>70</v>
      </c>
    </row>
    <row r="324" spans="1:11" s="182" customFormat="1" ht="27">
      <c r="A324" s="175" t="s">
        <v>558</v>
      </c>
      <c r="B324" s="176" t="s">
        <v>480</v>
      </c>
      <c r="C324" s="177" t="s">
        <v>481</v>
      </c>
      <c r="D324" s="178" t="s">
        <v>68</v>
      </c>
      <c r="E324" s="179">
        <v>15</v>
      </c>
      <c r="F324" s="180">
        <f>TRUNC(G327,2)</f>
        <v>113.01</v>
      </c>
      <c r="G324" s="180">
        <f>TRUNC(F324*1.2247,2)</f>
        <v>138.4</v>
      </c>
      <c r="H324" s="180">
        <f>TRUNC(F324*E324,2)</f>
        <v>1695.15</v>
      </c>
      <c r="I324" s="181">
        <f>TRUNC(E324*G324,2)</f>
        <v>2076</v>
      </c>
      <c r="J324" s="182">
        <v>15</v>
      </c>
      <c r="K324" s="183"/>
    </row>
    <row r="325" spans="1:10" s="101" customFormat="1" ht="27">
      <c r="A325" s="68"/>
      <c r="B325" s="104" t="s">
        <v>482</v>
      </c>
      <c r="C325" s="69" t="s">
        <v>483</v>
      </c>
      <c r="D325" s="68" t="s">
        <v>68</v>
      </c>
      <c r="E325" s="90">
        <v>1</v>
      </c>
      <c r="F325" s="55">
        <f>TRUNC(100.06,2)</f>
        <v>100.06</v>
      </c>
      <c r="G325" s="54">
        <f>TRUNC(E325*F325,2)</f>
        <v>100.06</v>
      </c>
      <c r="H325" s="54"/>
      <c r="I325" s="55"/>
      <c r="J325" s="101">
        <v>1</v>
      </c>
    </row>
    <row r="326" spans="1:10" s="101" customFormat="1" ht="13.5">
      <c r="A326" s="68"/>
      <c r="B326" s="104" t="s">
        <v>150</v>
      </c>
      <c r="C326" s="69" t="s">
        <v>151</v>
      </c>
      <c r="D326" s="68" t="s">
        <v>27</v>
      </c>
      <c r="E326" s="90">
        <v>0.5665000000000001</v>
      </c>
      <c r="F326" s="55">
        <f>TRUNC(22.86,2)</f>
        <v>22.86</v>
      </c>
      <c r="G326" s="54">
        <f>TRUNC(E326*F326,2)</f>
        <v>12.95</v>
      </c>
      <c r="H326" s="54"/>
      <c r="I326" s="55"/>
      <c r="J326" s="101">
        <v>0.5665000000000001</v>
      </c>
    </row>
    <row r="327" spans="1:10" s="101" customFormat="1" ht="13.5">
      <c r="A327" s="68"/>
      <c r="B327" s="104"/>
      <c r="C327" s="69"/>
      <c r="D327" s="68"/>
      <c r="E327" s="90" t="s">
        <v>70</v>
      </c>
      <c r="F327" s="55"/>
      <c r="G327" s="54">
        <f>TRUNC(SUM(G325:G326),2)</f>
        <v>113.01</v>
      </c>
      <c r="H327" s="54"/>
      <c r="I327" s="55"/>
      <c r="J327" s="101" t="s">
        <v>70</v>
      </c>
    </row>
    <row r="328" spans="1:11" s="182" customFormat="1" ht="41.25">
      <c r="A328" s="175" t="s">
        <v>559</v>
      </c>
      <c r="B328" s="176" t="s">
        <v>484</v>
      </c>
      <c r="C328" s="177" t="s">
        <v>485</v>
      </c>
      <c r="D328" s="178" t="s">
        <v>68</v>
      </c>
      <c r="E328" s="179">
        <v>36</v>
      </c>
      <c r="F328" s="180">
        <f>TRUNC(G336,2)</f>
        <v>92.93</v>
      </c>
      <c r="G328" s="180">
        <f>TRUNC(F328*1.2247,2)</f>
        <v>113.81</v>
      </c>
      <c r="H328" s="180">
        <f>TRUNC(F328*E328,2)</f>
        <v>3345.48</v>
      </c>
      <c r="I328" s="181">
        <f>TRUNC(E328*G328,2)</f>
        <v>4097.16</v>
      </c>
      <c r="J328" s="182">
        <v>36</v>
      </c>
      <c r="K328" s="183"/>
    </row>
    <row r="329" spans="1:10" s="101" customFormat="1" ht="27">
      <c r="A329" s="68"/>
      <c r="B329" s="104" t="s">
        <v>486</v>
      </c>
      <c r="C329" s="69" t="s">
        <v>487</v>
      </c>
      <c r="D329" s="68" t="s">
        <v>68</v>
      </c>
      <c r="E329" s="90">
        <v>1</v>
      </c>
      <c r="F329" s="55">
        <f>TRUNC(14.28,2)</f>
        <v>14.28</v>
      </c>
      <c r="G329" s="54">
        <f aca="true" t="shared" si="11" ref="G329:G335">TRUNC(E329*F329,2)</f>
        <v>14.28</v>
      </c>
      <c r="H329" s="54"/>
      <c r="I329" s="55"/>
      <c r="J329" s="101">
        <v>1</v>
      </c>
    </row>
    <row r="330" spans="1:10" s="101" customFormat="1" ht="13.5">
      <c r="A330" s="68"/>
      <c r="B330" s="104" t="s">
        <v>488</v>
      </c>
      <c r="C330" s="69" t="s">
        <v>489</v>
      </c>
      <c r="D330" s="68" t="s">
        <v>68</v>
      </c>
      <c r="E330" s="90">
        <v>1</v>
      </c>
      <c r="F330" s="55">
        <f>TRUNC(2.58,2)</f>
        <v>2.58</v>
      </c>
      <c r="G330" s="54">
        <f t="shared" si="11"/>
        <v>2.58</v>
      </c>
      <c r="H330" s="54"/>
      <c r="I330" s="55"/>
      <c r="J330" s="101">
        <v>1</v>
      </c>
    </row>
    <row r="331" spans="1:10" s="101" customFormat="1" ht="27">
      <c r="A331" s="68"/>
      <c r="B331" s="104" t="s">
        <v>490</v>
      </c>
      <c r="C331" s="69" t="s">
        <v>491</v>
      </c>
      <c r="D331" s="68" t="s">
        <v>68</v>
      </c>
      <c r="E331" s="90">
        <v>1</v>
      </c>
      <c r="F331" s="55">
        <f>TRUNC(15,2)</f>
        <v>15</v>
      </c>
      <c r="G331" s="54">
        <f t="shared" si="11"/>
        <v>15</v>
      </c>
      <c r="H331" s="54"/>
      <c r="I331" s="55"/>
      <c r="J331" s="101">
        <v>1</v>
      </c>
    </row>
    <row r="332" spans="1:10" s="101" customFormat="1" ht="13.5">
      <c r="A332" s="68"/>
      <c r="B332" s="104" t="s">
        <v>492</v>
      </c>
      <c r="C332" s="69" t="s">
        <v>493</v>
      </c>
      <c r="D332" s="68" t="s">
        <v>68</v>
      </c>
      <c r="E332" s="90">
        <v>2</v>
      </c>
      <c r="F332" s="55">
        <f>TRUNC(2.27,2)</f>
        <v>2.27</v>
      </c>
      <c r="G332" s="54">
        <f t="shared" si="11"/>
        <v>4.54</v>
      </c>
      <c r="H332" s="54"/>
      <c r="I332" s="55"/>
      <c r="J332" s="101">
        <v>2</v>
      </c>
    </row>
    <row r="333" spans="1:10" s="101" customFormat="1" ht="13.5">
      <c r="A333" s="68"/>
      <c r="B333" s="104" t="s">
        <v>494</v>
      </c>
      <c r="C333" s="69" t="s">
        <v>495</v>
      </c>
      <c r="D333" s="68" t="s">
        <v>68</v>
      </c>
      <c r="E333" s="90">
        <v>1</v>
      </c>
      <c r="F333" s="55">
        <f>TRUNC(9.86,2)</f>
        <v>9.86</v>
      </c>
      <c r="G333" s="54">
        <f t="shared" si="11"/>
        <v>9.86</v>
      </c>
      <c r="H333" s="54"/>
      <c r="I333" s="55"/>
      <c r="J333" s="101">
        <v>1</v>
      </c>
    </row>
    <row r="334" spans="1:10" s="101" customFormat="1" ht="13.5">
      <c r="A334" s="68"/>
      <c r="B334" s="104" t="s">
        <v>143</v>
      </c>
      <c r="C334" s="69" t="s">
        <v>144</v>
      </c>
      <c r="D334" s="68" t="s">
        <v>27</v>
      </c>
      <c r="E334" s="90">
        <v>1.1844999999999999</v>
      </c>
      <c r="F334" s="55">
        <f>TRUNC(16.55,2)</f>
        <v>16.55</v>
      </c>
      <c r="G334" s="54">
        <f t="shared" si="11"/>
        <v>19.6</v>
      </c>
      <c r="H334" s="54"/>
      <c r="I334" s="55"/>
      <c r="J334" s="101">
        <v>1.1844999999999999</v>
      </c>
    </row>
    <row r="335" spans="1:10" s="101" customFormat="1" ht="13.5">
      <c r="A335" s="68"/>
      <c r="B335" s="104" t="s">
        <v>150</v>
      </c>
      <c r="C335" s="69" t="s">
        <v>151</v>
      </c>
      <c r="D335" s="68" t="s">
        <v>27</v>
      </c>
      <c r="E335" s="90">
        <v>1.1844999999999999</v>
      </c>
      <c r="F335" s="55">
        <f>TRUNC(22.86,2)</f>
        <v>22.86</v>
      </c>
      <c r="G335" s="54">
        <f t="shared" si="11"/>
        <v>27.07</v>
      </c>
      <c r="H335" s="54"/>
      <c r="I335" s="55"/>
      <c r="J335" s="101">
        <v>1.1844999999999999</v>
      </c>
    </row>
    <row r="336" spans="1:10" s="101" customFormat="1" ht="13.5">
      <c r="A336" s="68"/>
      <c r="B336" s="104"/>
      <c r="C336" s="69"/>
      <c r="D336" s="68"/>
      <c r="E336" s="90" t="s">
        <v>70</v>
      </c>
      <c r="F336" s="55"/>
      <c r="G336" s="54">
        <f>TRUNC(SUM(G329:G335),2)</f>
        <v>92.93</v>
      </c>
      <c r="H336" s="54"/>
      <c r="I336" s="55"/>
      <c r="J336" s="101" t="s">
        <v>70</v>
      </c>
    </row>
    <row r="337" spans="1:11" s="182" customFormat="1" ht="27">
      <c r="A337" s="175" t="s">
        <v>560</v>
      </c>
      <c r="B337" s="176" t="s">
        <v>496</v>
      </c>
      <c r="C337" s="177" t="s">
        <v>497</v>
      </c>
      <c r="D337" s="178" t="s">
        <v>68</v>
      </c>
      <c r="E337" s="179">
        <v>144</v>
      </c>
      <c r="F337" s="180">
        <f>TRUNC(G342,2)</f>
        <v>16</v>
      </c>
      <c r="G337" s="180">
        <f>TRUNC(F337*1.2247,2)</f>
        <v>19.59</v>
      </c>
      <c r="H337" s="180">
        <f>TRUNC(F337*E337,2)</f>
        <v>2304</v>
      </c>
      <c r="I337" s="181">
        <f>TRUNC(E337*G337,2)</f>
        <v>2820.96</v>
      </c>
      <c r="J337" s="182">
        <v>144</v>
      </c>
      <c r="K337" s="183"/>
    </row>
    <row r="338" spans="1:10" s="101" customFormat="1" ht="13.5">
      <c r="A338" s="68"/>
      <c r="B338" s="104" t="s">
        <v>498</v>
      </c>
      <c r="C338" s="69" t="s">
        <v>499</v>
      </c>
      <c r="D338" s="68" t="s">
        <v>68</v>
      </c>
      <c r="E338" s="90">
        <v>1</v>
      </c>
      <c r="F338" s="55">
        <f>TRUNC(2.15,2)</f>
        <v>2.15</v>
      </c>
      <c r="G338" s="54">
        <f>TRUNC(E338*F338,2)</f>
        <v>2.15</v>
      </c>
      <c r="H338" s="54"/>
      <c r="I338" s="55"/>
      <c r="J338" s="101">
        <v>1</v>
      </c>
    </row>
    <row r="339" spans="1:10" s="101" customFormat="1" ht="13.5">
      <c r="A339" s="68"/>
      <c r="B339" s="104" t="s">
        <v>500</v>
      </c>
      <c r="C339" s="69" t="s">
        <v>133</v>
      </c>
      <c r="D339" s="68" t="s">
        <v>27</v>
      </c>
      <c r="E339" s="90">
        <v>0.247</v>
      </c>
      <c r="F339" s="55">
        <f>TRUNC(30.39,2)</f>
        <v>30.39</v>
      </c>
      <c r="G339" s="54">
        <f>TRUNC(E339*F339,2)</f>
        <v>7.5</v>
      </c>
      <c r="H339" s="54"/>
      <c r="I339" s="55"/>
      <c r="J339" s="101">
        <v>0.247</v>
      </c>
    </row>
    <row r="340" spans="1:10" s="101" customFormat="1" ht="13.5">
      <c r="A340" s="68"/>
      <c r="B340" s="104" t="s">
        <v>501</v>
      </c>
      <c r="C340" s="69" t="s">
        <v>134</v>
      </c>
      <c r="D340" s="68" t="s">
        <v>27</v>
      </c>
      <c r="E340" s="90">
        <v>0.247</v>
      </c>
      <c r="F340" s="55">
        <f>TRUNC(23.64,2)</f>
        <v>23.64</v>
      </c>
      <c r="G340" s="54">
        <f>TRUNC(E340*F340,2)</f>
        <v>5.83</v>
      </c>
      <c r="H340" s="54"/>
      <c r="I340" s="55"/>
      <c r="J340" s="101">
        <v>0.247</v>
      </c>
    </row>
    <row r="341" spans="1:10" s="101" customFormat="1" ht="27">
      <c r="A341" s="68"/>
      <c r="B341" s="104" t="s">
        <v>502</v>
      </c>
      <c r="C341" s="69" t="s">
        <v>503</v>
      </c>
      <c r="D341" s="68" t="s">
        <v>26</v>
      </c>
      <c r="E341" s="90">
        <v>0.0009</v>
      </c>
      <c r="F341" s="55">
        <f>TRUNC(580.66,2)</f>
        <v>580.66</v>
      </c>
      <c r="G341" s="54">
        <f>TRUNC(E341*F341,2)</f>
        <v>0.52</v>
      </c>
      <c r="H341" s="54"/>
      <c r="I341" s="55"/>
      <c r="J341" s="101">
        <v>0.0009</v>
      </c>
    </row>
    <row r="342" spans="1:10" s="101" customFormat="1" ht="13.5">
      <c r="A342" s="68"/>
      <c r="B342" s="104"/>
      <c r="C342" s="69"/>
      <c r="D342" s="68"/>
      <c r="E342" s="90" t="s">
        <v>70</v>
      </c>
      <c r="F342" s="55"/>
      <c r="G342" s="54">
        <f>TRUNC(SUM(G338:G341),2)</f>
        <v>16</v>
      </c>
      <c r="H342" s="54"/>
      <c r="I342" s="55"/>
      <c r="J342" s="101" t="s">
        <v>70</v>
      </c>
    </row>
    <row r="343" spans="1:11" s="182" customFormat="1" ht="27">
      <c r="A343" s="175" t="s">
        <v>561</v>
      </c>
      <c r="B343" s="176" t="s">
        <v>504</v>
      </c>
      <c r="C343" s="177" t="s">
        <v>505</v>
      </c>
      <c r="D343" s="178" t="s">
        <v>61</v>
      </c>
      <c r="E343" s="179">
        <v>1800</v>
      </c>
      <c r="F343" s="180">
        <f>TRUNC(G348,2)</f>
        <v>4.45</v>
      </c>
      <c r="G343" s="180">
        <f>TRUNC(F343*1.2247,2)</f>
        <v>5.44</v>
      </c>
      <c r="H343" s="180">
        <f>TRUNC(F343*E343,2)</f>
        <v>8010</v>
      </c>
      <c r="I343" s="181">
        <f>TRUNC(E343*G343,2)</f>
        <v>9792</v>
      </c>
      <c r="J343" s="182">
        <v>1800</v>
      </c>
      <c r="K343" s="183"/>
    </row>
    <row r="344" spans="1:10" s="101" customFormat="1" ht="13.5">
      <c r="A344" s="68"/>
      <c r="B344" s="104" t="s">
        <v>506</v>
      </c>
      <c r="C344" s="69" t="s">
        <v>507</v>
      </c>
      <c r="D344" s="68" t="s">
        <v>68</v>
      </c>
      <c r="E344" s="90">
        <v>0.009</v>
      </c>
      <c r="F344" s="55">
        <f>TRUNC(7.48,2)</f>
        <v>7.48</v>
      </c>
      <c r="G344" s="54">
        <f>TRUNC(E344*F344,2)</f>
        <v>0.06</v>
      </c>
      <c r="H344" s="54"/>
      <c r="I344" s="55"/>
      <c r="J344" s="101">
        <v>0.009</v>
      </c>
    </row>
    <row r="345" spans="1:10" s="101" customFormat="1" ht="27">
      <c r="A345" s="68"/>
      <c r="B345" s="104" t="s">
        <v>508</v>
      </c>
      <c r="C345" s="69" t="s">
        <v>509</v>
      </c>
      <c r="D345" s="68" t="s">
        <v>61</v>
      </c>
      <c r="E345" s="90">
        <v>1.19</v>
      </c>
      <c r="F345" s="55">
        <f>TRUNC(2.34,2)</f>
        <v>2.34</v>
      </c>
      <c r="G345" s="54">
        <f>TRUNC(E345*F345,2)</f>
        <v>2.78</v>
      </c>
      <c r="H345" s="54"/>
      <c r="I345" s="55"/>
      <c r="J345" s="101">
        <v>1.19</v>
      </c>
    </row>
    <row r="346" spans="1:10" s="101" customFormat="1" ht="13.5">
      <c r="A346" s="68"/>
      <c r="B346" s="104" t="s">
        <v>500</v>
      </c>
      <c r="C346" s="69" t="s">
        <v>133</v>
      </c>
      <c r="D346" s="68" t="s">
        <v>27</v>
      </c>
      <c r="E346" s="90">
        <v>0.03</v>
      </c>
      <c r="F346" s="55">
        <f>TRUNC(30.39,2)</f>
        <v>30.39</v>
      </c>
      <c r="G346" s="54">
        <f>TRUNC(E346*F346,2)</f>
        <v>0.91</v>
      </c>
      <c r="H346" s="54"/>
      <c r="I346" s="55"/>
      <c r="J346" s="101">
        <v>0.03</v>
      </c>
    </row>
    <row r="347" spans="1:10" s="101" customFormat="1" ht="13.5">
      <c r="A347" s="68"/>
      <c r="B347" s="104" t="s">
        <v>501</v>
      </c>
      <c r="C347" s="69" t="s">
        <v>134</v>
      </c>
      <c r="D347" s="68" t="s">
        <v>27</v>
      </c>
      <c r="E347" s="90">
        <v>0.03</v>
      </c>
      <c r="F347" s="55">
        <f>TRUNC(23.64,2)</f>
        <v>23.64</v>
      </c>
      <c r="G347" s="54">
        <f>TRUNC(E347*F347,2)</f>
        <v>0.7</v>
      </c>
      <c r="H347" s="54"/>
      <c r="I347" s="55"/>
      <c r="J347" s="101">
        <v>0.03</v>
      </c>
    </row>
    <row r="348" spans="1:10" s="101" customFormat="1" ht="13.5">
      <c r="A348" s="68"/>
      <c r="B348" s="104"/>
      <c r="C348" s="69"/>
      <c r="D348" s="68"/>
      <c r="E348" s="90" t="s">
        <v>70</v>
      </c>
      <c r="F348" s="55"/>
      <c r="G348" s="54">
        <f>TRUNC(SUM(G344:G347),2)</f>
        <v>4.45</v>
      </c>
      <c r="H348" s="54"/>
      <c r="I348" s="55"/>
      <c r="J348" s="101" t="s">
        <v>70</v>
      </c>
    </row>
    <row r="349" spans="1:11" s="182" customFormat="1" ht="27">
      <c r="A349" s="175" t="s">
        <v>562</v>
      </c>
      <c r="B349" s="176" t="s">
        <v>510</v>
      </c>
      <c r="C349" s="177" t="s">
        <v>511</v>
      </c>
      <c r="D349" s="178" t="s">
        <v>61</v>
      </c>
      <c r="E349" s="179">
        <v>755</v>
      </c>
      <c r="F349" s="180">
        <f>TRUNC(G354,2)</f>
        <v>7.19</v>
      </c>
      <c r="G349" s="180">
        <f>TRUNC(F349*1.2247,2)</f>
        <v>8.8</v>
      </c>
      <c r="H349" s="180">
        <f>TRUNC(F349*E349,2)</f>
        <v>5428.45</v>
      </c>
      <c r="I349" s="181">
        <f>TRUNC(E349*G349,2)</f>
        <v>6644</v>
      </c>
      <c r="J349" s="182">
        <v>755</v>
      </c>
      <c r="K349" s="183"/>
    </row>
    <row r="350" spans="1:10" s="101" customFormat="1" ht="13.5">
      <c r="A350" s="68"/>
      <c r="B350" s="104" t="s">
        <v>506</v>
      </c>
      <c r="C350" s="69" t="s">
        <v>507</v>
      </c>
      <c r="D350" s="68" t="s">
        <v>68</v>
      </c>
      <c r="E350" s="90">
        <v>0.009</v>
      </c>
      <c r="F350" s="55">
        <f>TRUNC(7.48,2)</f>
        <v>7.48</v>
      </c>
      <c r="G350" s="54">
        <f>TRUNC(E350*F350,2)</f>
        <v>0.06</v>
      </c>
      <c r="H350" s="54"/>
      <c r="I350" s="55"/>
      <c r="J350" s="101">
        <v>0.009</v>
      </c>
    </row>
    <row r="351" spans="1:10" s="101" customFormat="1" ht="27">
      <c r="A351" s="68"/>
      <c r="B351" s="104" t="s">
        <v>512</v>
      </c>
      <c r="C351" s="69" t="s">
        <v>513</v>
      </c>
      <c r="D351" s="68" t="s">
        <v>61</v>
      </c>
      <c r="E351" s="90">
        <v>1.19</v>
      </c>
      <c r="F351" s="55">
        <f>TRUNC(4.19,2)</f>
        <v>4.19</v>
      </c>
      <c r="G351" s="54">
        <f>TRUNC(E351*F351,2)</f>
        <v>4.98</v>
      </c>
      <c r="H351" s="54"/>
      <c r="I351" s="55"/>
      <c r="J351" s="101">
        <v>1.19</v>
      </c>
    </row>
    <row r="352" spans="1:10" s="101" customFormat="1" ht="13.5">
      <c r="A352" s="68"/>
      <c r="B352" s="104" t="s">
        <v>500</v>
      </c>
      <c r="C352" s="69" t="s">
        <v>133</v>
      </c>
      <c r="D352" s="68" t="s">
        <v>27</v>
      </c>
      <c r="E352" s="90">
        <v>0.04</v>
      </c>
      <c r="F352" s="55">
        <f>TRUNC(30.39,2)</f>
        <v>30.39</v>
      </c>
      <c r="G352" s="54">
        <f>TRUNC(E352*F352,2)</f>
        <v>1.21</v>
      </c>
      <c r="H352" s="54"/>
      <c r="I352" s="55"/>
      <c r="J352" s="101">
        <v>0.04</v>
      </c>
    </row>
    <row r="353" spans="1:10" s="101" customFormat="1" ht="13.5">
      <c r="A353" s="68"/>
      <c r="B353" s="104" t="s">
        <v>501</v>
      </c>
      <c r="C353" s="69" t="s">
        <v>134</v>
      </c>
      <c r="D353" s="68" t="s">
        <v>27</v>
      </c>
      <c r="E353" s="90">
        <v>0.04</v>
      </c>
      <c r="F353" s="55">
        <f>TRUNC(23.64,2)</f>
        <v>23.64</v>
      </c>
      <c r="G353" s="54">
        <f>TRUNC(E353*F353,2)</f>
        <v>0.94</v>
      </c>
      <c r="H353" s="54"/>
      <c r="I353" s="55"/>
      <c r="J353" s="101">
        <v>0.04</v>
      </c>
    </row>
    <row r="354" spans="1:10" s="101" customFormat="1" ht="13.5">
      <c r="A354" s="68"/>
      <c r="B354" s="104"/>
      <c r="C354" s="69"/>
      <c r="D354" s="68"/>
      <c r="E354" s="90" t="s">
        <v>70</v>
      </c>
      <c r="F354" s="55"/>
      <c r="G354" s="54">
        <f>TRUNC(SUM(G350:G353),2)</f>
        <v>7.19</v>
      </c>
      <c r="H354" s="54"/>
      <c r="I354" s="55"/>
      <c r="J354" s="101" t="s">
        <v>70</v>
      </c>
    </row>
    <row r="355" spans="1:11" s="182" customFormat="1" ht="27">
      <c r="A355" s="175" t="s">
        <v>563</v>
      </c>
      <c r="B355" s="176" t="s">
        <v>514</v>
      </c>
      <c r="C355" s="177" t="s">
        <v>515</v>
      </c>
      <c r="D355" s="178" t="s">
        <v>61</v>
      </c>
      <c r="E355" s="179">
        <v>35</v>
      </c>
      <c r="F355" s="180">
        <f>TRUNC(G360,2)</f>
        <v>10.62</v>
      </c>
      <c r="G355" s="180">
        <f>TRUNC(F355*1.2247,2)</f>
        <v>13</v>
      </c>
      <c r="H355" s="180">
        <f>TRUNC(F355*E355,2)</f>
        <v>371.7</v>
      </c>
      <c r="I355" s="181">
        <f>TRUNC(E355*G355,2)</f>
        <v>455</v>
      </c>
      <c r="J355" s="182">
        <v>35</v>
      </c>
      <c r="K355" s="183"/>
    </row>
    <row r="356" spans="1:11" s="98" customFormat="1" ht="27">
      <c r="A356" s="158"/>
      <c r="B356" s="86" t="s">
        <v>516</v>
      </c>
      <c r="C356" s="52" t="s">
        <v>517</v>
      </c>
      <c r="D356" s="160" t="s">
        <v>61</v>
      </c>
      <c r="E356" s="53">
        <v>1.1</v>
      </c>
      <c r="F356" s="54">
        <f>TRUNC(3.28,2)</f>
        <v>3.28</v>
      </c>
      <c r="G356" s="54">
        <f>TRUNC(E356*F356,2)</f>
        <v>3.6</v>
      </c>
      <c r="H356" s="54"/>
      <c r="I356" s="55"/>
      <c r="J356" s="98">
        <v>1.1</v>
      </c>
      <c r="K356" s="70"/>
    </row>
    <row r="357" spans="1:11" s="98" customFormat="1" ht="13.5">
      <c r="A357" s="158"/>
      <c r="B357" s="86" t="s">
        <v>500</v>
      </c>
      <c r="C357" s="52" t="s">
        <v>133</v>
      </c>
      <c r="D357" s="160" t="s">
        <v>27</v>
      </c>
      <c r="E357" s="53">
        <v>0.07</v>
      </c>
      <c r="F357" s="54">
        <f>TRUNC(30.39,2)</f>
        <v>30.39</v>
      </c>
      <c r="G357" s="54">
        <f>TRUNC(E357*F357,2)</f>
        <v>2.12</v>
      </c>
      <c r="H357" s="54"/>
      <c r="I357" s="55"/>
      <c r="J357" s="98">
        <v>0.07</v>
      </c>
      <c r="K357" s="70"/>
    </row>
    <row r="358" spans="1:11" s="98" customFormat="1" ht="13.5">
      <c r="A358" s="158"/>
      <c r="B358" s="86" t="s">
        <v>501</v>
      </c>
      <c r="C358" s="52" t="s">
        <v>134</v>
      </c>
      <c r="D358" s="160" t="s">
        <v>27</v>
      </c>
      <c r="E358" s="53">
        <v>0.07</v>
      </c>
      <c r="F358" s="54">
        <f>TRUNC(23.64,2)</f>
        <v>23.64</v>
      </c>
      <c r="G358" s="54">
        <f>TRUNC(E358*F358,2)</f>
        <v>1.65</v>
      </c>
      <c r="H358" s="54"/>
      <c r="I358" s="55"/>
      <c r="J358" s="98">
        <v>0.07</v>
      </c>
      <c r="K358" s="70"/>
    </row>
    <row r="359" spans="1:11" s="98" customFormat="1" ht="41.25">
      <c r="A359" s="158"/>
      <c r="B359" s="86" t="s">
        <v>518</v>
      </c>
      <c r="C359" s="52" t="s">
        <v>519</v>
      </c>
      <c r="D359" s="160" t="s">
        <v>61</v>
      </c>
      <c r="E359" s="53">
        <v>1</v>
      </c>
      <c r="F359" s="54">
        <f>TRUNC(3.25,2)</f>
        <v>3.25</v>
      </c>
      <c r="G359" s="54">
        <f>TRUNC(E359*F359,2)</f>
        <v>3.25</v>
      </c>
      <c r="H359" s="54"/>
      <c r="I359" s="55"/>
      <c r="J359" s="98">
        <v>1</v>
      </c>
      <c r="K359" s="70"/>
    </row>
    <row r="360" spans="1:11" s="98" customFormat="1" ht="13.5">
      <c r="A360" s="158"/>
      <c r="B360" s="86"/>
      <c r="C360" s="52"/>
      <c r="D360" s="160"/>
      <c r="E360" s="53" t="s">
        <v>70</v>
      </c>
      <c r="F360" s="54"/>
      <c r="G360" s="54">
        <f>TRUNC(SUM(G356:G359),2)</f>
        <v>10.62</v>
      </c>
      <c r="H360" s="54"/>
      <c r="I360" s="55"/>
      <c r="J360" s="98" t="s">
        <v>70</v>
      </c>
      <c r="K360" s="70"/>
    </row>
    <row r="361" spans="1:11" s="182" customFormat="1" ht="27">
      <c r="A361" s="175" t="s">
        <v>564</v>
      </c>
      <c r="B361" s="176" t="s">
        <v>520</v>
      </c>
      <c r="C361" s="177" t="s">
        <v>521</v>
      </c>
      <c r="D361" s="178" t="s">
        <v>61</v>
      </c>
      <c r="E361" s="179">
        <v>5</v>
      </c>
      <c r="F361" s="180">
        <f>TRUNC(G366,2)</f>
        <v>15.05</v>
      </c>
      <c r="G361" s="180">
        <f>TRUNC(F361*1.2247,2)</f>
        <v>18.43</v>
      </c>
      <c r="H361" s="180">
        <f>TRUNC(F361*E361,2)</f>
        <v>75.25</v>
      </c>
      <c r="I361" s="181">
        <f>TRUNC(E361*G361,2)</f>
        <v>92.15</v>
      </c>
      <c r="J361" s="182">
        <v>5</v>
      </c>
      <c r="K361" s="183"/>
    </row>
    <row r="362" spans="1:10" s="101" customFormat="1" ht="27">
      <c r="A362" s="68"/>
      <c r="B362" s="104" t="s">
        <v>522</v>
      </c>
      <c r="C362" s="69" t="s">
        <v>523</v>
      </c>
      <c r="D362" s="68" t="s">
        <v>61</v>
      </c>
      <c r="E362" s="90">
        <v>1.1</v>
      </c>
      <c r="F362" s="55">
        <f>TRUNC(6.32,2)</f>
        <v>6.32</v>
      </c>
      <c r="G362" s="54">
        <f>TRUNC(E362*F362,2)</f>
        <v>6.95</v>
      </c>
      <c r="H362" s="54"/>
      <c r="I362" s="55"/>
      <c r="J362" s="101">
        <v>1.1</v>
      </c>
    </row>
    <row r="363" spans="1:10" s="101" customFormat="1" ht="13.5">
      <c r="A363" s="68"/>
      <c r="B363" s="104" t="s">
        <v>500</v>
      </c>
      <c r="C363" s="69" t="s">
        <v>133</v>
      </c>
      <c r="D363" s="68" t="s">
        <v>27</v>
      </c>
      <c r="E363" s="90">
        <v>0.09</v>
      </c>
      <c r="F363" s="55">
        <f>TRUNC(30.39,2)</f>
        <v>30.39</v>
      </c>
      <c r="G363" s="54">
        <f>TRUNC(E363*F363,2)</f>
        <v>2.73</v>
      </c>
      <c r="H363" s="54"/>
      <c r="I363" s="55"/>
      <c r="J363" s="101">
        <v>0.09</v>
      </c>
    </row>
    <row r="364" spans="1:10" s="101" customFormat="1" ht="13.5">
      <c r="A364" s="68"/>
      <c r="B364" s="104" t="s">
        <v>501</v>
      </c>
      <c r="C364" s="69" t="s">
        <v>134</v>
      </c>
      <c r="D364" s="68" t="s">
        <v>27</v>
      </c>
      <c r="E364" s="90">
        <v>0.09</v>
      </c>
      <c r="F364" s="55">
        <f>TRUNC(23.64,2)</f>
        <v>23.64</v>
      </c>
      <c r="G364" s="54">
        <f>TRUNC(E364*F364,2)</f>
        <v>2.12</v>
      </c>
      <c r="H364" s="54"/>
      <c r="I364" s="55"/>
      <c r="J364" s="101">
        <v>0.09</v>
      </c>
    </row>
    <row r="365" spans="1:10" s="101" customFormat="1" ht="41.25">
      <c r="A365" s="68"/>
      <c r="B365" s="104" t="s">
        <v>518</v>
      </c>
      <c r="C365" s="69" t="s">
        <v>519</v>
      </c>
      <c r="D365" s="68" t="s">
        <v>61</v>
      </c>
      <c r="E365" s="90">
        <v>1</v>
      </c>
      <c r="F365" s="55">
        <f>TRUNC(3.25,2)</f>
        <v>3.25</v>
      </c>
      <c r="G365" s="54">
        <f>TRUNC(E365*F365,2)</f>
        <v>3.25</v>
      </c>
      <c r="H365" s="54"/>
      <c r="I365" s="55"/>
      <c r="J365" s="101">
        <v>1</v>
      </c>
    </row>
    <row r="366" spans="1:10" s="101" customFormat="1" ht="13.5">
      <c r="A366" s="68"/>
      <c r="B366" s="104"/>
      <c r="C366" s="69"/>
      <c r="D366" s="68"/>
      <c r="E366" s="90" t="s">
        <v>70</v>
      </c>
      <c r="F366" s="55"/>
      <c r="G366" s="54">
        <f>TRUNC(SUM(G362:G365),2)</f>
        <v>15.05</v>
      </c>
      <c r="H366" s="54"/>
      <c r="I366" s="55"/>
      <c r="J366" s="101" t="s">
        <v>70</v>
      </c>
    </row>
    <row r="367" spans="1:11" s="182" customFormat="1" ht="27">
      <c r="A367" s="175" t="s">
        <v>565</v>
      </c>
      <c r="B367" s="176" t="s">
        <v>524</v>
      </c>
      <c r="C367" s="177" t="s">
        <v>525</v>
      </c>
      <c r="D367" s="178" t="s">
        <v>61</v>
      </c>
      <c r="E367" s="179">
        <v>185</v>
      </c>
      <c r="F367" s="180">
        <f>TRUNC(G372,2)</f>
        <v>11.82</v>
      </c>
      <c r="G367" s="180">
        <f>TRUNC(F367*1.2247,2)</f>
        <v>14.47</v>
      </c>
      <c r="H367" s="180">
        <f>TRUNC(F367*E367,2)</f>
        <v>2186.7</v>
      </c>
      <c r="I367" s="181">
        <f>TRUNC(E367*G367,2)</f>
        <v>2676.95</v>
      </c>
      <c r="J367" s="182">
        <v>185</v>
      </c>
      <c r="K367" s="183"/>
    </row>
    <row r="368" spans="1:10" s="101" customFormat="1" ht="13.5">
      <c r="A368" s="68"/>
      <c r="B368" s="104" t="s">
        <v>526</v>
      </c>
      <c r="C368" s="69" t="s">
        <v>527</v>
      </c>
      <c r="D368" s="68" t="s">
        <v>61</v>
      </c>
      <c r="E368" s="90">
        <v>1.017</v>
      </c>
      <c r="F368" s="55">
        <f>TRUNC(4.09,2)</f>
        <v>4.09</v>
      </c>
      <c r="G368" s="54">
        <f>TRUNC(E368*F368,2)</f>
        <v>4.15</v>
      </c>
      <c r="H368" s="54"/>
      <c r="I368" s="55"/>
      <c r="J368" s="101">
        <v>1.017</v>
      </c>
    </row>
    <row r="369" spans="1:10" s="101" customFormat="1" ht="13.5">
      <c r="A369" s="68"/>
      <c r="B369" s="104" t="s">
        <v>500</v>
      </c>
      <c r="C369" s="69" t="s">
        <v>133</v>
      </c>
      <c r="D369" s="68" t="s">
        <v>27</v>
      </c>
      <c r="E369" s="90">
        <v>0.082</v>
      </c>
      <c r="F369" s="55">
        <f>TRUNC(30.39,2)</f>
        <v>30.39</v>
      </c>
      <c r="G369" s="54">
        <f>TRUNC(E369*F369,2)</f>
        <v>2.49</v>
      </c>
      <c r="H369" s="54"/>
      <c r="I369" s="55"/>
      <c r="J369" s="101">
        <v>0.082</v>
      </c>
    </row>
    <row r="370" spans="1:10" s="101" customFormat="1" ht="13.5">
      <c r="A370" s="68"/>
      <c r="B370" s="104" t="s">
        <v>501</v>
      </c>
      <c r="C370" s="69" t="s">
        <v>134</v>
      </c>
      <c r="D370" s="68" t="s">
        <v>27</v>
      </c>
      <c r="E370" s="90">
        <v>0.082</v>
      </c>
      <c r="F370" s="55">
        <f>TRUNC(23.64,2)</f>
        <v>23.64</v>
      </c>
      <c r="G370" s="54">
        <f>TRUNC(E370*F370,2)</f>
        <v>1.93</v>
      </c>
      <c r="H370" s="54"/>
      <c r="I370" s="55"/>
      <c r="J370" s="101">
        <v>0.082</v>
      </c>
    </row>
    <row r="371" spans="1:10" s="101" customFormat="1" ht="41.25">
      <c r="A371" s="68"/>
      <c r="B371" s="104" t="s">
        <v>518</v>
      </c>
      <c r="C371" s="69" t="s">
        <v>519</v>
      </c>
      <c r="D371" s="68" t="s">
        <v>61</v>
      </c>
      <c r="E371" s="90">
        <v>1</v>
      </c>
      <c r="F371" s="55">
        <f>TRUNC(3.25,2)</f>
        <v>3.25</v>
      </c>
      <c r="G371" s="54">
        <f>TRUNC(E371*F371,2)</f>
        <v>3.25</v>
      </c>
      <c r="H371" s="54"/>
      <c r="I371" s="55"/>
      <c r="J371" s="101">
        <v>1</v>
      </c>
    </row>
    <row r="372" spans="1:10" s="101" customFormat="1" ht="13.5">
      <c r="A372" s="68"/>
      <c r="B372" s="104"/>
      <c r="C372" s="69"/>
      <c r="D372" s="68"/>
      <c r="E372" s="90" t="s">
        <v>70</v>
      </c>
      <c r="F372" s="55"/>
      <c r="G372" s="54">
        <f>TRUNC(SUM(G368:G371),2)</f>
        <v>11.82</v>
      </c>
      <c r="H372" s="54"/>
      <c r="I372" s="55"/>
      <c r="J372" s="101" t="s">
        <v>70</v>
      </c>
    </row>
    <row r="373" spans="1:11" s="182" customFormat="1" ht="27">
      <c r="A373" s="175" t="s">
        <v>566</v>
      </c>
      <c r="B373" s="176" t="s">
        <v>528</v>
      </c>
      <c r="C373" s="177" t="s">
        <v>529</v>
      </c>
      <c r="D373" s="178" t="s">
        <v>61</v>
      </c>
      <c r="E373" s="179">
        <v>5</v>
      </c>
      <c r="F373" s="180">
        <f>TRUNC(G378,2)</f>
        <v>15.47</v>
      </c>
      <c r="G373" s="180">
        <f>TRUNC(F373*1.2247,2)</f>
        <v>18.94</v>
      </c>
      <c r="H373" s="180">
        <f>TRUNC(F373*E373,2)</f>
        <v>77.35</v>
      </c>
      <c r="I373" s="181">
        <f>TRUNC(E373*G373,2)</f>
        <v>94.7</v>
      </c>
      <c r="J373" s="182">
        <v>5</v>
      </c>
      <c r="K373" s="183"/>
    </row>
    <row r="374" spans="1:10" s="101" customFormat="1" ht="13.5">
      <c r="A374" s="68"/>
      <c r="B374" s="104" t="s">
        <v>530</v>
      </c>
      <c r="C374" s="69" t="s">
        <v>531</v>
      </c>
      <c r="D374" s="68" t="s">
        <v>61</v>
      </c>
      <c r="E374" s="90">
        <v>1.017</v>
      </c>
      <c r="F374" s="55">
        <f>TRUNC(6.4,2)</f>
        <v>6.4</v>
      </c>
      <c r="G374" s="54">
        <f>TRUNC(E374*F374,2)</f>
        <v>6.5</v>
      </c>
      <c r="H374" s="54"/>
      <c r="I374" s="55"/>
      <c r="J374" s="101">
        <v>1.017</v>
      </c>
    </row>
    <row r="375" spans="1:10" s="101" customFormat="1" ht="13.5">
      <c r="A375" s="68"/>
      <c r="B375" s="104" t="s">
        <v>500</v>
      </c>
      <c r="C375" s="69" t="s">
        <v>133</v>
      </c>
      <c r="D375" s="68" t="s">
        <v>27</v>
      </c>
      <c r="E375" s="90">
        <v>0.106</v>
      </c>
      <c r="F375" s="55">
        <f>TRUNC(30.39,2)</f>
        <v>30.39</v>
      </c>
      <c r="G375" s="54">
        <f>TRUNC(E375*F375,2)</f>
        <v>3.22</v>
      </c>
      <c r="H375" s="54"/>
      <c r="I375" s="55"/>
      <c r="J375" s="101">
        <v>0.106</v>
      </c>
    </row>
    <row r="376" spans="1:10" s="101" customFormat="1" ht="13.5">
      <c r="A376" s="68"/>
      <c r="B376" s="104" t="s">
        <v>501</v>
      </c>
      <c r="C376" s="69" t="s">
        <v>134</v>
      </c>
      <c r="D376" s="68" t="s">
        <v>27</v>
      </c>
      <c r="E376" s="90">
        <v>0.106</v>
      </c>
      <c r="F376" s="55">
        <f>TRUNC(23.64,2)</f>
        <v>23.64</v>
      </c>
      <c r="G376" s="54">
        <f>TRUNC(E376*F376,2)</f>
        <v>2.5</v>
      </c>
      <c r="H376" s="54"/>
      <c r="I376" s="55"/>
      <c r="J376" s="101">
        <v>0.106</v>
      </c>
    </row>
    <row r="377" spans="1:10" s="101" customFormat="1" ht="41.25">
      <c r="A377" s="68"/>
      <c r="B377" s="104" t="s">
        <v>518</v>
      </c>
      <c r="C377" s="69" t="s">
        <v>519</v>
      </c>
      <c r="D377" s="68" t="s">
        <v>61</v>
      </c>
      <c r="E377" s="90">
        <v>1</v>
      </c>
      <c r="F377" s="55">
        <f>TRUNC(3.25,2)</f>
        <v>3.25</v>
      </c>
      <c r="G377" s="54">
        <f>TRUNC(E377*F377,2)</f>
        <v>3.25</v>
      </c>
      <c r="H377" s="54"/>
      <c r="I377" s="55"/>
      <c r="J377" s="101">
        <v>1</v>
      </c>
    </row>
    <row r="378" spans="1:10" s="101" customFormat="1" ht="13.5">
      <c r="A378" s="68"/>
      <c r="B378" s="104"/>
      <c r="C378" s="69"/>
      <c r="D378" s="68"/>
      <c r="E378" s="90" t="s">
        <v>70</v>
      </c>
      <c r="F378" s="55"/>
      <c r="G378" s="54">
        <f>TRUNC(SUM(G374:G377),2)</f>
        <v>15.47</v>
      </c>
      <c r="H378" s="54"/>
      <c r="I378" s="55"/>
      <c r="J378" s="101" t="s">
        <v>70</v>
      </c>
    </row>
    <row r="379" spans="1:11" s="182" customFormat="1" ht="41.25">
      <c r="A379" s="175" t="s">
        <v>567</v>
      </c>
      <c r="B379" s="176" t="s">
        <v>532</v>
      </c>
      <c r="C379" s="177" t="s">
        <v>533</v>
      </c>
      <c r="D379" s="178" t="s">
        <v>61</v>
      </c>
      <c r="E379" s="179">
        <v>50</v>
      </c>
      <c r="F379" s="180">
        <f>TRUNC(G389,2)</f>
        <v>95.81</v>
      </c>
      <c r="G379" s="180">
        <f>TRUNC(F379*1.2247,2)</f>
        <v>117.33</v>
      </c>
      <c r="H379" s="180">
        <f>TRUNC(F379*E379,2)</f>
        <v>4790.5</v>
      </c>
      <c r="I379" s="181">
        <f>TRUNC(E379*G379,2)</f>
        <v>5866.5</v>
      </c>
      <c r="J379" s="182">
        <v>50</v>
      </c>
      <c r="K379" s="183"/>
    </row>
    <row r="380" spans="1:10" s="101" customFormat="1" ht="27">
      <c r="A380" s="68"/>
      <c r="B380" s="104" t="s">
        <v>534</v>
      </c>
      <c r="C380" s="69" t="s">
        <v>535</v>
      </c>
      <c r="D380" s="68" t="s">
        <v>68</v>
      </c>
      <c r="E380" s="90">
        <v>0.7992</v>
      </c>
      <c r="F380" s="55">
        <f>TRUNC(4.42,2)</f>
        <v>4.42</v>
      </c>
      <c r="G380" s="54">
        <f aca="true" t="shared" si="12" ref="G380:G388">TRUNC(E380*F380,2)</f>
        <v>3.53</v>
      </c>
      <c r="H380" s="54"/>
      <c r="I380" s="55"/>
      <c r="J380" s="101">
        <v>0.7992</v>
      </c>
    </row>
    <row r="381" spans="1:10" s="101" customFormat="1" ht="13.5">
      <c r="A381" s="68"/>
      <c r="B381" s="104" t="s">
        <v>536</v>
      </c>
      <c r="C381" s="69" t="s">
        <v>537</v>
      </c>
      <c r="D381" s="68" t="s">
        <v>68</v>
      </c>
      <c r="E381" s="90">
        <v>0.396</v>
      </c>
      <c r="F381" s="55">
        <f>TRUNC(92.78,2)</f>
        <v>92.78</v>
      </c>
      <c r="G381" s="54">
        <f t="shared" si="12"/>
        <v>36.74</v>
      </c>
      <c r="H381" s="54"/>
      <c r="I381" s="55"/>
      <c r="J381" s="101">
        <v>0.396</v>
      </c>
    </row>
    <row r="382" spans="1:10" s="101" customFormat="1" ht="13.5">
      <c r="A382" s="68"/>
      <c r="B382" s="104" t="s">
        <v>434</v>
      </c>
      <c r="C382" s="69" t="s">
        <v>435</v>
      </c>
      <c r="D382" s="68" t="s">
        <v>68</v>
      </c>
      <c r="E382" s="90">
        <v>3.192</v>
      </c>
      <c r="F382" s="55">
        <f>TRUNC(0.0875,2)</f>
        <v>0.08</v>
      </c>
      <c r="G382" s="54">
        <f t="shared" si="12"/>
        <v>0.25</v>
      </c>
      <c r="H382" s="54"/>
      <c r="I382" s="55"/>
      <c r="J382" s="101">
        <v>3.192</v>
      </c>
    </row>
    <row r="383" spans="1:10" s="101" customFormat="1" ht="13.5">
      <c r="A383" s="68"/>
      <c r="B383" s="104" t="s">
        <v>538</v>
      </c>
      <c r="C383" s="69" t="s">
        <v>539</v>
      </c>
      <c r="D383" s="68" t="s">
        <v>68</v>
      </c>
      <c r="E383" s="90">
        <v>1.596</v>
      </c>
      <c r="F383" s="55">
        <f>TRUNC(1.6949,2)</f>
        <v>1.69</v>
      </c>
      <c r="G383" s="54">
        <f t="shared" si="12"/>
        <v>2.69</v>
      </c>
      <c r="H383" s="54"/>
      <c r="I383" s="55"/>
      <c r="J383" s="101">
        <v>1.596</v>
      </c>
    </row>
    <row r="384" spans="1:10" s="101" customFormat="1" ht="13.5">
      <c r="A384" s="68"/>
      <c r="B384" s="104" t="s">
        <v>540</v>
      </c>
      <c r="C384" s="69" t="s">
        <v>541</v>
      </c>
      <c r="D384" s="68" t="s">
        <v>68</v>
      </c>
      <c r="E384" s="90">
        <v>0.7992</v>
      </c>
      <c r="F384" s="55">
        <f>TRUNC(13.9526,2)</f>
        <v>13.95</v>
      </c>
      <c r="G384" s="54">
        <f t="shared" si="12"/>
        <v>11.14</v>
      </c>
      <c r="H384" s="54"/>
      <c r="I384" s="55"/>
      <c r="J384" s="101">
        <v>0.7992</v>
      </c>
    </row>
    <row r="385" spans="1:10" s="101" customFormat="1" ht="13.5">
      <c r="A385" s="68"/>
      <c r="B385" s="104" t="s">
        <v>438</v>
      </c>
      <c r="C385" s="69" t="s">
        <v>439</v>
      </c>
      <c r="D385" s="68" t="s">
        <v>68</v>
      </c>
      <c r="E385" s="90">
        <v>3.192</v>
      </c>
      <c r="F385" s="55">
        <f>TRUNC(0.08,2)</f>
        <v>0.08</v>
      </c>
      <c r="G385" s="54">
        <f t="shared" si="12"/>
        <v>0.25</v>
      </c>
      <c r="H385" s="54"/>
      <c r="I385" s="55"/>
      <c r="J385" s="101">
        <v>3.192</v>
      </c>
    </row>
    <row r="386" spans="1:10" s="101" customFormat="1" ht="13.5">
      <c r="A386" s="68"/>
      <c r="B386" s="104" t="s">
        <v>542</v>
      </c>
      <c r="C386" s="69" t="s">
        <v>543</v>
      </c>
      <c r="D386" s="68" t="s">
        <v>68</v>
      </c>
      <c r="E386" s="90">
        <v>0.01596</v>
      </c>
      <c r="F386" s="55">
        <f>TRUNC(39.62,2)</f>
        <v>39.62</v>
      </c>
      <c r="G386" s="54">
        <f t="shared" si="12"/>
        <v>0.63</v>
      </c>
      <c r="H386" s="54"/>
      <c r="I386" s="55"/>
      <c r="J386" s="101">
        <v>0.01596</v>
      </c>
    </row>
    <row r="387" spans="1:10" s="101" customFormat="1" ht="13.5">
      <c r="A387" s="68"/>
      <c r="B387" s="104" t="s">
        <v>143</v>
      </c>
      <c r="C387" s="69" t="s">
        <v>144</v>
      </c>
      <c r="D387" s="68" t="s">
        <v>27</v>
      </c>
      <c r="E387" s="90">
        <v>1.03</v>
      </c>
      <c r="F387" s="55">
        <f>TRUNC(16.55,2)</f>
        <v>16.55</v>
      </c>
      <c r="G387" s="54">
        <f t="shared" si="12"/>
        <v>17.04</v>
      </c>
      <c r="H387" s="54"/>
      <c r="I387" s="55"/>
      <c r="J387" s="101">
        <v>1.03</v>
      </c>
    </row>
    <row r="388" spans="1:10" s="101" customFormat="1" ht="13.5">
      <c r="A388" s="68"/>
      <c r="B388" s="104" t="s">
        <v>150</v>
      </c>
      <c r="C388" s="69" t="s">
        <v>151</v>
      </c>
      <c r="D388" s="68" t="s">
        <v>27</v>
      </c>
      <c r="E388" s="90">
        <v>1.03</v>
      </c>
      <c r="F388" s="55">
        <f>TRUNC(22.86,2)</f>
        <v>22.86</v>
      </c>
      <c r="G388" s="54">
        <f t="shared" si="12"/>
        <v>23.54</v>
      </c>
      <c r="H388" s="54"/>
      <c r="I388" s="55"/>
      <c r="J388" s="101">
        <v>1.03</v>
      </c>
    </row>
    <row r="389" spans="1:10" s="101" customFormat="1" ht="13.5">
      <c r="A389" s="68"/>
      <c r="B389" s="104"/>
      <c r="C389" s="69"/>
      <c r="D389" s="68"/>
      <c r="E389" s="90" t="s">
        <v>70</v>
      </c>
      <c r="F389" s="55"/>
      <c r="G389" s="54">
        <f>TRUNC(SUM(G380:G388),2)</f>
        <v>95.81</v>
      </c>
      <c r="H389" s="54"/>
      <c r="I389" s="55"/>
      <c r="J389" s="101" t="s">
        <v>70</v>
      </c>
    </row>
    <row r="390" spans="1:11" s="182" customFormat="1" ht="27">
      <c r="A390" s="175" t="s">
        <v>568</v>
      </c>
      <c r="B390" s="176" t="s">
        <v>544</v>
      </c>
      <c r="C390" s="177" t="s">
        <v>545</v>
      </c>
      <c r="D390" s="178" t="s">
        <v>68</v>
      </c>
      <c r="E390" s="179">
        <v>4</v>
      </c>
      <c r="F390" s="180">
        <f>TRUNC(G394,2)</f>
        <v>46.72</v>
      </c>
      <c r="G390" s="180">
        <f>TRUNC(F390*1.2247,2)</f>
        <v>57.21</v>
      </c>
      <c r="H390" s="180">
        <f>TRUNC(F390*E390,2)</f>
        <v>186.88</v>
      </c>
      <c r="I390" s="181">
        <f>TRUNC(E390*G390,2)</f>
        <v>228.84</v>
      </c>
      <c r="J390" s="182">
        <v>4</v>
      </c>
      <c r="K390" s="183"/>
    </row>
    <row r="391" spans="1:10" s="101" customFormat="1" ht="27">
      <c r="A391" s="68"/>
      <c r="B391" s="104" t="s">
        <v>546</v>
      </c>
      <c r="C391" s="69" t="s">
        <v>547</v>
      </c>
      <c r="D391" s="68" t="s">
        <v>68</v>
      </c>
      <c r="E391" s="90">
        <v>1</v>
      </c>
      <c r="F391" s="55">
        <f>TRUNC(26.43,2)</f>
        <v>26.43</v>
      </c>
      <c r="G391" s="54">
        <f>TRUNC(E391*F391,2)</f>
        <v>26.43</v>
      </c>
      <c r="H391" s="54"/>
      <c r="I391" s="55"/>
      <c r="J391" s="101">
        <v>1</v>
      </c>
    </row>
    <row r="392" spans="1:10" s="101" customFormat="1" ht="13.5">
      <c r="A392" s="68"/>
      <c r="B392" s="104" t="s">
        <v>143</v>
      </c>
      <c r="C392" s="69" t="s">
        <v>144</v>
      </c>
      <c r="D392" s="68" t="s">
        <v>27</v>
      </c>
      <c r="E392" s="90">
        <v>0.515</v>
      </c>
      <c r="F392" s="55">
        <f>TRUNC(16.55,2)</f>
        <v>16.55</v>
      </c>
      <c r="G392" s="54">
        <f>TRUNC(E392*F392,2)</f>
        <v>8.52</v>
      </c>
      <c r="H392" s="54"/>
      <c r="I392" s="55"/>
      <c r="J392" s="101">
        <v>0.515</v>
      </c>
    </row>
    <row r="393" spans="1:10" s="101" customFormat="1" ht="13.5">
      <c r="A393" s="68"/>
      <c r="B393" s="104" t="s">
        <v>150</v>
      </c>
      <c r="C393" s="69" t="s">
        <v>151</v>
      </c>
      <c r="D393" s="68" t="s">
        <v>27</v>
      </c>
      <c r="E393" s="90">
        <v>0.515</v>
      </c>
      <c r="F393" s="55">
        <f>TRUNC(22.86,2)</f>
        <v>22.86</v>
      </c>
      <c r="G393" s="54">
        <f>TRUNC(E393*F393,2)</f>
        <v>11.77</v>
      </c>
      <c r="H393" s="54"/>
      <c r="I393" s="55"/>
      <c r="J393" s="101">
        <v>0.515</v>
      </c>
    </row>
    <row r="394" spans="1:10" s="101" customFormat="1" ht="13.5">
      <c r="A394" s="68"/>
      <c r="B394" s="104"/>
      <c r="C394" s="69"/>
      <c r="D394" s="68"/>
      <c r="E394" s="90" t="s">
        <v>70</v>
      </c>
      <c r="F394" s="55"/>
      <c r="G394" s="54">
        <f>TRUNC(SUM(G391:G393),2)</f>
        <v>46.72</v>
      </c>
      <c r="H394" s="54"/>
      <c r="I394" s="55"/>
      <c r="J394" s="101" t="s">
        <v>70</v>
      </c>
    </row>
    <row r="395" spans="1:9" s="41" customFormat="1" ht="13.5">
      <c r="A395" s="106" t="s">
        <v>111</v>
      </c>
      <c r="B395" s="100"/>
      <c r="C395" s="76" t="s">
        <v>569</v>
      </c>
      <c r="D395" s="125"/>
      <c r="E395" s="77"/>
      <c r="F395" s="78"/>
      <c r="G395" s="78"/>
      <c r="H395" s="79">
        <f>H252+H265+H277+H282+H288+H293+H298+H303+H308+H312+H316+H320+H324+H328+H337+H343+H349+H355+H361+H367+H373+H379+H390</f>
        <v>45284.26999999999</v>
      </c>
      <c r="I395" s="79">
        <f>I252+I265+I277+I282+I288+I293+I298+I303+I308+I312+I316+I320+I324+I328+I337+I343+I349+I355+I361+I367+I373+I379+I390</f>
        <v>55433.97999999999</v>
      </c>
    </row>
    <row r="396" spans="1:9" ht="13.5">
      <c r="A396" s="80" t="s">
        <v>29</v>
      </c>
      <c r="B396" s="111"/>
      <c r="C396" s="91" t="s">
        <v>30</v>
      </c>
      <c r="D396" s="126"/>
      <c r="E396" s="91"/>
      <c r="F396" s="91"/>
      <c r="G396" s="91"/>
      <c r="H396" s="91"/>
      <c r="I396" s="91"/>
    </row>
    <row r="397" spans="1:11" s="182" customFormat="1" ht="27">
      <c r="A397" s="175" t="s">
        <v>52</v>
      </c>
      <c r="B397" s="176" t="s">
        <v>548</v>
      </c>
      <c r="C397" s="177" t="s">
        <v>549</v>
      </c>
      <c r="D397" s="178" t="s">
        <v>62</v>
      </c>
      <c r="E397" s="179">
        <v>278.74</v>
      </c>
      <c r="F397" s="180">
        <f>TRUNC(G401,2)</f>
        <v>15.1</v>
      </c>
      <c r="G397" s="180">
        <f>TRUNC(F397*1.2247,2)</f>
        <v>18.49</v>
      </c>
      <c r="H397" s="180">
        <f>TRUNC(F397*E397,2)</f>
        <v>4208.97</v>
      </c>
      <c r="I397" s="181">
        <f>TRUNC(E397*G397,2)</f>
        <v>5153.9</v>
      </c>
      <c r="J397" s="182">
        <v>278.74</v>
      </c>
      <c r="K397" s="183"/>
    </row>
    <row r="398" spans="1:10" s="101" customFormat="1" ht="13.5">
      <c r="A398" s="68"/>
      <c r="B398" s="104" t="s">
        <v>205</v>
      </c>
      <c r="C398" s="69" t="s">
        <v>165</v>
      </c>
      <c r="D398" s="68" t="s">
        <v>153</v>
      </c>
      <c r="E398" s="90">
        <v>0.33</v>
      </c>
      <c r="F398" s="55">
        <f>TRUNC(23.23,2)</f>
        <v>23.23</v>
      </c>
      <c r="G398" s="54">
        <f>TRUNC(E398*F398,2)</f>
        <v>7.66</v>
      </c>
      <c r="H398" s="54"/>
      <c r="I398" s="55"/>
      <c r="J398" s="101">
        <v>0.33</v>
      </c>
    </row>
    <row r="399" spans="1:10" s="101" customFormat="1" ht="13.5">
      <c r="A399" s="68"/>
      <c r="B399" s="104" t="s">
        <v>152</v>
      </c>
      <c r="C399" s="69" t="s">
        <v>122</v>
      </c>
      <c r="D399" s="68" t="s">
        <v>27</v>
      </c>
      <c r="E399" s="90">
        <v>0.069</v>
      </c>
      <c r="F399" s="55">
        <f>TRUNC(23.75,2)</f>
        <v>23.75</v>
      </c>
      <c r="G399" s="54">
        <f>TRUNC(E399*F399,2)</f>
        <v>1.63</v>
      </c>
      <c r="H399" s="54"/>
      <c r="I399" s="55"/>
      <c r="J399" s="101">
        <v>0.069</v>
      </c>
    </row>
    <row r="400" spans="1:10" s="101" customFormat="1" ht="13.5">
      <c r="A400" s="68"/>
      <c r="B400" s="104" t="s">
        <v>154</v>
      </c>
      <c r="C400" s="69" t="s">
        <v>124</v>
      </c>
      <c r="D400" s="68" t="s">
        <v>27</v>
      </c>
      <c r="E400" s="90">
        <v>0.187</v>
      </c>
      <c r="F400" s="55">
        <f>TRUNC(31.12,2)</f>
        <v>31.12</v>
      </c>
      <c r="G400" s="54">
        <f>TRUNC(E400*F400,2)</f>
        <v>5.81</v>
      </c>
      <c r="H400" s="54"/>
      <c r="I400" s="55"/>
      <c r="J400" s="101">
        <v>0.187</v>
      </c>
    </row>
    <row r="401" spans="1:10" s="101" customFormat="1" ht="13.5">
      <c r="A401" s="68"/>
      <c r="B401" s="104"/>
      <c r="C401" s="69"/>
      <c r="D401" s="68"/>
      <c r="E401" s="90" t="s">
        <v>70</v>
      </c>
      <c r="F401" s="55"/>
      <c r="G401" s="54">
        <f>TRUNC(SUM(G398:G400),2)</f>
        <v>15.1</v>
      </c>
      <c r="H401" s="54"/>
      <c r="I401" s="55"/>
      <c r="J401" s="101" t="s">
        <v>70</v>
      </c>
    </row>
    <row r="402" spans="1:9" s="41" customFormat="1" ht="13.5">
      <c r="A402" s="106" t="s">
        <v>111</v>
      </c>
      <c r="B402" s="100"/>
      <c r="C402" s="76" t="s">
        <v>669</v>
      </c>
      <c r="D402" s="125"/>
      <c r="E402" s="77"/>
      <c r="F402" s="78"/>
      <c r="G402" s="78"/>
      <c r="H402" s="79">
        <f>H397</f>
        <v>4208.97</v>
      </c>
      <c r="I402" s="79">
        <f>I397</f>
        <v>5153.9</v>
      </c>
    </row>
    <row r="403" spans="1:9" s="41" customFormat="1" ht="13.5">
      <c r="A403" s="106" t="s">
        <v>111</v>
      </c>
      <c r="B403" s="100"/>
      <c r="C403" s="76" t="s">
        <v>66</v>
      </c>
      <c r="D403" s="125"/>
      <c r="E403" s="77"/>
      <c r="F403" s="78"/>
      <c r="G403" s="78"/>
      <c r="H403" s="79">
        <f>H402+H395+H250+H191+H150+H83+H67+H58</f>
        <v>136146.74000000002</v>
      </c>
      <c r="I403" s="79">
        <f>I402+I395+I250+I191+I150+I83+I67+I58</f>
        <v>166703.68</v>
      </c>
    </row>
    <row r="404" spans="1:9" ht="13.5">
      <c r="A404" s="108"/>
      <c r="B404" s="113"/>
      <c r="C404" s="92"/>
      <c r="D404" s="127"/>
      <c r="E404" s="92"/>
      <c r="F404" s="92"/>
      <c r="G404" s="92"/>
      <c r="H404" s="92"/>
      <c r="I404" s="93"/>
    </row>
    <row r="405" spans="1:9" ht="13.5">
      <c r="A405" s="108"/>
      <c r="B405" s="113"/>
      <c r="C405" s="92"/>
      <c r="D405" s="127"/>
      <c r="E405" s="92"/>
      <c r="F405" s="92"/>
      <c r="G405" s="92"/>
      <c r="H405" s="92"/>
      <c r="I405" s="93"/>
    </row>
    <row r="406" spans="1:9" ht="13.5">
      <c r="A406" s="108"/>
      <c r="B406" s="156"/>
      <c r="C406" s="132"/>
      <c r="D406" s="127"/>
      <c r="E406" s="92"/>
      <c r="F406" s="92"/>
      <c r="G406" s="92"/>
      <c r="H406" s="92"/>
      <c r="I406" s="93"/>
    </row>
    <row r="407" spans="1:9" ht="13.5">
      <c r="A407" s="108"/>
      <c r="B407" s="156"/>
      <c r="C407" s="132"/>
      <c r="D407" s="127"/>
      <c r="E407" s="92"/>
      <c r="F407" s="92"/>
      <c r="G407" s="92"/>
      <c r="H407" s="92"/>
      <c r="I407" s="93"/>
    </row>
    <row r="408" spans="1:9" ht="13.5">
      <c r="A408" s="108"/>
      <c r="B408" s="156"/>
      <c r="C408" s="132"/>
      <c r="D408" s="127"/>
      <c r="E408" s="92"/>
      <c r="F408" s="92"/>
      <c r="G408" s="92"/>
      <c r="H408" s="92"/>
      <c r="I408" s="93"/>
    </row>
    <row r="409" spans="1:9" ht="13.5">
      <c r="A409" s="108"/>
      <c r="B409" s="156"/>
      <c r="C409" s="132"/>
      <c r="D409" s="127"/>
      <c r="E409" s="92"/>
      <c r="F409" s="92"/>
      <c r="G409" s="92"/>
      <c r="H409" s="92"/>
      <c r="I409" s="93"/>
    </row>
    <row r="410" spans="1:9" ht="13.5">
      <c r="A410" s="108"/>
      <c r="B410" s="156"/>
      <c r="C410" s="132"/>
      <c r="D410" s="127"/>
      <c r="E410" s="92"/>
      <c r="F410" s="92"/>
      <c r="G410" s="92"/>
      <c r="H410" s="92"/>
      <c r="I410" s="93"/>
    </row>
    <row r="411" spans="1:9" ht="13.5">
      <c r="A411" s="108"/>
      <c r="B411" s="156"/>
      <c r="C411" s="132"/>
      <c r="D411" s="127"/>
      <c r="E411" s="92"/>
      <c r="F411" s="92"/>
      <c r="G411" s="92"/>
      <c r="H411" s="92"/>
      <c r="I411" s="93"/>
    </row>
    <row r="412" spans="1:9" ht="13.5">
      <c r="A412" s="108"/>
      <c r="B412" s="156"/>
      <c r="C412" s="132"/>
      <c r="D412" s="127"/>
      <c r="E412" s="92"/>
      <c r="F412" s="92"/>
      <c r="G412" s="92"/>
      <c r="H412" s="92"/>
      <c r="I412" s="93"/>
    </row>
    <row r="413" spans="1:9" ht="13.5">
      <c r="A413" s="108"/>
      <c r="B413" s="156"/>
      <c r="C413" s="132"/>
      <c r="D413" s="127"/>
      <c r="E413" s="92"/>
      <c r="F413" s="92"/>
      <c r="G413" s="92"/>
      <c r="H413" s="92"/>
      <c r="I413" s="93"/>
    </row>
    <row r="414" spans="1:9" ht="13.5">
      <c r="A414" s="108"/>
      <c r="B414" s="156"/>
      <c r="C414" s="132"/>
      <c r="D414" s="127"/>
      <c r="E414" s="92"/>
      <c r="F414" s="92"/>
      <c r="G414" s="92"/>
      <c r="H414" s="92"/>
      <c r="I414" s="93"/>
    </row>
    <row r="415" spans="1:9" ht="13.5">
      <c r="A415" s="108"/>
      <c r="B415" s="156"/>
      <c r="C415" s="132"/>
      <c r="D415" s="127"/>
      <c r="E415" s="92"/>
      <c r="F415" s="92"/>
      <c r="G415" s="92"/>
      <c r="H415" s="92"/>
      <c r="I415" s="93"/>
    </row>
    <row r="416" spans="1:9" ht="13.5">
      <c r="A416" s="108"/>
      <c r="B416" s="156"/>
      <c r="C416" s="132"/>
      <c r="D416" s="127"/>
      <c r="E416" s="92"/>
      <c r="F416" s="92"/>
      <c r="G416" s="92"/>
      <c r="H416" s="92"/>
      <c r="I416" s="93"/>
    </row>
    <row r="417" spans="1:9" ht="13.5">
      <c r="A417" s="108"/>
      <c r="B417" s="156"/>
      <c r="C417" s="132"/>
      <c r="D417" s="127"/>
      <c r="E417" s="92"/>
      <c r="F417" s="92"/>
      <c r="G417" s="92"/>
      <c r="H417" s="92"/>
      <c r="I417" s="93"/>
    </row>
    <row r="418" spans="1:9" ht="13.5">
      <c r="A418" s="108"/>
      <c r="B418" s="156"/>
      <c r="C418" s="132"/>
      <c r="D418" s="127"/>
      <c r="E418" s="92"/>
      <c r="F418" s="92"/>
      <c r="G418" s="92"/>
      <c r="H418" s="92"/>
      <c r="I418" s="93"/>
    </row>
    <row r="419" spans="1:9" ht="13.5">
      <c r="A419" s="108"/>
      <c r="B419" s="156"/>
      <c r="C419" s="132"/>
      <c r="D419" s="127"/>
      <c r="E419" s="92"/>
      <c r="F419" s="92"/>
      <c r="G419" s="92"/>
      <c r="H419" s="92"/>
      <c r="I419" s="93"/>
    </row>
    <row r="420" spans="1:9" ht="13.5">
      <c r="A420" s="108"/>
      <c r="B420" s="156"/>
      <c r="C420" s="132"/>
      <c r="D420" s="127"/>
      <c r="E420" s="92"/>
      <c r="F420" s="92"/>
      <c r="G420" s="92"/>
      <c r="H420" s="92"/>
      <c r="I420" s="93"/>
    </row>
    <row r="421" spans="1:9" ht="13.5">
      <c r="A421" s="108"/>
      <c r="B421" s="156"/>
      <c r="C421" s="132"/>
      <c r="D421" s="127"/>
      <c r="E421" s="92"/>
      <c r="F421" s="92"/>
      <c r="G421" s="92"/>
      <c r="H421" s="92"/>
      <c r="I421" s="93"/>
    </row>
    <row r="422" spans="1:9" ht="13.5">
      <c r="A422" s="108"/>
      <c r="B422" s="156"/>
      <c r="C422" s="132"/>
      <c r="D422" s="127"/>
      <c r="E422" s="92"/>
      <c r="F422" s="92"/>
      <c r="G422" s="92"/>
      <c r="H422" s="92"/>
      <c r="I422" s="93"/>
    </row>
    <row r="423" spans="1:9" ht="13.5">
      <c r="A423" s="108"/>
      <c r="B423" s="156"/>
      <c r="C423" s="132"/>
      <c r="D423" s="127"/>
      <c r="E423" s="92"/>
      <c r="F423" s="92"/>
      <c r="G423" s="92"/>
      <c r="H423" s="92"/>
      <c r="I423" s="93"/>
    </row>
    <row r="424" spans="1:9" ht="13.5">
      <c r="A424" s="108"/>
      <c r="B424" s="156"/>
      <c r="C424" s="132"/>
      <c r="D424" s="127"/>
      <c r="E424" s="92"/>
      <c r="F424" s="92"/>
      <c r="G424" s="92"/>
      <c r="H424" s="92"/>
      <c r="I424" s="93"/>
    </row>
    <row r="425" spans="1:9" ht="13.5">
      <c r="A425" s="108"/>
      <c r="B425" s="156"/>
      <c r="C425" s="132"/>
      <c r="D425" s="127"/>
      <c r="E425" s="92"/>
      <c r="F425" s="92"/>
      <c r="G425" s="92"/>
      <c r="H425" s="92"/>
      <c r="I425" s="93"/>
    </row>
    <row r="426" spans="1:9" ht="13.5">
      <c r="A426" s="108"/>
      <c r="B426" s="156"/>
      <c r="C426" s="132"/>
      <c r="D426" s="127"/>
      <c r="E426" s="92"/>
      <c r="F426" s="92"/>
      <c r="G426" s="92"/>
      <c r="H426" s="92"/>
      <c r="I426" s="93"/>
    </row>
    <row r="427" spans="1:9" ht="13.5">
      <c r="A427" s="108"/>
      <c r="B427" s="156"/>
      <c r="C427" s="132"/>
      <c r="D427" s="127"/>
      <c r="E427" s="92"/>
      <c r="F427" s="92"/>
      <c r="G427" s="92"/>
      <c r="H427" s="92"/>
      <c r="I427" s="93"/>
    </row>
    <row r="428" spans="1:9" ht="13.5">
      <c r="A428" s="108"/>
      <c r="B428" s="156"/>
      <c r="C428" s="132"/>
      <c r="D428" s="127"/>
      <c r="E428" s="92"/>
      <c r="F428" s="92"/>
      <c r="G428" s="92"/>
      <c r="H428" s="92"/>
      <c r="I428" s="93"/>
    </row>
    <row r="429" spans="1:9" ht="13.5">
      <c r="A429" s="108"/>
      <c r="B429" s="156"/>
      <c r="C429" s="132"/>
      <c r="D429" s="127"/>
      <c r="E429" s="92"/>
      <c r="F429" s="92"/>
      <c r="G429" s="92"/>
      <c r="H429" s="92"/>
      <c r="I429" s="93"/>
    </row>
    <row r="430" spans="1:9" ht="13.5">
      <c r="A430" s="108"/>
      <c r="B430" s="156"/>
      <c r="C430" s="132"/>
      <c r="D430" s="127"/>
      <c r="E430" s="92"/>
      <c r="F430" s="92"/>
      <c r="G430" s="92"/>
      <c r="H430" s="92"/>
      <c r="I430" s="93"/>
    </row>
    <row r="431" spans="1:9" ht="13.5">
      <c r="A431" s="108"/>
      <c r="B431" s="156"/>
      <c r="C431" s="132"/>
      <c r="D431" s="127"/>
      <c r="E431" s="92"/>
      <c r="F431" s="92"/>
      <c r="G431" s="92"/>
      <c r="H431" s="92"/>
      <c r="I431" s="93"/>
    </row>
    <row r="432" spans="1:9" ht="13.5">
      <c r="A432" s="108"/>
      <c r="B432" s="156"/>
      <c r="C432" s="132"/>
      <c r="D432" s="127"/>
      <c r="E432" s="92"/>
      <c r="F432" s="92"/>
      <c r="G432" s="92"/>
      <c r="H432" s="92"/>
      <c r="I432" s="93"/>
    </row>
    <row r="433" spans="1:9" ht="13.5">
      <c r="A433" s="108"/>
      <c r="B433" s="156"/>
      <c r="C433" s="132"/>
      <c r="D433" s="127"/>
      <c r="E433" s="92"/>
      <c r="F433" s="92"/>
      <c r="G433" s="92"/>
      <c r="H433" s="92"/>
      <c r="I433" s="93"/>
    </row>
    <row r="434" spans="1:9" ht="13.5">
      <c r="A434" s="108"/>
      <c r="B434" s="156"/>
      <c r="C434" s="132"/>
      <c r="D434" s="127"/>
      <c r="E434" s="92"/>
      <c r="F434" s="92"/>
      <c r="G434" s="92"/>
      <c r="H434" s="92"/>
      <c r="I434" s="93"/>
    </row>
    <row r="435" spans="1:9" ht="13.5">
      <c r="A435" s="108"/>
      <c r="B435" s="156"/>
      <c r="C435" s="132"/>
      <c r="D435" s="127"/>
      <c r="E435" s="92"/>
      <c r="F435" s="92"/>
      <c r="G435" s="92"/>
      <c r="H435" s="92"/>
      <c r="I435" s="93"/>
    </row>
    <row r="436" spans="1:9" ht="13.5">
      <c r="A436" s="108"/>
      <c r="B436" s="156"/>
      <c r="C436" s="132"/>
      <c r="D436" s="127"/>
      <c r="E436" s="92"/>
      <c r="F436" s="92"/>
      <c r="G436" s="92"/>
      <c r="H436" s="92"/>
      <c r="I436" s="93"/>
    </row>
    <row r="437" spans="1:9" ht="13.5">
      <c r="A437" s="108"/>
      <c r="B437" s="156"/>
      <c r="C437" s="132"/>
      <c r="D437" s="127"/>
      <c r="E437" s="92"/>
      <c r="F437" s="92"/>
      <c r="G437" s="92"/>
      <c r="H437" s="92"/>
      <c r="I437" s="93"/>
    </row>
    <row r="438" spans="1:9" ht="13.5">
      <c r="A438" s="108"/>
      <c r="B438" s="156"/>
      <c r="C438" s="132"/>
      <c r="D438" s="127"/>
      <c r="E438" s="92"/>
      <c r="F438" s="92"/>
      <c r="G438" s="92"/>
      <c r="H438" s="92"/>
      <c r="I438" s="93"/>
    </row>
    <row r="439" spans="1:9" ht="13.5">
      <c r="A439" s="108"/>
      <c r="B439" s="156"/>
      <c r="C439" s="132"/>
      <c r="D439" s="127"/>
      <c r="E439" s="92"/>
      <c r="F439" s="92"/>
      <c r="G439" s="92"/>
      <c r="H439" s="92"/>
      <c r="I439" s="93"/>
    </row>
    <row r="440" spans="1:9" ht="13.5">
      <c r="A440" s="108"/>
      <c r="B440" s="156"/>
      <c r="C440" s="132"/>
      <c r="D440" s="127"/>
      <c r="E440" s="92"/>
      <c r="F440" s="92"/>
      <c r="G440" s="92"/>
      <c r="H440" s="92"/>
      <c r="I440" s="93"/>
    </row>
    <row r="441" spans="1:9" ht="13.5">
      <c r="A441" s="108"/>
      <c r="B441" s="156"/>
      <c r="C441" s="132"/>
      <c r="D441" s="127"/>
      <c r="E441" s="92"/>
      <c r="F441" s="92"/>
      <c r="G441" s="92"/>
      <c r="H441" s="92"/>
      <c r="I441" s="93"/>
    </row>
    <row r="442" spans="1:9" ht="13.5">
      <c r="A442" s="108"/>
      <c r="B442" s="156"/>
      <c r="C442" s="132"/>
      <c r="D442" s="127"/>
      <c r="E442" s="92"/>
      <c r="F442" s="92"/>
      <c r="G442" s="92"/>
      <c r="H442" s="92"/>
      <c r="I442" s="93"/>
    </row>
    <row r="443" spans="1:9" ht="13.5">
      <c r="A443" s="108"/>
      <c r="B443" s="156"/>
      <c r="C443" s="132"/>
      <c r="D443" s="127"/>
      <c r="E443" s="92"/>
      <c r="F443" s="92"/>
      <c r="G443" s="92"/>
      <c r="H443" s="92"/>
      <c r="I443" s="93"/>
    </row>
    <row r="444" spans="1:9" ht="13.5">
      <c r="A444" s="108"/>
      <c r="B444" s="156"/>
      <c r="C444" s="132"/>
      <c r="D444" s="127"/>
      <c r="E444" s="92"/>
      <c r="F444" s="92"/>
      <c r="G444" s="92"/>
      <c r="H444" s="92"/>
      <c r="I444" s="93"/>
    </row>
    <row r="445" spans="1:9" ht="13.5">
      <c r="A445" s="108"/>
      <c r="B445" s="156"/>
      <c r="C445" s="132"/>
      <c r="D445" s="127"/>
      <c r="E445" s="92"/>
      <c r="F445" s="92"/>
      <c r="G445" s="92"/>
      <c r="H445" s="92"/>
      <c r="I445" s="93"/>
    </row>
    <row r="446" spans="1:9" ht="13.5">
      <c r="A446" s="108"/>
      <c r="B446" s="156"/>
      <c r="C446" s="132"/>
      <c r="D446" s="127"/>
      <c r="E446" s="92"/>
      <c r="F446" s="92"/>
      <c r="G446" s="92"/>
      <c r="H446" s="92"/>
      <c r="I446" s="93"/>
    </row>
    <row r="447" spans="1:9" ht="13.5">
      <c r="A447" s="108"/>
      <c r="B447" s="156"/>
      <c r="C447" s="132"/>
      <c r="D447" s="127"/>
      <c r="E447" s="92"/>
      <c r="F447" s="92"/>
      <c r="G447" s="92"/>
      <c r="H447" s="92"/>
      <c r="I447" s="93"/>
    </row>
    <row r="448" spans="1:9" ht="13.5">
      <c r="A448" s="108"/>
      <c r="B448" s="156"/>
      <c r="C448" s="132"/>
      <c r="D448" s="127"/>
      <c r="E448" s="92"/>
      <c r="F448" s="92"/>
      <c r="G448" s="92"/>
      <c r="H448" s="92"/>
      <c r="I448" s="93"/>
    </row>
    <row r="449" spans="1:9" ht="13.5">
      <c r="A449" s="108"/>
      <c r="B449" s="156"/>
      <c r="C449" s="132"/>
      <c r="D449" s="127"/>
      <c r="E449" s="92"/>
      <c r="F449" s="92"/>
      <c r="G449" s="92"/>
      <c r="H449" s="92"/>
      <c r="I449" s="93"/>
    </row>
    <row r="450" spans="1:9" ht="13.5">
      <c r="A450" s="108"/>
      <c r="B450" s="156"/>
      <c r="C450" s="132"/>
      <c r="D450" s="127"/>
      <c r="E450" s="92"/>
      <c r="F450" s="92"/>
      <c r="G450" s="92"/>
      <c r="H450" s="92"/>
      <c r="I450" s="93"/>
    </row>
    <row r="451" spans="1:9" ht="13.5">
      <c r="A451" s="108"/>
      <c r="B451" s="156"/>
      <c r="C451" s="132"/>
      <c r="D451" s="127"/>
      <c r="E451" s="92"/>
      <c r="F451" s="92"/>
      <c r="G451" s="92"/>
      <c r="H451" s="92"/>
      <c r="I451" s="93"/>
    </row>
    <row r="452" spans="1:9" ht="13.5">
      <c r="A452" s="108"/>
      <c r="B452" s="156"/>
      <c r="C452" s="132"/>
      <c r="D452" s="127"/>
      <c r="E452" s="92"/>
      <c r="F452" s="92"/>
      <c r="G452" s="92"/>
      <c r="H452" s="92"/>
      <c r="I452" s="93"/>
    </row>
    <row r="453" spans="1:9" ht="13.5">
      <c r="A453" s="108"/>
      <c r="B453" s="156"/>
      <c r="C453" s="132"/>
      <c r="D453" s="127"/>
      <c r="E453" s="92"/>
      <c r="F453" s="92"/>
      <c r="G453" s="92"/>
      <c r="H453" s="92"/>
      <c r="I453" s="93"/>
    </row>
    <row r="454" spans="1:9" ht="13.5">
      <c r="A454" s="108"/>
      <c r="B454" s="156"/>
      <c r="C454" s="132"/>
      <c r="D454" s="127"/>
      <c r="E454" s="92"/>
      <c r="F454" s="92"/>
      <c r="G454" s="92"/>
      <c r="H454" s="92"/>
      <c r="I454" s="93"/>
    </row>
    <row r="455" spans="1:9" ht="13.5">
      <c r="A455" s="108"/>
      <c r="B455" s="156"/>
      <c r="C455" s="132"/>
      <c r="D455" s="127"/>
      <c r="E455" s="92"/>
      <c r="F455" s="92"/>
      <c r="G455" s="92"/>
      <c r="H455" s="92"/>
      <c r="I455" s="93"/>
    </row>
    <row r="456" spans="1:9" ht="13.5">
      <c r="A456" s="108"/>
      <c r="B456" s="156"/>
      <c r="C456" s="132"/>
      <c r="D456" s="127"/>
      <c r="E456" s="92"/>
      <c r="F456" s="92"/>
      <c r="G456" s="92"/>
      <c r="H456" s="92"/>
      <c r="I456" s="93"/>
    </row>
    <row r="457" spans="1:9" ht="13.5">
      <c r="A457" s="108"/>
      <c r="B457" s="156"/>
      <c r="C457" s="132"/>
      <c r="D457" s="127"/>
      <c r="E457" s="92"/>
      <c r="F457" s="92"/>
      <c r="G457" s="92"/>
      <c r="H457" s="92"/>
      <c r="I457" s="93"/>
    </row>
    <row r="458" spans="1:9" ht="13.5">
      <c r="A458" s="108"/>
      <c r="B458" s="156"/>
      <c r="C458" s="132"/>
      <c r="D458" s="127"/>
      <c r="E458" s="92"/>
      <c r="F458" s="92"/>
      <c r="G458" s="92"/>
      <c r="H458" s="92"/>
      <c r="I458" s="93"/>
    </row>
    <row r="459" spans="1:9" ht="13.5">
      <c r="A459" s="108"/>
      <c r="B459" s="156"/>
      <c r="C459" s="132"/>
      <c r="D459" s="127"/>
      <c r="E459" s="92"/>
      <c r="F459" s="92"/>
      <c r="G459" s="92"/>
      <c r="H459" s="92"/>
      <c r="I459" s="93"/>
    </row>
    <row r="460" spans="1:9" ht="13.5">
      <c r="A460" s="108"/>
      <c r="B460" s="156"/>
      <c r="C460" s="132"/>
      <c r="D460" s="127"/>
      <c r="E460" s="92"/>
      <c r="F460" s="92"/>
      <c r="G460" s="92"/>
      <c r="H460" s="92"/>
      <c r="I460" s="93"/>
    </row>
    <row r="461" spans="1:9" ht="13.5">
      <c r="A461" s="108"/>
      <c r="B461" s="156"/>
      <c r="C461" s="132"/>
      <c r="D461" s="127"/>
      <c r="E461" s="92"/>
      <c r="F461" s="92"/>
      <c r="G461" s="92"/>
      <c r="H461" s="92"/>
      <c r="I461" s="93"/>
    </row>
    <row r="462" spans="1:9" ht="13.5">
      <c r="A462" s="108"/>
      <c r="B462" s="156"/>
      <c r="C462" s="132"/>
      <c r="D462" s="127"/>
      <c r="E462" s="92"/>
      <c r="F462" s="92"/>
      <c r="G462" s="92"/>
      <c r="H462" s="92"/>
      <c r="I462" s="93"/>
    </row>
    <row r="463" spans="1:9" ht="13.5">
      <c r="A463" s="108"/>
      <c r="B463" s="156"/>
      <c r="C463" s="132"/>
      <c r="D463" s="127"/>
      <c r="E463" s="92"/>
      <c r="F463" s="92"/>
      <c r="G463" s="92"/>
      <c r="H463" s="92"/>
      <c r="I463" s="93"/>
    </row>
    <row r="464" spans="1:9" ht="13.5">
      <c r="A464" s="108"/>
      <c r="B464" s="156"/>
      <c r="C464" s="132"/>
      <c r="D464" s="127"/>
      <c r="E464" s="92"/>
      <c r="F464" s="92"/>
      <c r="G464" s="92"/>
      <c r="H464" s="92"/>
      <c r="I464" s="93"/>
    </row>
    <row r="465" spans="1:9" ht="13.5">
      <c r="A465" s="108"/>
      <c r="B465" s="156"/>
      <c r="C465" s="132"/>
      <c r="D465" s="127"/>
      <c r="E465" s="92"/>
      <c r="F465" s="92"/>
      <c r="G465" s="92"/>
      <c r="H465" s="92"/>
      <c r="I465" s="93"/>
    </row>
    <row r="466" spans="1:9" ht="13.5">
      <c r="A466" s="108"/>
      <c r="B466" s="156"/>
      <c r="C466" s="132"/>
      <c r="D466" s="127"/>
      <c r="E466" s="92"/>
      <c r="F466" s="92"/>
      <c r="G466" s="92"/>
      <c r="H466" s="92"/>
      <c r="I466" s="93"/>
    </row>
    <row r="467" spans="1:9" ht="13.5">
      <c r="A467" s="108"/>
      <c r="B467" s="156"/>
      <c r="C467" s="132"/>
      <c r="D467" s="127"/>
      <c r="E467" s="92"/>
      <c r="F467" s="92"/>
      <c r="G467" s="92"/>
      <c r="H467" s="92"/>
      <c r="I467" s="93"/>
    </row>
    <row r="468" spans="1:9" ht="13.5">
      <c r="A468" s="108"/>
      <c r="B468" s="156"/>
      <c r="C468" s="132"/>
      <c r="D468" s="127"/>
      <c r="E468" s="92"/>
      <c r="F468" s="92"/>
      <c r="G468" s="92"/>
      <c r="H468" s="92"/>
      <c r="I468" s="93"/>
    </row>
    <row r="469" spans="1:9" ht="13.5">
      <c r="A469" s="108"/>
      <c r="B469" s="156"/>
      <c r="C469" s="132"/>
      <c r="D469" s="127"/>
      <c r="E469" s="92"/>
      <c r="F469" s="92"/>
      <c r="G469" s="92"/>
      <c r="H469" s="92"/>
      <c r="I469" s="93"/>
    </row>
    <row r="470" spans="1:9" ht="13.5">
      <c r="A470" s="108"/>
      <c r="B470" s="156"/>
      <c r="C470" s="132"/>
      <c r="D470" s="127"/>
      <c r="E470" s="92"/>
      <c r="F470" s="92"/>
      <c r="G470" s="92"/>
      <c r="H470" s="92"/>
      <c r="I470" s="93"/>
    </row>
    <row r="471" spans="1:9" ht="13.5">
      <c r="A471" s="108"/>
      <c r="B471" s="156"/>
      <c r="C471" s="92"/>
      <c r="D471" s="127"/>
      <c r="E471" s="92"/>
      <c r="F471" s="92"/>
      <c r="G471" s="92"/>
      <c r="H471" s="92"/>
      <c r="I471" s="93"/>
    </row>
    <row r="472" spans="1:9" ht="13.5">
      <c r="A472" s="108"/>
      <c r="B472" s="156"/>
      <c r="C472" s="92"/>
      <c r="D472" s="127"/>
      <c r="E472" s="92"/>
      <c r="F472" s="92"/>
      <c r="G472" s="92"/>
      <c r="H472" s="92"/>
      <c r="I472" s="93"/>
    </row>
    <row r="473" spans="1:9" ht="13.5">
      <c r="A473" s="108"/>
      <c r="B473" s="156"/>
      <c r="C473" s="92"/>
      <c r="D473" s="127"/>
      <c r="E473" s="92"/>
      <c r="F473" s="92"/>
      <c r="G473" s="92"/>
      <c r="H473" s="92"/>
      <c r="I473" s="93"/>
    </row>
    <row r="474" spans="1:9" ht="13.5">
      <c r="A474" s="108"/>
      <c r="B474" s="156"/>
      <c r="C474" s="92"/>
      <c r="D474" s="127"/>
      <c r="E474" s="92"/>
      <c r="F474" s="92"/>
      <c r="G474" s="92"/>
      <c r="H474" s="92"/>
      <c r="I474" s="93"/>
    </row>
    <row r="475" spans="1:9" ht="13.5">
      <c r="A475" s="108"/>
      <c r="B475" s="156"/>
      <c r="C475" s="92"/>
      <c r="D475" s="127"/>
      <c r="E475" s="92"/>
      <c r="F475" s="92"/>
      <c r="G475" s="92"/>
      <c r="H475" s="92"/>
      <c r="I475" s="93"/>
    </row>
    <row r="476" spans="1:9" ht="13.5">
      <c r="A476" s="108"/>
      <c r="B476" s="156"/>
      <c r="C476" s="92"/>
      <c r="D476" s="127"/>
      <c r="E476" s="92"/>
      <c r="F476" s="92"/>
      <c r="G476" s="92"/>
      <c r="H476" s="92"/>
      <c r="I476" s="93"/>
    </row>
    <row r="477" spans="1:9" ht="13.5">
      <c r="A477" s="108"/>
      <c r="B477" s="156"/>
      <c r="C477" s="92"/>
      <c r="D477" s="127"/>
      <c r="E477" s="92"/>
      <c r="F477" s="92"/>
      <c r="G477" s="92"/>
      <c r="H477" s="92"/>
      <c r="I477" s="93"/>
    </row>
    <row r="478" spans="1:9" ht="13.5">
      <c r="A478" s="108"/>
      <c r="B478" s="156"/>
      <c r="C478" s="92"/>
      <c r="D478" s="127"/>
      <c r="E478" s="92"/>
      <c r="F478" s="92"/>
      <c r="G478" s="92"/>
      <c r="H478" s="92"/>
      <c r="I478" s="93"/>
    </row>
    <row r="479" spans="1:9" ht="13.5">
      <c r="A479" s="108"/>
      <c r="B479" s="156"/>
      <c r="C479" s="92"/>
      <c r="D479" s="127"/>
      <c r="E479" s="92"/>
      <c r="F479" s="92"/>
      <c r="G479" s="92"/>
      <c r="H479" s="92"/>
      <c r="I479" s="93"/>
    </row>
    <row r="480" spans="1:9" ht="13.5">
      <c r="A480" s="108"/>
      <c r="B480" s="156"/>
      <c r="C480" s="92"/>
      <c r="D480" s="127"/>
      <c r="E480" s="92"/>
      <c r="F480" s="92"/>
      <c r="G480" s="92"/>
      <c r="H480" s="92"/>
      <c r="I480" s="93"/>
    </row>
    <row r="481" spans="1:9" ht="13.5">
      <c r="A481" s="108"/>
      <c r="B481" s="156"/>
      <c r="C481" s="92"/>
      <c r="D481" s="127"/>
      <c r="E481" s="92"/>
      <c r="F481" s="92"/>
      <c r="G481" s="92"/>
      <c r="H481" s="92"/>
      <c r="I481" s="93"/>
    </row>
    <row r="482" spans="1:9" ht="13.5">
      <c r="A482" s="108"/>
      <c r="B482" s="156"/>
      <c r="C482" s="92"/>
      <c r="D482" s="127"/>
      <c r="E482" s="92"/>
      <c r="F482" s="92"/>
      <c r="G482" s="92"/>
      <c r="H482" s="92"/>
      <c r="I482" s="93"/>
    </row>
    <row r="483" spans="1:9" ht="13.5">
      <c r="A483" s="108"/>
      <c r="B483" s="156"/>
      <c r="C483" s="92"/>
      <c r="D483" s="127"/>
      <c r="E483" s="92"/>
      <c r="F483" s="92"/>
      <c r="G483" s="92"/>
      <c r="H483" s="92"/>
      <c r="I483" s="93"/>
    </row>
    <row r="484" spans="1:9" ht="13.5">
      <c r="A484" s="108"/>
      <c r="B484" s="156"/>
      <c r="C484" s="92"/>
      <c r="D484" s="127"/>
      <c r="E484" s="92"/>
      <c r="F484" s="92"/>
      <c r="G484" s="92"/>
      <c r="H484" s="92"/>
      <c r="I484" s="93"/>
    </row>
    <row r="485" spans="1:9" ht="13.5">
      <c r="A485" s="108"/>
      <c r="B485" s="156"/>
      <c r="C485" s="92"/>
      <c r="D485" s="127"/>
      <c r="E485" s="92"/>
      <c r="F485" s="92"/>
      <c r="G485" s="92"/>
      <c r="H485" s="92"/>
      <c r="I485" s="93"/>
    </row>
    <row r="486" spans="1:9" ht="13.5">
      <c r="A486" s="108"/>
      <c r="B486" s="156"/>
      <c r="C486" s="92"/>
      <c r="D486" s="127"/>
      <c r="E486" s="92"/>
      <c r="F486" s="92"/>
      <c r="G486" s="92"/>
      <c r="H486" s="92"/>
      <c r="I486" s="93"/>
    </row>
    <row r="487" spans="1:9" ht="13.5">
      <c r="A487" s="108"/>
      <c r="B487" s="156"/>
      <c r="C487" s="92"/>
      <c r="D487" s="127"/>
      <c r="E487" s="92"/>
      <c r="F487" s="92"/>
      <c r="G487" s="92"/>
      <c r="H487" s="92"/>
      <c r="I487" s="93"/>
    </row>
    <row r="488" spans="1:9" ht="13.5">
      <c r="A488" s="108"/>
      <c r="B488" s="156"/>
      <c r="C488" s="92"/>
      <c r="D488" s="127"/>
      <c r="E488" s="92"/>
      <c r="F488" s="92"/>
      <c r="G488" s="92"/>
      <c r="H488" s="92"/>
      <c r="I488" s="93"/>
    </row>
    <row r="489" spans="1:9" ht="13.5">
      <c r="A489" s="108"/>
      <c r="B489" s="156"/>
      <c r="C489" s="92"/>
      <c r="D489" s="127"/>
      <c r="E489" s="92"/>
      <c r="F489" s="92"/>
      <c r="G489" s="92"/>
      <c r="H489" s="92"/>
      <c r="I489" s="93"/>
    </row>
    <row r="490" spans="1:9" ht="13.5">
      <c r="A490" s="108"/>
      <c r="B490" s="156"/>
      <c r="C490" s="92"/>
      <c r="D490" s="127"/>
      <c r="E490" s="92"/>
      <c r="F490" s="92"/>
      <c r="G490" s="92"/>
      <c r="H490" s="92"/>
      <c r="I490" s="93"/>
    </row>
    <row r="491" spans="1:9" ht="13.5">
      <c r="A491" s="108"/>
      <c r="B491" s="156"/>
      <c r="C491" s="92"/>
      <c r="D491" s="127"/>
      <c r="E491" s="92"/>
      <c r="F491" s="92"/>
      <c r="G491" s="92"/>
      <c r="H491" s="92"/>
      <c r="I491" s="93"/>
    </row>
    <row r="492" spans="1:9" ht="13.5">
      <c r="A492" s="108"/>
      <c r="B492" s="156"/>
      <c r="C492" s="92"/>
      <c r="D492" s="127"/>
      <c r="E492" s="92"/>
      <c r="F492" s="92"/>
      <c r="G492" s="92"/>
      <c r="H492" s="92"/>
      <c r="I492" s="93"/>
    </row>
    <row r="493" spans="1:9" ht="13.5">
      <c r="A493" s="108"/>
      <c r="B493" s="156"/>
      <c r="C493" s="92"/>
      <c r="D493" s="127"/>
      <c r="E493" s="92"/>
      <c r="F493" s="92"/>
      <c r="G493" s="92"/>
      <c r="H493" s="92"/>
      <c r="I493" s="93"/>
    </row>
    <row r="494" spans="1:9" ht="13.5">
      <c r="A494" s="108"/>
      <c r="B494" s="156"/>
      <c r="C494" s="92"/>
      <c r="D494" s="127"/>
      <c r="E494" s="92"/>
      <c r="F494" s="92"/>
      <c r="G494" s="92"/>
      <c r="H494" s="92"/>
      <c r="I494" s="93"/>
    </row>
    <row r="495" spans="1:9" ht="13.5">
      <c r="A495" s="108"/>
      <c r="B495" s="156"/>
      <c r="C495" s="92"/>
      <c r="D495" s="127"/>
      <c r="E495" s="92"/>
      <c r="F495" s="92"/>
      <c r="G495" s="92"/>
      <c r="H495" s="92"/>
      <c r="I495" s="93"/>
    </row>
    <row r="496" spans="1:9" ht="13.5">
      <c r="A496" s="108"/>
      <c r="B496" s="113"/>
      <c r="C496" s="132"/>
      <c r="D496" s="127"/>
      <c r="E496" s="92"/>
      <c r="F496" s="92"/>
      <c r="G496" s="92"/>
      <c r="H496" s="92"/>
      <c r="I496" s="93"/>
    </row>
    <row r="497" spans="1:9" ht="13.5">
      <c r="A497" s="108"/>
      <c r="B497" s="113"/>
      <c r="C497" s="132"/>
      <c r="D497" s="127"/>
      <c r="E497" s="92"/>
      <c r="F497" s="92"/>
      <c r="G497" s="92"/>
      <c r="H497" s="92"/>
      <c r="I497" s="93"/>
    </row>
    <row r="498" spans="1:9" ht="13.5">
      <c r="A498" s="108"/>
      <c r="B498" s="113"/>
      <c r="C498" s="132"/>
      <c r="D498" s="127"/>
      <c r="E498" s="92"/>
      <c r="F498" s="92"/>
      <c r="G498" s="92"/>
      <c r="H498" s="92"/>
      <c r="I498" s="93"/>
    </row>
    <row r="499" spans="1:9" ht="13.5">
      <c r="A499" s="108"/>
      <c r="B499" s="113"/>
      <c r="C499" s="132"/>
      <c r="D499" s="127"/>
      <c r="E499" s="92"/>
      <c r="F499" s="92"/>
      <c r="G499" s="92"/>
      <c r="H499" s="92"/>
      <c r="I499" s="93"/>
    </row>
    <row r="500" spans="1:9" ht="13.5">
      <c r="A500" s="108"/>
      <c r="B500" s="113"/>
      <c r="C500" s="132"/>
      <c r="D500" s="127"/>
      <c r="E500" s="92"/>
      <c r="F500" s="92"/>
      <c r="G500" s="92"/>
      <c r="H500" s="92"/>
      <c r="I500" s="93"/>
    </row>
    <row r="501" spans="1:9" ht="13.5">
      <c r="A501" s="108"/>
      <c r="B501" s="113"/>
      <c r="C501" s="132"/>
      <c r="D501" s="127"/>
      <c r="E501" s="92"/>
      <c r="F501" s="92"/>
      <c r="G501" s="92"/>
      <c r="H501" s="92"/>
      <c r="I501" s="93"/>
    </row>
    <row r="502" spans="1:9" ht="13.5">
      <c r="A502" s="108"/>
      <c r="B502" s="113"/>
      <c r="C502" s="132"/>
      <c r="D502" s="127"/>
      <c r="E502" s="92"/>
      <c r="F502" s="92"/>
      <c r="G502" s="92"/>
      <c r="H502" s="92"/>
      <c r="I502" s="93"/>
    </row>
    <row r="503" spans="1:9" ht="13.5">
      <c r="A503" s="108"/>
      <c r="B503" s="113"/>
      <c r="C503" s="132"/>
      <c r="D503" s="127"/>
      <c r="E503" s="92"/>
      <c r="F503" s="92"/>
      <c r="G503" s="92"/>
      <c r="H503" s="92"/>
      <c r="I503" s="93"/>
    </row>
    <row r="504" spans="1:9" ht="13.5">
      <c r="A504" s="108"/>
      <c r="B504" s="113"/>
      <c r="C504" s="132"/>
      <c r="D504" s="127"/>
      <c r="E504" s="92"/>
      <c r="F504" s="92"/>
      <c r="G504" s="92"/>
      <c r="H504" s="92"/>
      <c r="I504" s="93"/>
    </row>
    <row r="505" spans="1:9" ht="13.5">
      <c r="A505" s="108"/>
      <c r="B505" s="113"/>
      <c r="C505" s="132"/>
      <c r="D505" s="127"/>
      <c r="E505" s="92"/>
      <c r="F505" s="92"/>
      <c r="G505" s="92"/>
      <c r="H505" s="92"/>
      <c r="I505" s="93"/>
    </row>
    <row r="506" spans="1:9" ht="13.5">
      <c r="A506" s="108"/>
      <c r="B506" s="113"/>
      <c r="C506" s="132"/>
      <c r="D506" s="127"/>
      <c r="E506" s="92"/>
      <c r="F506" s="92"/>
      <c r="G506" s="92"/>
      <c r="H506" s="92"/>
      <c r="I506" s="93"/>
    </row>
    <row r="507" spans="1:9" ht="13.5">
      <c r="A507" s="108"/>
      <c r="B507" s="113"/>
      <c r="C507" s="132"/>
      <c r="D507" s="127"/>
      <c r="E507" s="92"/>
      <c r="F507" s="92"/>
      <c r="G507" s="92"/>
      <c r="H507" s="92"/>
      <c r="I507" s="93"/>
    </row>
    <row r="508" spans="1:9" ht="13.5">
      <c r="A508" s="108"/>
      <c r="B508" s="113"/>
      <c r="C508" s="92"/>
      <c r="D508" s="127"/>
      <c r="E508" s="92"/>
      <c r="F508" s="92"/>
      <c r="G508" s="50"/>
      <c r="H508" s="50"/>
      <c r="I508" s="50"/>
    </row>
    <row r="509" spans="1:9" ht="13.5">
      <c r="A509" s="108"/>
      <c r="B509" s="113"/>
      <c r="C509" s="92"/>
      <c r="D509" s="127"/>
      <c r="E509" s="92"/>
      <c r="F509" s="92"/>
      <c r="G509" s="155"/>
      <c r="H509" s="155"/>
      <c r="I509" s="155"/>
    </row>
    <row r="510" spans="1:9" ht="13.5">
      <c r="A510" s="108"/>
      <c r="B510" s="113"/>
      <c r="C510" s="92"/>
      <c r="D510" s="127"/>
      <c r="E510" s="92"/>
      <c r="F510" s="92"/>
      <c r="G510" s="155"/>
      <c r="H510" s="155"/>
      <c r="I510" s="155"/>
    </row>
    <row r="511" spans="1:9" ht="13.5">
      <c r="A511" s="108"/>
      <c r="B511" s="113"/>
      <c r="C511" s="92"/>
      <c r="D511" s="127"/>
      <c r="E511" s="92"/>
      <c r="F511" s="92"/>
      <c r="G511" s="155"/>
      <c r="H511" s="155"/>
      <c r="I511" s="155"/>
    </row>
    <row r="512" spans="1:9" ht="13.5">
      <c r="A512" s="108"/>
      <c r="B512" s="113"/>
      <c r="C512" s="92"/>
      <c r="D512" s="127"/>
      <c r="E512" s="92"/>
      <c r="F512" s="92"/>
      <c r="G512" s="155"/>
      <c r="H512" s="155"/>
      <c r="I512" s="155"/>
    </row>
    <row r="513" spans="1:9" ht="13.5">
      <c r="A513" s="108"/>
      <c r="B513" s="113"/>
      <c r="C513" s="92"/>
      <c r="D513" s="127"/>
      <c r="E513" s="92"/>
      <c r="F513" s="92"/>
      <c r="G513" s="155"/>
      <c r="H513" s="155"/>
      <c r="I513" s="155"/>
    </row>
    <row r="514" spans="1:9" ht="13.5">
      <c r="A514" s="108"/>
      <c r="B514" s="113"/>
      <c r="C514" s="92"/>
      <c r="D514" s="127"/>
      <c r="E514" s="92"/>
      <c r="F514" s="92"/>
      <c r="G514" s="155"/>
      <c r="H514" s="155"/>
      <c r="I514" s="155"/>
    </row>
    <row r="515" spans="1:9" ht="13.5">
      <c r="A515" s="108"/>
      <c r="B515" s="113"/>
      <c r="C515" s="92"/>
      <c r="D515" s="127"/>
      <c r="E515" s="92"/>
      <c r="F515" s="92"/>
      <c r="G515" s="155"/>
      <c r="H515" s="155"/>
      <c r="I515" s="155"/>
    </row>
    <row r="516" spans="1:9" ht="13.5">
      <c r="A516" s="108"/>
      <c r="B516" s="113"/>
      <c r="C516" s="92"/>
      <c r="D516" s="127"/>
      <c r="E516" s="92"/>
      <c r="F516" s="92"/>
      <c r="G516" s="155"/>
      <c r="H516" s="155"/>
      <c r="I516" s="155"/>
    </row>
    <row r="517" spans="1:9" ht="13.5">
      <c r="A517" s="108"/>
      <c r="B517" s="113"/>
      <c r="C517" s="92"/>
      <c r="D517" s="127"/>
      <c r="E517" s="92"/>
      <c r="F517" s="92"/>
      <c r="G517" s="155"/>
      <c r="H517" s="155"/>
      <c r="I517" s="155"/>
    </row>
    <row r="518" spans="1:9" ht="13.5">
      <c r="A518" s="108"/>
      <c r="B518" s="113"/>
      <c r="C518" s="92"/>
      <c r="D518" s="127"/>
      <c r="E518" s="92"/>
      <c r="F518" s="92"/>
      <c r="G518" s="155"/>
      <c r="H518" s="155"/>
      <c r="I518" s="155"/>
    </row>
    <row r="519" spans="1:9" ht="13.5">
      <c r="A519" s="108"/>
      <c r="B519" s="113"/>
      <c r="C519" s="92"/>
      <c r="D519" s="127"/>
      <c r="E519" s="92"/>
      <c r="F519" s="92"/>
      <c r="G519" s="155"/>
      <c r="H519" s="155"/>
      <c r="I519" s="155"/>
    </row>
    <row r="520" spans="1:9" ht="13.5">
      <c r="A520" s="108"/>
      <c r="B520" s="113"/>
      <c r="C520" s="92"/>
      <c r="D520" s="127"/>
      <c r="E520" s="92"/>
      <c r="F520" s="92"/>
      <c r="G520" s="155"/>
      <c r="H520" s="155"/>
      <c r="I520" s="155"/>
    </row>
    <row r="521" spans="1:9" ht="13.5">
      <c r="A521" s="108"/>
      <c r="B521" s="113"/>
      <c r="C521" s="92"/>
      <c r="D521" s="127"/>
      <c r="E521" s="92"/>
      <c r="F521" s="92"/>
      <c r="G521" s="154"/>
      <c r="H521" s="155"/>
      <c r="I521" s="155"/>
    </row>
    <row r="522" spans="1:9" ht="13.5">
      <c r="A522" s="108"/>
      <c r="B522" s="113"/>
      <c r="C522" s="92"/>
      <c r="D522" s="127"/>
      <c r="E522" s="92"/>
      <c r="F522" s="92"/>
      <c r="G522" s="154"/>
      <c r="H522" s="155"/>
      <c r="I522" s="155"/>
    </row>
    <row r="523" spans="1:9" ht="13.5">
      <c r="A523" s="108"/>
      <c r="B523" s="113"/>
      <c r="C523" s="92"/>
      <c r="D523" s="127"/>
      <c r="E523" s="92"/>
      <c r="F523" s="92"/>
      <c r="G523" s="154"/>
      <c r="H523" s="155"/>
      <c r="I523" s="155"/>
    </row>
    <row r="524" spans="1:9" ht="13.5">
      <c r="A524" s="108"/>
      <c r="B524" s="113"/>
      <c r="C524" s="92"/>
      <c r="D524" s="127"/>
      <c r="E524" s="92"/>
      <c r="F524" s="92"/>
      <c r="G524" s="154"/>
      <c r="H524" s="155"/>
      <c r="I524" s="155"/>
    </row>
    <row r="525" spans="1:9" ht="13.5">
      <c r="A525" s="108"/>
      <c r="B525" s="113"/>
      <c r="C525" s="92"/>
      <c r="D525" s="127"/>
      <c r="E525" s="92"/>
      <c r="F525" s="92"/>
      <c r="G525" s="154"/>
      <c r="H525" s="155"/>
      <c r="I525" s="155"/>
    </row>
    <row r="526" spans="1:9" ht="13.5">
      <c r="A526" s="108"/>
      <c r="B526" s="113"/>
      <c r="C526" s="92"/>
      <c r="D526" s="127"/>
      <c r="E526" s="92"/>
      <c r="F526" s="92"/>
      <c r="G526" s="154"/>
      <c r="H526" s="155"/>
      <c r="I526" s="155"/>
    </row>
    <row r="527" spans="1:9" ht="13.5">
      <c r="A527" s="108"/>
      <c r="B527" s="113"/>
      <c r="C527" s="92"/>
      <c r="D527" s="127"/>
      <c r="E527" s="92"/>
      <c r="F527" s="92"/>
      <c r="G527" s="154"/>
      <c r="H527" s="155"/>
      <c r="I527" s="155"/>
    </row>
    <row r="528" spans="1:9" ht="13.5">
      <c r="A528" s="108"/>
      <c r="B528" s="113"/>
      <c r="C528" s="92"/>
      <c r="D528" s="127"/>
      <c r="E528" s="92"/>
      <c r="F528" s="92"/>
      <c r="G528" s="154"/>
      <c r="H528" s="155"/>
      <c r="I528" s="155"/>
    </row>
    <row r="529" spans="1:9" ht="13.5">
      <c r="A529" s="108"/>
      <c r="B529" s="113"/>
      <c r="C529" s="92"/>
      <c r="D529" s="127"/>
      <c r="E529" s="92"/>
      <c r="F529" s="92"/>
      <c r="G529" s="154"/>
      <c r="H529" s="155"/>
      <c r="I529" s="155"/>
    </row>
    <row r="530" spans="1:9" ht="13.5">
      <c r="A530" s="108"/>
      <c r="B530" s="113"/>
      <c r="C530" s="92"/>
      <c r="D530" s="127"/>
      <c r="E530" s="92"/>
      <c r="F530" s="92"/>
      <c r="G530" s="154"/>
      <c r="H530" s="155"/>
      <c r="I530" s="155"/>
    </row>
    <row r="531" spans="1:9" ht="13.5">
      <c r="A531" s="108"/>
      <c r="B531" s="113"/>
      <c r="C531" s="92"/>
      <c r="D531" s="127"/>
      <c r="E531" s="92"/>
      <c r="F531" s="92"/>
      <c r="G531" s="154"/>
      <c r="H531" s="155"/>
      <c r="I531" s="155"/>
    </row>
    <row r="532" spans="1:9" ht="13.5">
      <c r="A532" s="108"/>
      <c r="B532" s="113"/>
      <c r="C532" s="92"/>
      <c r="D532" s="127"/>
      <c r="E532" s="92"/>
      <c r="F532" s="92"/>
      <c r="G532" s="154"/>
      <c r="H532" s="155"/>
      <c r="I532" s="155"/>
    </row>
    <row r="533" spans="1:9" ht="13.5">
      <c r="A533" s="108"/>
      <c r="B533" s="113"/>
      <c r="C533" s="92"/>
      <c r="D533" s="127"/>
      <c r="E533" s="92"/>
      <c r="F533" s="92"/>
      <c r="G533" s="154"/>
      <c r="H533" s="155"/>
      <c r="I533" s="155"/>
    </row>
    <row r="534" spans="1:9" ht="13.5">
      <c r="A534" s="108"/>
      <c r="B534" s="113"/>
      <c r="C534" s="92"/>
      <c r="D534" s="127"/>
      <c r="E534" s="92"/>
      <c r="F534" s="92"/>
      <c r="G534" s="154"/>
      <c r="H534" s="155"/>
      <c r="I534" s="155"/>
    </row>
    <row r="535" spans="1:9" ht="13.5">
      <c r="A535" s="108"/>
      <c r="B535" s="113"/>
      <c r="C535" s="92"/>
      <c r="D535" s="127"/>
      <c r="E535" s="92"/>
      <c r="F535" s="92"/>
      <c r="G535" s="154"/>
      <c r="H535" s="155"/>
      <c r="I535" s="155"/>
    </row>
    <row r="536" spans="1:9" ht="13.5">
      <c r="A536" s="108"/>
      <c r="B536" s="113"/>
      <c r="C536" s="132"/>
      <c r="D536" s="127"/>
      <c r="E536" s="92"/>
      <c r="F536" s="92"/>
      <c r="G536" s="92"/>
      <c r="H536" s="92"/>
      <c r="I536" s="93"/>
    </row>
    <row r="537" spans="1:9" ht="13.5">
      <c r="A537" s="108"/>
      <c r="B537" s="113"/>
      <c r="C537" s="132"/>
      <c r="D537" s="127"/>
      <c r="E537" s="92"/>
      <c r="F537" s="92"/>
      <c r="G537" s="92"/>
      <c r="H537" s="92"/>
      <c r="I537" s="93"/>
    </row>
    <row r="538" spans="1:9" ht="13.5">
      <c r="A538" s="108"/>
      <c r="B538" s="113"/>
      <c r="C538" s="132"/>
      <c r="D538" s="127"/>
      <c r="E538" s="92"/>
      <c r="F538" s="92"/>
      <c r="G538" s="92"/>
      <c r="H538" s="92"/>
      <c r="I538" s="93"/>
    </row>
    <row r="539" spans="1:9" ht="13.5">
      <c r="A539" s="108"/>
      <c r="B539" s="113"/>
      <c r="C539" s="132"/>
      <c r="D539" s="127"/>
      <c r="E539" s="92"/>
      <c r="F539" s="92"/>
      <c r="G539" s="92"/>
      <c r="H539" s="92"/>
      <c r="I539" s="93"/>
    </row>
    <row r="540" spans="1:9" ht="13.5">
      <c r="A540" s="108"/>
      <c r="B540" s="113"/>
      <c r="C540" s="132"/>
      <c r="D540" s="127"/>
      <c r="E540" s="92"/>
      <c r="F540" s="92"/>
      <c r="G540" s="92"/>
      <c r="H540" s="92"/>
      <c r="I540" s="93"/>
    </row>
    <row r="541" spans="1:9" ht="13.5">
      <c r="A541" s="108"/>
      <c r="B541" s="113"/>
      <c r="C541" s="132"/>
      <c r="D541" s="127"/>
      <c r="E541" s="92"/>
      <c r="F541" s="92"/>
      <c r="G541" s="92"/>
      <c r="H541" s="92"/>
      <c r="I541" s="93"/>
    </row>
    <row r="542" spans="1:9" ht="13.5">
      <c r="A542" s="108"/>
      <c r="B542" s="113"/>
      <c r="C542" s="132"/>
      <c r="D542" s="127"/>
      <c r="E542" s="92"/>
      <c r="F542" s="92"/>
      <c r="G542" s="92"/>
      <c r="H542" s="92"/>
      <c r="I542" s="93"/>
    </row>
    <row r="543" spans="1:9" ht="13.5">
      <c r="A543" s="108"/>
      <c r="B543" s="113"/>
      <c r="C543" s="132"/>
      <c r="D543" s="127"/>
      <c r="E543" s="92"/>
      <c r="F543" s="92"/>
      <c r="G543" s="92"/>
      <c r="H543" s="92"/>
      <c r="I543" s="79"/>
    </row>
    <row r="544" spans="1:9" ht="13.5">
      <c r="A544" s="108"/>
      <c r="B544" s="113"/>
      <c r="C544" s="132"/>
      <c r="D544" s="127"/>
      <c r="E544" s="92"/>
      <c r="F544" s="92"/>
      <c r="G544" s="92"/>
      <c r="H544" s="92"/>
      <c r="I544" s="146"/>
    </row>
    <row r="545" spans="1:9" ht="13.5">
      <c r="A545" s="108"/>
      <c r="B545" s="113"/>
      <c r="C545" s="132"/>
      <c r="D545" s="127"/>
      <c r="E545" s="92"/>
      <c r="F545" s="92"/>
      <c r="G545" s="92"/>
      <c r="H545" s="92"/>
      <c r="I545" s="146"/>
    </row>
    <row r="546" spans="1:9" ht="13.5">
      <c r="A546" s="108"/>
      <c r="B546" s="113"/>
      <c r="C546" s="132"/>
      <c r="D546" s="127"/>
      <c r="E546" s="92"/>
      <c r="F546" s="92"/>
      <c r="G546" s="92"/>
      <c r="H546" s="92"/>
      <c r="I546" s="146"/>
    </row>
    <row r="547" spans="1:9" ht="13.5">
      <c r="A547" s="108"/>
      <c r="B547" s="113"/>
      <c r="C547" s="132"/>
      <c r="D547" s="127"/>
      <c r="E547" s="92"/>
      <c r="F547" s="92"/>
      <c r="G547" s="92"/>
      <c r="H547" s="92"/>
      <c r="I547" s="146"/>
    </row>
    <row r="548" spans="1:9" ht="13.5">
      <c r="A548" s="108"/>
      <c r="B548" s="113"/>
      <c r="C548" s="132"/>
      <c r="D548" s="127"/>
      <c r="E548" s="92"/>
      <c r="F548" s="92"/>
      <c r="G548" s="92"/>
      <c r="H548" s="92"/>
      <c r="I548" s="146"/>
    </row>
    <row r="549" spans="1:9" ht="13.5">
      <c r="A549" s="108"/>
      <c r="B549" s="113"/>
      <c r="C549" s="132"/>
      <c r="D549" s="127"/>
      <c r="E549" s="92"/>
      <c r="F549" s="92"/>
      <c r="G549" s="92"/>
      <c r="H549" s="92"/>
      <c r="I549" s="146"/>
    </row>
    <row r="550" spans="1:9" ht="13.5">
      <c r="A550" s="108"/>
      <c r="B550" s="113"/>
      <c r="C550" s="132"/>
      <c r="D550" s="127"/>
      <c r="E550" s="92"/>
      <c r="F550" s="92"/>
      <c r="G550" s="92"/>
      <c r="H550" s="92"/>
      <c r="I550" s="146"/>
    </row>
    <row r="551" spans="1:9" ht="13.5">
      <c r="A551" s="108"/>
      <c r="B551" s="113"/>
      <c r="C551" s="132"/>
      <c r="D551" s="127"/>
      <c r="E551" s="92"/>
      <c r="F551" s="92"/>
      <c r="G551" s="92"/>
      <c r="H551" s="92"/>
      <c r="I551" s="146"/>
    </row>
    <row r="552" spans="1:9" ht="13.5">
      <c r="A552" s="108"/>
      <c r="B552" s="113"/>
      <c r="C552" s="132"/>
      <c r="D552" s="127"/>
      <c r="E552" s="92"/>
      <c r="F552" s="92"/>
      <c r="G552" s="92"/>
      <c r="H552" s="92"/>
      <c r="I552" s="146"/>
    </row>
    <row r="553" spans="1:9" ht="13.5">
      <c r="A553" s="108"/>
      <c r="B553" s="113"/>
      <c r="C553" s="132"/>
      <c r="D553" s="127"/>
      <c r="E553" s="92"/>
      <c r="F553" s="92"/>
      <c r="G553" s="92"/>
      <c r="H553" s="92"/>
      <c r="I553" s="146"/>
    </row>
    <row r="554" spans="1:9" ht="13.5">
      <c r="A554" s="108"/>
      <c r="B554" s="113"/>
      <c r="C554" s="132"/>
      <c r="D554" s="127"/>
      <c r="E554" s="92"/>
      <c r="F554" s="92"/>
      <c r="G554" s="92"/>
      <c r="H554" s="92"/>
      <c r="I554" s="146"/>
    </row>
    <row r="555" spans="1:9" ht="13.5">
      <c r="A555" s="108"/>
      <c r="B555" s="113"/>
      <c r="C555" s="132"/>
      <c r="D555" s="127"/>
      <c r="E555" s="92"/>
      <c r="F555" s="92"/>
      <c r="G555" s="92"/>
      <c r="H555" s="92"/>
      <c r="I555" s="146"/>
    </row>
    <row r="556" spans="1:9" ht="13.5">
      <c r="A556" s="108"/>
      <c r="B556" s="113"/>
      <c r="C556" s="132"/>
      <c r="D556" s="127"/>
      <c r="E556" s="92"/>
      <c r="F556" s="92"/>
      <c r="G556" s="92"/>
      <c r="H556" s="92"/>
      <c r="I556" s="146"/>
    </row>
    <row r="557" spans="1:9" ht="13.5">
      <c r="A557" s="108"/>
      <c r="B557" s="113"/>
      <c r="C557" s="132"/>
      <c r="D557" s="127"/>
      <c r="E557" s="92"/>
      <c r="F557" s="92"/>
      <c r="G557" s="92"/>
      <c r="H557" s="92"/>
      <c r="I557" s="146"/>
    </row>
    <row r="558" spans="1:9" ht="13.5">
      <c r="A558" s="108"/>
      <c r="B558" s="113"/>
      <c r="C558" s="132"/>
      <c r="D558" s="127"/>
      <c r="E558" s="92"/>
      <c r="F558" s="92"/>
      <c r="G558" s="92"/>
      <c r="H558" s="92"/>
      <c r="I558" s="146"/>
    </row>
    <row r="559" spans="1:9" ht="13.5">
      <c r="A559" s="108"/>
      <c r="B559" s="113"/>
      <c r="C559" s="132"/>
      <c r="D559" s="127"/>
      <c r="E559" s="92"/>
      <c r="F559" s="92"/>
      <c r="G559" s="92"/>
      <c r="H559" s="92"/>
      <c r="I559" s="146"/>
    </row>
    <row r="560" spans="1:9" ht="13.5">
      <c r="A560" s="108"/>
      <c r="B560" s="113"/>
      <c r="C560" s="132"/>
      <c r="D560" s="127"/>
      <c r="E560" s="92"/>
      <c r="F560" s="92"/>
      <c r="G560" s="92"/>
      <c r="H560" s="92"/>
      <c r="I560" s="146"/>
    </row>
    <row r="561" spans="1:9" ht="13.5">
      <c r="A561" s="108"/>
      <c r="B561" s="113"/>
      <c r="C561" s="132"/>
      <c r="D561" s="127"/>
      <c r="E561" s="92"/>
      <c r="F561" s="92"/>
      <c r="G561" s="92"/>
      <c r="H561" s="92"/>
      <c r="I561" s="146"/>
    </row>
    <row r="562" spans="1:9" ht="13.5">
      <c r="A562" s="108"/>
      <c r="B562" s="113"/>
      <c r="C562" s="132"/>
      <c r="D562" s="127"/>
      <c r="E562" s="92"/>
      <c r="F562" s="92"/>
      <c r="G562" s="92"/>
      <c r="H562" s="92"/>
      <c r="I562" s="146"/>
    </row>
    <row r="563" spans="1:9" ht="13.5">
      <c r="A563" s="108"/>
      <c r="B563" s="113"/>
      <c r="C563" s="132"/>
      <c r="D563" s="127"/>
      <c r="E563" s="92"/>
      <c r="F563" s="92"/>
      <c r="G563" s="92"/>
      <c r="H563" s="92"/>
      <c r="I563" s="146"/>
    </row>
    <row r="564" spans="1:9" ht="13.5">
      <c r="A564" s="108"/>
      <c r="B564" s="113"/>
      <c r="C564" s="132"/>
      <c r="D564" s="127"/>
      <c r="E564" s="92"/>
      <c r="F564" s="92"/>
      <c r="G564" s="92"/>
      <c r="H564" s="92"/>
      <c r="I564" s="146"/>
    </row>
    <row r="565" spans="1:9" ht="13.5">
      <c r="A565" s="108"/>
      <c r="B565" s="113"/>
      <c r="C565" s="132"/>
      <c r="D565" s="127"/>
      <c r="E565" s="92"/>
      <c r="F565" s="92"/>
      <c r="G565" s="92"/>
      <c r="H565" s="92"/>
      <c r="I565" s="146"/>
    </row>
    <row r="566" spans="1:9" ht="13.5">
      <c r="A566" s="108"/>
      <c r="B566" s="113"/>
      <c r="C566" s="132"/>
      <c r="D566" s="127"/>
      <c r="E566" s="92"/>
      <c r="F566" s="92"/>
      <c r="G566" s="92"/>
      <c r="H566" s="92"/>
      <c r="I566" s="146"/>
    </row>
    <row r="567" spans="1:9" ht="13.5">
      <c r="A567" s="108"/>
      <c r="B567" s="113"/>
      <c r="C567" s="132"/>
      <c r="D567" s="127"/>
      <c r="E567" s="92"/>
      <c r="F567" s="92"/>
      <c r="G567" s="92"/>
      <c r="H567" s="92"/>
      <c r="I567" s="146"/>
    </row>
    <row r="568" spans="1:9" ht="13.5">
      <c r="A568" s="108"/>
      <c r="B568" s="113"/>
      <c r="C568" s="132"/>
      <c r="D568" s="127"/>
      <c r="E568" s="92"/>
      <c r="F568" s="92"/>
      <c r="G568" s="92"/>
      <c r="H568" s="92"/>
      <c r="I568" s="146"/>
    </row>
    <row r="569" spans="1:9" ht="13.5">
      <c r="A569" s="108"/>
      <c r="B569" s="113"/>
      <c r="C569" s="132"/>
      <c r="D569" s="127"/>
      <c r="E569" s="92"/>
      <c r="F569" s="92"/>
      <c r="G569" s="92"/>
      <c r="H569" s="92"/>
      <c r="I569" s="146"/>
    </row>
    <row r="570" spans="1:9" ht="13.5">
      <c r="A570" s="108"/>
      <c r="B570" s="113"/>
      <c r="C570" s="132"/>
      <c r="D570" s="127"/>
      <c r="E570" s="92"/>
      <c r="F570" s="92"/>
      <c r="G570" s="92"/>
      <c r="H570" s="92"/>
      <c r="I570" s="146"/>
    </row>
    <row r="571" spans="1:9" ht="13.5">
      <c r="A571" s="108"/>
      <c r="B571" s="113"/>
      <c r="C571" s="132"/>
      <c r="D571" s="127"/>
      <c r="E571" s="92"/>
      <c r="F571" s="92"/>
      <c r="G571" s="92"/>
      <c r="H571" s="92"/>
      <c r="I571" s="146"/>
    </row>
    <row r="572" spans="1:9" ht="13.5">
      <c r="A572" s="108"/>
      <c r="B572" s="113"/>
      <c r="C572" s="132"/>
      <c r="D572" s="127"/>
      <c r="E572" s="92"/>
      <c r="F572" s="92"/>
      <c r="G572" s="92"/>
      <c r="H572" s="92"/>
      <c r="I572" s="146"/>
    </row>
    <row r="573" spans="1:9" ht="13.5">
      <c r="A573" s="108"/>
      <c r="B573" s="113"/>
      <c r="C573" s="132"/>
      <c r="D573" s="127"/>
      <c r="E573" s="92"/>
      <c r="F573" s="92"/>
      <c r="G573" s="92"/>
      <c r="H573" s="92"/>
      <c r="I573" s="146"/>
    </row>
    <row r="574" spans="1:9" ht="13.5">
      <c r="A574" s="108"/>
      <c r="B574" s="113"/>
      <c r="C574" s="132"/>
      <c r="D574" s="127"/>
      <c r="E574" s="92"/>
      <c r="F574" s="92"/>
      <c r="G574" s="92"/>
      <c r="H574" s="92"/>
      <c r="I574" s="146"/>
    </row>
    <row r="575" spans="1:9" ht="13.5">
      <c r="A575" s="108"/>
      <c r="B575" s="102"/>
      <c r="C575" s="67"/>
      <c r="D575" s="123"/>
      <c r="E575" s="51"/>
      <c r="F575" s="51"/>
      <c r="G575" s="92"/>
      <c r="H575" s="92"/>
      <c r="I575" s="146"/>
    </row>
    <row r="576" spans="1:9" ht="13.5">
      <c r="A576" s="108"/>
      <c r="B576" s="113"/>
      <c r="C576" s="132"/>
      <c r="D576" s="127"/>
      <c r="E576" s="92"/>
      <c r="F576" s="92"/>
      <c r="G576" s="92"/>
      <c r="H576" s="92"/>
      <c r="I576" s="146"/>
    </row>
    <row r="577" spans="1:9" ht="13.5">
      <c r="A577" s="108"/>
      <c r="B577" s="113"/>
      <c r="C577" s="132"/>
      <c r="D577" s="127"/>
      <c r="E577" s="92"/>
      <c r="F577" s="92"/>
      <c r="G577" s="92"/>
      <c r="H577" s="92"/>
      <c r="I577" s="146"/>
    </row>
    <row r="578" spans="1:9" ht="13.5">
      <c r="A578" s="108"/>
      <c r="B578" s="102"/>
      <c r="C578" s="132"/>
      <c r="D578" s="127"/>
      <c r="E578" s="92"/>
      <c r="F578" s="92"/>
      <c r="G578" s="92"/>
      <c r="H578" s="92"/>
      <c r="I578" s="146"/>
    </row>
    <row r="579" spans="1:9" ht="13.5">
      <c r="A579" s="108"/>
      <c r="B579" s="157"/>
      <c r="C579" s="132"/>
      <c r="D579" s="127"/>
      <c r="E579" s="92"/>
      <c r="F579" s="92"/>
      <c r="G579" s="92"/>
      <c r="H579" s="92"/>
      <c r="I579" s="146"/>
    </row>
    <row r="580" spans="1:9" ht="13.5">
      <c r="A580" s="108"/>
      <c r="B580" s="157"/>
      <c r="C580" s="132"/>
      <c r="D580" s="127"/>
      <c r="E580" s="92"/>
      <c r="F580" s="92"/>
      <c r="G580" s="92"/>
      <c r="H580" s="92"/>
      <c r="I580" s="146"/>
    </row>
    <row r="581" spans="1:9" ht="13.5">
      <c r="A581" s="108"/>
      <c r="B581" s="157"/>
      <c r="C581" s="132"/>
      <c r="D581" s="127"/>
      <c r="E581" s="92"/>
      <c r="F581" s="92"/>
      <c r="G581" s="92"/>
      <c r="H581" s="92"/>
      <c r="I581" s="146"/>
    </row>
    <row r="582" spans="1:9" ht="13.5">
      <c r="A582" s="108"/>
      <c r="B582" s="113"/>
      <c r="C582" s="132"/>
      <c r="D582" s="127"/>
      <c r="E582" s="92"/>
      <c r="F582" s="92"/>
      <c r="G582" s="92"/>
      <c r="H582" s="92"/>
      <c r="I582" s="93"/>
    </row>
    <row r="583" spans="1:9" ht="13.5">
      <c r="A583" s="108"/>
      <c r="B583" s="105"/>
      <c r="C583" s="75"/>
      <c r="D583" s="121"/>
      <c r="E583" s="85"/>
      <c r="F583" s="74"/>
      <c r="G583" s="50"/>
      <c r="H583" s="50"/>
      <c r="I583" s="51"/>
    </row>
    <row r="584" spans="1:9" ht="13.5">
      <c r="A584" s="108"/>
      <c r="B584" s="113"/>
      <c r="C584" s="132"/>
      <c r="D584" s="127"/>
      <c r="E584" s="92"/>
      <c r="F584" s="92"/>
      <c r="G584" s="92"/>
      <c r="H584" s="92"/>
      <c r="I584" s="93"/>
    </row>
    <row r="585" spans="1:9" ht="13.5">
      <c r="A585" s="108"/>
      <c r="B585" s="113"/>
      <c r="C585" s="132"/>
      <c r="D585" s="127"/>
      <c r="E585" s="92"/>
      <c r="F585" s="92"/>
      <c r="G585" s="92"/>
      <c r="H585" s="92"/>
      <c r="I585" s="93"/>
    </row>
    <row r="586" spans="1:9" ht="13.5">
      <c r="A586" s="108"/>
      <c r="B586" s="113"/>
      <c r="C586" s="132"/>
      <c r="D586" s="127"/>
      <c r="E586" s="92"/>
      <c r="F586" s="92"/>
      <c r="G586" s="92"/>
      <c r="H586" s="92"/>
      <c r="I586" s="93"/>
    </row>
    <row r="587" spans="1:9" ht="13.5">
      <c r="A587" s="108"/>
      <c r="B587" s="113"/>
      <c r="C587" s="132"/>
      <c r="D587" s="127"/>
      <c r="E587" s="92"/>
      <c r="F587" s="92"/>
      <c r="G587" s="92"/>
      <c r="H587" s="92"/>
      <c r="I587" s="93"/>
    </row>
    <row r="588" spans="1:9" ht="13.5">
      <c r="A588" s="108"/>
      <c r="B588" s="108"/>
      <c r="C588" s="132"/>
      <c r="D588" s="127"/>
      <c r="E588" s="92"/>
      <c r="F588" s="92"/>
      <c r="G588" s="92"/>
      <c r="H588" s="92"/>
      <c r="I588" s="93"/>
    </row>
    <row r="589" spans="1:9" ht="13.5">
      <c r="A589" s="108"/>
      <c r="B589" s="108"/>
      <c r="C589" s="132"/>
      <c r="D589" s="127"/>
      <c r="E589" s="92"/>
      <c r="F589" s="92"/>
      <c r="G589" s="92"/>
      <c r="H589" s="92"/>
      <c r="I589" s="93"/>
    </row>
    <row r="590" spans="1:9" ht="13.5">
      <c r="A590" s="108"/>
      <c r="B590" s="108"/>
      <c r="C590" s="132"/>
      <c r="D590" s="127"/>
      <c r="E590" s="92"/>
      <c r="F590" s="92"/>
      <c r="G590" s="92"/>
      <c r="H590" s="92"/>
      <c r="I590" s="93"/>
    </row>
    <row r="591" spans="1:9" ht="13.5">
      <c r="A591" s="108"/>
      <c r="B591" s="108"/>
      <c r="C591" s="132"/>
      <c r="D591" s="127"/>
      <c r="E591" s="92"/>
      <c r="F591" s="92"/>
      <c r="G591" s="92"/>
      <c r="H591" s="92"/>
      <c r="I591" s="93"/>
    </row>
    <row r="592" spans="1:9" ht="13.5">
      <c r="A592" s="108"/>
      <c r="B592" s="108"/>
      <c r="C592" s="132"/>
      <c r="D592" s="127"/>
      <c r="E592" s="92"/>
      <c r="F592" s="92"/>
      <c r="G592" s="92"/>
      <c r="H592" s="92"/>
      <c r="I592" s="93"/>
    </row>
    <row r="593" spans="1:9" ht="13.5">
      <c r="A593" s="108"/>
      <c r="B593" s="108"/>
      <c r="C593" s="132"/>
      <c r="D593" s="127"/>
      <c r="E593" s="92"/>
      <c r="F593" s="92"/>
      <c r="G593" s="92"/>
      <c r="H593" s="92"/>
      <c r="I593" s="93"/>
    </row>
    <row r="594" spans="1:9" ht="13.5">
      <c r="A594" s="108"/>
      <c r="B594" s="108"/>
      <c r="C594" s="132"/>
      <c r="D594" s="127"/>
      <c r="E594" s="92"/>
      <c r="F594" s="92"/>
      <c r="G594" s="92"/>
      <c r="H594" s="92"/>
      <c r="I594" s="93"/>
    </row>
    <row r="595" spans="1:9" ht="13.5">
      <c r="A595" s="108"/>
      <c r="B595" s="108"/>
      <c r="C595" s="132"/>
      <c r="D595" s="127"/>
      <c r="E595" s="92"/>
      <c r="F595" s="92"/>
      <c r="G595" s="92"/>
      <c r="H595" s="92"/>
      <c r="I595" s="93"/>
    </row>
    <row r="596" spans="1:9" ht="13.5">
      <c r="A596" s="108"/>
      <c r="B596" s="108"/>
      <c r="C596" s="132"/>
      <c r="D596" s="127"/>
      <c r="E596" s="92"/>
      <c r="F596" s="92"/>
      <c r="G596" s="92"/>
      <c r="H596" s="92"/>
      <c r="I596" s="93"/>
    </row>
    <row r="597" spans="1:9" ht="13.5">
      <c r="A597" s="108"/>
      <c r="B597" s="113"/>
      <c r="C597" s="132"/>
      <c r="D597" s="127"/>
      <c r="E597" s="92"/>
      <c r="F597" s="92"/>
      <c r="G597" s="92"/>
      <c r="H597" s="92"/>
      <c r="I597" s="93"/>
    </row>
    <row r="598" spans="1:9" ht="13.5">
      <c r="A598" s="108"/>
      <c r="B598" s="113"/>
      <c r="C598" s="132"/>
      <c r="D598" s="127"/>
      <c r="E598" s="92"/>
      <c r="F598" s="92"/>
      <c r="G598" s="92"/>
      <c r="H598" s="92"/>
      <c r="I598" s="93"/>
    </row>
    <row r="599" spans="1:9" ht="13.5">
      <c r="A599" s="108"/>
      <c r="B599" s="113"/>
      <c r="C599" s="92"/>
      <c r="D599" s="127"/>
      <c r="E599" s="92"/>
      <c r="F599" s="92"/>
      <c r="G599" s="92"/>
      <c r="H599" s="92"/>
      <c r="I599" s="93"/>
    </row>
    <row r="600" spans="1:9" ht="13.5">
      <c r="A600" s="108"/>
      <c r="B600" s="113"/>
      <c r="C600" s="92"/>
      <c r="D600" s="127"/>
      <c r="E600" s="92"/>
      <c r="F600" s="92"/>
      <c r="G600" s="92"/>
      <c r="H600" s="92"/>
      <c r="I600" s="93"/>
    </row>
    <row r="601" spans="1:9" ht="13.5">
      <c r="A601" s="108"/>
      <c r="B601" s="113"/>
      <c r="C601" s="92"/>
      <c r="D601" s="127"/>
      <c r="E601" s="92"/>
      <c r="F601" s="92"/>
      <c r="G601" s="92"/>
      <c r="H601" s="92"/>
      <c r="I601" s="93"/>
    </row>
    <row r="602" spans="1:9" ht="13.5">
      <c r="A602" s="108"/>
      <c r="B602" s="113"/>
      <c r="C602" s="132"/>
      <c r="D602" s="127"/>
      <c r="E602" s="92"/>
      <c r="F602" s="92"/>
      <c r="G602" s="92"/>
      <c r="H602" s="92"/>
      <c r="I602" s="93"/>
    </row>
    <row r="603" spans="1:9" ht="13.5">
      <c r="A603" s="108"/>
      <c r="B603" s="113"/>
      <c r="C603" s="132"/>
      <c r="D603" s="127"/>
      <c r="E603" s="92"/>
      <c r="F603" s="92"/>
      <c r="G603" s="92"/>
      <c r="H603" s="92"/>
      <c r="I603" s="93"/>
    </row>
    <row r="604" spans="1:9" ht="13.5">
      <c r="A604" s="108"/>
      <c r="B604" s="113"/>
      <c r="C604" s="132"/>
      <c r="D604" s="127"/>
      <c r="E604" s="92"/>
      <c r="F604" s="92"/>
      <c r="G604" s="92"/>
      <c r="H604" s="92"/>
      <c r="I604" s="93"/>
    </row>
    <row r="605" spans="1:9" ht="13.5">
      <c r="A605" s="108"/>
      <c r="B605" s="113"/>
      <c r="C605" s="132"/>
      <c r="D605" s="127"/>
      <c r="E605" s="92"/>
      <c r="F605" s="92"/>
      <c r="G605" s="92"/>
      <c r="H605" s="92"/>
      <c r="I605" s="93"/>
    </row>
    <row r="606" spans="1:9" ht="13.5">
      <c r="A606" s="108"/>
      <c r="B606" s="113"/>
      <c r="C606" s="132"/>
      <c r="D606" s="127"/>
      <c r="E606" s="92"/>
      <c r="F606" s="92"/>
      <c r="G606" s="92"/>
      <c r="H606" s="92"/>
      <c r="I606" s="93"/>
    </row>
    <row r="607" spans="1:9" ht="13.5">
      <c r="A607" s="108"/>
      <c r="B607" s="113"/>
      <c r="C607" s="132"/>
      <c r="D607" s="127"/>
      <c r="E607" s="92"/>
      <c r="F607" s="92"/>
      <c r="G607" s="92"/>
      <c r="H607" s="92"/>
      <c r="I607" s="93"/>
    </row>
    <row r="608" spans="1:9" ht="13.5">
      <c r="A608" s="108"/>
      <c r="B608" s="113"/>
      <c r="C608" s="132"/>
      <c r="D608" s="127"/>
      <c r="E608" s="92"/>
      <c r="F608" s="92"/>
      <c r="G608" s="92"/>
      <c r="H608" s="92"/>
      <c r="I608" s="93"/>
    </row>
    <row r="609" spans="1:9" ht="13.5">
      <c r="A609" s="108"/>
      <c r="B609" s="113"/>
      <c r="C609" s="132"/>
      <c r="D609" s="127"/>
      <c r="E609" s="92"/>
      <c r="F609" s="92"/>
      <c r="G609" s="92"/>
      <c r="H609" s="92"/>
      <c r="I609" s="93"/>
    </row>
    <row r="610" spans="1:9" ht="13.5">
      <c r="A610" s="108"/>
      <c r="B610" s="113"/>
      <c r="C610" s="132"/>
      <c r="D610" s="127"/>
      <c r="E610" s="92"/>
      <c r="F610" s="92"/>
      <c r="G610" s="92"/>
      <c r="H610" s="92"/>
      <c r="I610" s="93"/>
    </row>
    <row r="611" spans="1:9" ht="13.5">
      <c r="A611" s="108"/>
      <c r="B611" s="113"/>
      <c r="C611" s="132"/>
      <c r="D611" s="127"/>
      <c r="E611" s="92"/>
      <c r="F611" s="92"/>
      <c r="G611" s="92"/>
      <c r="H611" s="92"/>
      <c r="I611" s="93"/>
    </row>
    <row r="612" spans="1:9" ht="13.5">
      <c r="A612" s="108"/>
      <c r="B612" s="113"/>
      <c r="C612" s="132"/>
      <c r="D612" s="127"/>
      <c r="E612" s="92"/>
      <c r="F612" s="92"/>
      <c r="G612" s="92"/>
      <c r="H612" s="92"/>
      <c r="I612" s="93"/>
    </row>
    <row r="613" spans="1:9" ht="13.5">
      <c r="A613" s="108"/>
      <c r="B613" s="102"/>
      <c r="C613" s="67"/>
      <c r="D613" s="59"/>
      <c r="E613" s="73"/>
      <c r="F613" s="51"/>
      <c r="G613" s="50"/>
      <c r="H613" s="50"/>
      <c r="I613" s="51"/>
    </row>
    <row r="614" spans="1:9" ht="13.5">
      <c r="A614" s="108"/>
      <c r="B614" s="113"/>
      <c r="C614" s="92"/>
      <c r="D614" s="127"/>
      <c r="E614" s="92"/>
      <c r="F614" s="92"/>
      <c r="G614" s="92"/>
      <c r="H614" s="92"/>
      <c r="I614" s="93"/>
    </row>
    <row r="615" spans="1:9" ht="13.5">
      <c r="A615" s="108"/>
      <c r="B615" s="113"/>
      <c r="C615" s="92"/>
      <c r="D615" s="127"/>
      <c r="E615" s="92"/>
      <c r="F615" s="92"/>
      <c r="G615" s="92"/>
      <c r="H615" s="92"/>
      <c r="I615" s="93"/>
    </row>
    <row r="616" spans="1:9" ht="13.5">
      <c r="A616" s="108"/>
      <c r="B616" s="107"/>
      <c r="C616" s="41"/>
      <c r="D616" s="64"/>
      <c r="E616" s="41"/>
      <c r="F616" s="41"/>
      <c r="G616" s="41"/>
      <c r="H616" s="92"/>
      <c r="I616" s="93"/>
    </row>
    <row r="617" spans="1:9" ht="13.5">
      <c r="A617" s="108"/>
      <c r="B617" s="107"/>
      <c r="C617" s="147"/>
      <c r="D617" s="64"/>
      <c r="E617" s="41"/>
      <c r="F617" s="41"/>
      <c r="G617" s="41"/>
      <c r="H617" s="92"/>
      <c r="I617" s="93"/>
    </row>
    <row r="618" spans="1:9" ht="13.5">
      <c r="A618" s="108"/>
      <c r="B618" s="107"/>
      <c r="C618" s="147"/>
      <c r="D618" s="64"/>
      <c r="E618" s="41"/>
      <c r="F618" s="41"/>
      <c r="G618" s="41"/>
      <c r="H618" s="92"/>
      <c r="I618" s="93"/>
    </row>
    <row r="619" spans="1:9" ht="13.5">
      <c r="A619" s="108"/>
      <c r="B619" s="107"/>
      <c r="C619" s="147"/>
      <c r="D619" s="64"/>
      <c r="E619" s="41"/>
      <c r="F619" s="41"/>
      <c r="G619" s="41"/>
      <c r="H619" s="92"/>
      <c r="I619" s="93"/>
    </row>
    <row r="620" spans="1:9" ht="13.5">
      <c r="A620" s="108"/>
      <c r="B620" s="107"/>
      <c r="C620" s="147"/>
      <c r="D620" s="64"/>
      <c r="E620" s="41"/>
      <c r="F620" s="41"/>
      <c r="G620" s="41"/>
      <c r="H620" s="92"/>
      <c r="I620" s="93"/>
    </row>
    <row r="621" spans="1:9" ht="13.5">
      <c r="A621" s="108"/>
      <c r="B621" s="107"/>
      <c r="C621" s="147"/>
      <c r="D621" s="64"/>
      <c r="E621" s="41"/>
      <c r="F621" s="41"/>
      <c r="G621" s="41"/>
      <c r="H621" s="92"/>
      <c r="I621" s="93"/>
    </row>
    <row r="622" spans="1:9" ht="13.5">
      <c r="A622" s="108"/>
      <c r="B622" s="107"/>
      <c r="C622" s="147"/>
      <c r="D622" s="64"/>
      <c r="E622" s="41"/>
      <c r="F622" s="41"/>
      <c r="G622" s="41"/>
      <c r="H622" s="92"/>
      <c r="I622" s="93"/>
    </row>
    <row r="623" spans="1:9" ht="13.5">
      <c r="A623" s="108"/>
      <c r="B623" s="107"/>
      <c r="C623" s="147"/>
      <c r="D623" s="64"/>
      <c r="E623" s="41"/>
      <c r="F623" s="41"/>
      <c r="G623" s="41"/>
      <c r="H623" s="92"/>
      <c r="I623" s="93"/>
    </row>
    <row r="624" spans="1:9" ht="13.5">
      <c r="A624" s="108"/>
      <c r="B624" s="107"/>
      <c r="C624" s="147"/>
      <c r="D624" s="64"/>
      <c r="E624" s="41"/>
      <c r="F624" s="41"/>
      <c r="G624" s="41"/>
      <c r="H624" s="92"/>
      <c r="I624" s="93"/>
    </row>
    <row r="625" spans="1:9" ht="13.5">
      <c r="A625" s="108"/>
      <c r="B625" s="107"/>
      <c r="C625" s="147"/>
      <c r="D625" s="64"/>
      <c r="E625" s="41"/>
      <c r="F625" s="41"/>
      <c r="G625" s="41"/>
      <c r="H625" s="92"/>
      <c r="I625" s="93"/>
    </row>
    <row r="626" spans="1:9" ht="13.5">
      <c r="A626" s="108"/>
      <c r="B626" s="107"/>
      <c r="C626" s="147"/>
      <c r="D626" s="64"/>
      <c r="E626" s="41"/>
      <c r="F626" s="41"/>
      <c r="G626" s="41"/>
      <c r="H626" s="92"/>
      <c r="I626" s="93"/>
    </row>
    <row r="627" spans="1:9" ht="13.5">
      <c r="A627" s="108"/>
      <c r="B627" s="107"/>
      <c r="C627" s="147"/>
      <c r="D627" s="64"/>
      <c r="E627" s="41"/>
      <c r="F627" s="41"/>
      <c r="G627" s="41"/>
      <c r="H627" s="92"/>
      <c r="I627" s="93"/>
    </row>
    <row r="628" spans="1:9" ht="13.5">
      <c r="A628" s="108"/>
      <c r="B628" s="107"/>
      <c r="C628" s="147"/>
      <c r="D628" s="64"/>
      <c r="E628" s="41"/>
      <c r="F628" s="41"/>
      <c r="G628" s="41"/>
      <c r="H628" s="92"/>
      <c r="I628" s="93"/>
    </row>
    <row r="629" spans="1:9" ht="13.5">
      <c r="A629" s="108"/>
      <c r="B629" s="107"/>
      <c r="C629" s="147"/>
      <c r="D629" s="64"/>
      <c r="E629" s="41"/>
      <c r="F629" s="41"/>
      <c r="G629" s="41"/>
      <c r="H629" s="92"/>
      <c r="I629" s="93"/>
    </row>
    <row r="630" spans="1:9" ht="13.5">
      <c r="A630" s="108"/>
      <c r="B630" s="107"/>
      <c r="C630" s="147"/>
      <c r="D630" s="64"/>
      <c r="E630" s="41"/>
      <c r="F630" s="41"/>
      <c r="G630" s="41"/>
      <c r="H630" s="92"/>
      <c r="I630" s="93"/>
    </row>
    <row r="631" spans="1:9" ht="13.5">
      <c r="A631" s="108"/>
      <c r="B631" s="107"/>
      <c r="C631" s="41"/>
      <c r="D631" s="64"/>
      <c r="E631" s="41"/>
      <c r="F631" s="41"/>
      <c r="G631" s="41"/>
      <c r="H631" s="92"/>
      <c r="I631" s="93"/>
    </row>
    <row r="632" spans="1:9" ht="13.5">
      <c r="A632" s="108"/>
      <c r="B632" s="107"/>
      <c r="C632" s="41"/>
      <c r="D632" s="64"/>
      <c r="E632" s="41"/>
      <c r="F632" s="41"/>
      <c r="G632" s="41"/>
      <c r="H632" s="92"/>
      <c r="I632" s="93"/>
    </row>
    <row r="633" spans="1:9" ht="13.5">
      <c r="A633" s="108"/>
      <c r="B633" s="107"/>
      <c r="C633" s="41"/>
      <c r="D633" s="64"/>
      <c r="E633" s="41"/>
      <c r="F633" s="41"/>
      <c r="G633" s="41"/>
      <c r="H633" s="92"/>
      <c r="I633" s="93"/>
    </row>
    <row r="634" spans="1:9" ht="13.5">
      <c r="A634" s="108"/>
      <c r="B634" s="107"/>
      <c r="C634" s="41"/>
      <c r="D634" s="64"/>
      <c r="E634" s="41"/>
      <c r="F634" s="41"/>
      <c r="G634" s="41"/>
      <c r="H634" s="92"/>
      <c r="I634" s="93"/>
    </row>
    <row r="635" spans="1:9" ht="13.5">
      <c r="A635" s="108"/>
      <c r="B635" s="107"/>
      <c r="C635" s="41"/>
      <c r="D635" s="64"/>
      <c r="E635" s="41"/>
      <c r="F635" s="41"/>
      <c r="G635" s="41"/>
      <c r="H635" s="92"/>
      <c r="I635" s="93"/>
    </row>
    <row r="636" spans="1:9" ht="13.5">
      <c r="A636" s="108"/>
      <c r="B636" s="107"/>
      <c r="C636" s="41"/>
      <c r="D636" s="64"/>
      <c r="E636" s="41"/>
      <c r="F636" s="41"/>
      <c r="G636" s="41"/>
      <c r="H636" s="92"/>
      <c r="I636" s="93"/>
    </row>
    <row r="637" spans="1:9" ht="13.5">
      <c r="A637" s="108"/>
      <c r="B637" s="107"/>
      <c r="C637" s="41"/>
      <c r="D637" s="64"/>
      <c r="E637" s="41"/>
      <c r="F637" s="41"/>
      <c r="G637" s="41"/>
      <c r="H637" s="92"/>
      <c r="I637" s="93"/>
    </row>
    <row r="638" spans="1:9" ht="13.5">
      <c r="A638" s="108"/>
      <c r="B638" s="107"/>
      <c r="C638" s="41"/>
      <c r="D638" s="64"/>
      <c r="E638" s="41"/>
      <c r="F638" s="41"/>
      <c r="G638" s="41"/>
      <c r="H638" s="92"/>
      <c r="I638" s="93"/>
    </row>
    <row r="639" spans="1:9" ht="13.5">
      <c r="A639" s="103"/>
      <c r="B639" s="107"/>
      <c r="C639" s="147"/>
      <c r="D639" s="64"/>
      <c r="E639" s="41"/>
      <c r="F639" s="41"/>
      <c r="G639" s="41"/>
      <c r="H639" s="41"/>
      <c r="I639" s="57"/>
    </row>
    <row r="640" spans="1:9" ht="13.5">
      <c r="A640" s="103"/>
      <c r="B640" s="107"/>
      <c r="C640" s="147"/>
      <c r="D640" s="64"/>
      <c r="E640" s="41"/>
      <c r="F640" s="41"/>
      <c r="G640" s="41"/>
      <c r="H640" s="41"/>
      <c r="I640" s="57"/>
    </row>
    <row r="641" spans="1:9" ht="13.5">
      <c r="A641" s="103"/>
      <c r="B641" s="107"/>
      <c r="C641" s="147"/>
      <c r="D641" s="64"/>
      <c r="E641" s="41"/>
      <c r="F641" s="41"/>
      <c r="G641" s="41"/>
      <c r="H641" s="41"/>
      <c r="I641" s="57"/>
    </row>
    <row r="642" spans="1:9" ht="13.5">
      <c r="A642" s="103"/>
      <c r="B642" s="107"/>
      <c r="C642" s="147"/>
      <c r="D642" s="64"/>
      <c r="E642" s="41"/>
      <c r="F642" s="41"/>
      <c r="G642" s="41"/>
      <c r="H642" s="41"/>
      <c r="I642" s="57"/>
    </row>
    <row r="643" spans="1:9" ht="13.5">
      <c r="A643" s="103"/>
      <c r="B643" s="60"/>
      <c r="C643" s="143"/>
      <c r="D643" s="120"/>
      <c r="E643" s="49"/>
      <c r="F643" s="50"/>
      <c r="G643" s="50"/>
      <c r="H643" s="50"/>
      <c r="I643" s="51"/>
    </row>
    <row r="644" spans="1:9" ht="13.5">
      <c r="A644" s="103"/>
      <c r="B644" s="107"/>
      <c r="C644" s="147"/>
      <c r="D644" s="64"/>
      <c r="E644" s="41"/>
      <c r="F644" s="41"/>
      <c r="G644" s="41"/>
      <c r="H644" s="41"/>
      <c r="I644" s="57"/>
    </row>
    <row r="645" spans="1:9" ht="13.5">
      <c r="A645" s="103"/>
      <c r="B645" s="107"/>
      <c r="C645" s="147"/>
      <c r="D645" s="64"/>
      <c r="E645" s="41"/>
      <c r="F645" s="41"/>
      <c r="G645" s="41"/>
      <c r="H645" s="41"/>
      <c r="I645" s="57"/>
    </row>
    <row r="646" spans="1:9" ht="13.5">
      <c r="A646" s="108"/>
      <c r="B646" s="107"/>
      <c r="C646" s="147"/>
      <c r="D646" s="64"/>
      <c r="E646" s="41"/>
      <c r="F646" s="41"/>
      <c r="G646" s="41"/>
      <c r="H646" s="92"/>
      <c r="I646" s="93"/>
    </row>
    <row r="647" spans="1:9" ht="13.5">
      <c r="A647" s="108"/>
      <c r="B647" s="107"/>
      <c r="C647" s="147"/>
      <c r="D647" s="64"/>
      <c r="E647" s="41"/>
      <c r="F647" s="41"/>
      <c r="G647" s="41"/>
      <c r="H647" s="92"/>
      <c r="I647" s="93"/>
    </row>
    <row r="648" spans="1:9" ht="13.5">
      <c r="A648" s="108"/>
      <c r="B648" s="107"/>
      <c r="C648" s="147"/>
      <c r="D648" s="64"/>
      <c r="E648" s="41"/>
      <c r="F648" s="41"/>
      <c r="G648" s="41"/>
      <c r="H648" s="92"/>
      <c r="I648" s="93"/>
    </row>
    <row r="649" spans="1:9" ht="13.5">
      <c r="A649" s="108"/>
      <c r="B649" s="107"/>
      <c r="C649" s="147"/>
      <c r="D649" s="64"/>
      <c r="E649" s="41"/>
      <c r="F649" s="41"/>
      <c r="G649" s="41"/>
      <c r="H649" s="92"/>
      <c r="I649" s="93"/>
    </row>
    <row r="650" spans="1:9" ht="13.5">
      <c r="A650" s="108"/>
      <c r="B650" s="107"/>
      <c r="C650" s="147"/>
      <c r="D650" s="64"/>
      <c r="E650" s="41"/>
      <c r="F650" s="41"/>
      <c r="G650" s="41"/>
      <c r="H650" s="92"/>
      <c r="I650" s="93"/>
    </row>
    <row r="651" spans="1:9" ht="13.5">
      <c r="A651" s="108"/>
      <c r="B651" s="107"/>
      <c r="C651" s="147"/>
      <c r="D651" s="64"/>
      <c r="E651" s="41"/>
      <c r="F651" s="41"/>
      <c r="G651" s="41"/>
      <c r="H651" s="92"/>
      <c r="I651" s="93"/>
    </row>
    <row r="652" spans="1:9" ht="13.5">
      <c r="A652" s="108"/>
      <c r="B652" s="107"/>
      <c r="C652" s="147"/>
      <c r="D652" s="64"/>
      <c r="E652" s="41"/>
      <c r="F652" s="41"/>
      <c r="G652" s="41"/>
      <c r="H652" s="92"/>
      <c r="I652" s="93"/>
    </row>
    <row r="653" spans="1:9" ht="13.5">
      <c r="A653" s="108"/>
      <c r="B653" s="107"/>
      <c r="C653" s="147"/>
      <c r="D653" s="64"/>
      <c r="E653" s="41"/>
      <c r="F653" s="41"/>
      <c r="G653" s="41"/>
      <c r="H653" s="92"/>
      <c r="I653" s="93"/>
    </row>
    <row r="654" spans="1:9" ht="13.5">
      <c r="A654" s="108"/>
      <c r="B654" s="107"/>
      <c r="C654" s="147"/>
      <c r="D654" s="64"/>
      <c r="E654" s="41"/>
      <c r="F654" s="41"/>
      <c r="G654" s="41"/>
      <c r="H654" s="92"/>
      <c r="I654" s="93"/>
    </row>
    <row r="655" spans="1:9" ht="13.5">
      <c r="A655" s="108"/>
      <c r="B655" s="107"/>
      <c r="C655" s="147"/>
      <c r="D655" s="64"/>
      <c r="E655" s="41"/>
      <c r="F655" s="41"/>
      <c r="G655" s="41"/>
      <c r="H655" s="92"/>
      <c r="I655" s="93"/>
    </row>
    <row r="656" spans="1:9" ht="13.5">
      <c r="A656" s="108"/>
      <c r="B656" s="107"/>
      <c r="C656" s="147"/>
      <c r="D656" s="64"/>
      <c r="E656" s="41"/>
      <c r="F656" s="41"/>
      <c r="G656" s="41"/>
      <c r="H656" s="92"/>
      <c r="I656" s="93"/>
    </row>
    <row r="657" spans="1:9" ht="13.5">
      <c r="A657" s="108"/>
      <c r="B657" s="107"/>
      <c r="C657" s="147"/>
      <c r="D657" s="64"/>
      <c r="E657" s="41"/>
      <c r="F657" s="41"/>
      <c r="G657" s="41"/>
      <c r="H657" s="92"/>
      <c r="I657" s="93"/>
    </row>
    <row r="658" spans="1:9" ht="13.5">
      <c r="A658" s="108"/>
      <c r="B658" s="107"/>
      <c r="C658" s="147"/>
      <c r="D658" s="64"/>
      <c r="E658" s="41"/>
      <c r="F658" s="41"/>
      <c r="G658" s="41"/>
      <c r="H658" s="92"/>
      <c r="I658" s="93"/>
    </row>
    <row r="659" spans="1:9" ht="13.5">
      <c r="A659" s="141"/>
      <c r="B659" s="107"/>
      <c r="C659" s="147"/>
      <c r="D659" s="64"/>
      <c r="E659" s="41"/>
      <c r="F659" s="41"/>
      <c r="G659" s="41"/>
      <c r="H659" s="142"/>
      <c r="I659" s="142"/>
    </row>
    <row r="660" spans="1:9" ht="13.5">
      <c r="A660" s="108"/>
      <c r="B660" s="107"/>
      <c r="C660" s="147"/>
      <c r="D660" s="64"/>
      <c r="E660" s="41"/>
      <c r="F660" s="41"/>
      <c r="G660" s="41"/>
      <c r="H660" s="92"/>
      <c r="I660" s="93"/>
    </row>
    <row r="661" spans="1:9" ht="13.5">
      <c r="A661" s="108"/>
      <c r="B661" s="107"/>
      <c r="C661" s="147"/>
      <c r="D661" s="64"/>
      <c r="E661" s="41"/>
      <c r="F661" s="41"/>
      <c r="G661" s="41"/>
      <c r="H661" s="92"/>
      <c r="I661" s="93"/>
    </row>
    <row r="662" spans="1:9" ht="13.5">
      <c r="A662" s="108"/>
      <c r="B662" s="107"/>
      <c r="C662" s="147"/>
      <c r="D662" s="64"/>
      <c r="E662" s="41"/>
      <c r="F662" s="41"/>
      <c r="G662" s="41"/>
      <c r="H662" s="92"/>
      <c r="I662" s="93"/>
    </row>
    <row r="663" spans="1:9" ht="13.5">
      <c r="A663" s="108"/>
      <c r="B663" s="107"/>
      <c r="C663" s="147"/>
      <c r="D663" s="64"/>
      <c r="E663" s="41"/>
      <c r="F663" s="41"/>
      <c r="G663" s="41"/>
      <c r="H663" s="92"/>
      <c r="I663" s="93"/>
    </row>
    <row r="664" spans="1:9" ht="13.5">
      <c r="A664" s="108"/>
      <c r="B664" s="107"/>
      <c r="C664" s="147"/>
      <c r="D664" s="64"/>
      <c r="E664" s="41"/>
      <c r="F664" s="41"/>
      <c r="G664" s="41"/>
      <c r="H664" s="92"/>
      <c r="I664" s="93"/>
    </row>
    <row r="665" spans="1:9" ht="13.5">
      <c r="A665" s="108"/>
      <c r="B665" s="107"/>
      <c r="C665" s="147"/>
      <c r="D665" s="64"/>
      <c r="E665" s="41"/>
      <c r="F665" s="41"/>
      <c r="G665" s="41"/>
      <c r="H665" s="92"/>
      <c r="I665" s="93"/>
    </row>
    <row r="666" spans="1:9" ht="13.5">
      <c r="A666" s="108"/>
      <c r="B666" s="107"/>
      <c r="C666" s="147"/>
      <c r="D666" s="64"/>
      <c r="E666" s="41"/>
      <c r="F666" s="41"/>
      <c r="G666" s="41"/>
      <c r="H666" s="92"/>
      <c r="I666" s="93"/>
    </row>
    <row r="667" spans="1:9" ht="13.5">
      <c r="A667" s="108"/>
      <c r="B667" s="107"/>
      <c r="C667" s="41"/>
      <c r="D667" s="64"/>
      <c r="E667" s="41"/>
      <c r="F667" s="41"/>
      <c r="G667" s="41"/>
      <c r="H667" s="92"/>
      <c r="I667" s="93"/>
    </row>
    <row r="668" spans="1:9" ht="13.5">
      <c r="A668" s="108"/>
      <c r="B668" s="107"/>
      <c r="C668" s="41"/>
      <c r="D668" s="64"/>
      <c r="E668" s="41"/>
      <c r="F668" s="41"/>
      <c r="G668" s="41"/>
      <c r="H668" s="92"/>
      <c r="I668" s="93"/>
    </row>
    <row r="669" spans="1:9" ht="13.5">
      <c r="A669" s="108"/>
      <c r="B669" s="107"/>
      <c r="C669" s="41"/>
      <c r="D669" s="64"/>
      <c r="E669" s="41"/>
      <c r="F669" s="41"/>
      <c r="G669" s="41"/>
      <c r="H669" s="92"/>
      <c r="I669" s="93"/>
    </row>
    <row r="670" spans="1:9" ht="13.5">
      <c r="A670" s="108"/>
      <c r="B670" s="107"/>
      <c r="C670" s="41"/>
      <c r="D670" s="64"/>
      <c r="E670" s="41"/>
      <c r="F670" s="41"/>
      <c r="G670" s="41"/>
      <c r="H670" s="92"/>
      <c r="I670" s="93"/>
    </row>
    <row r="671" spans="1:9" ht="13.5">
      <c r="A671" s="108"/>
      <c r="B671" s="107"/>
      <c r="C671" s="41"/>
      <c r="D671" s="64"/>
      <c r="E671" s="41"/>
      <c r="F671" s="41"/>
      <c r="G671" s="41"/>
      <c r="H671" s="92"/>
      <c r="I671" s="93"/>
    </row>
    <row r="672" spans="1:9" ht="13.5">
      <c r="A672" s="108"/>
      <c r="B672" s="107"/>
      <c r="C672" s="41"/>
      <c r="D672" s="64"/>
      <c r="E672" s="41"/>
      <c r="F672" s="41"/>
      <c r="G672" s="41"/>
      <c r="H672" s="92"/>
      <c r="I672" s="93"/>
    </row>
    <row r="673" spans="1:9" ht="13.5">
      <c r="A673" s="108"/>
      <c r="B673" s="107"/>
      <c r="C673" s="147"/>
      <c r="D673" s="64"/>
      <c r="E673" s="41"/>
      <c r="F673" s="41"/>
      <c r="G673" s="41"/>
      <c r="H673" s="92"/>
      <c r="I673" s="93"/>
    </row>
    <row r="674" spans="1:9" ht="13.5">
      <c r="A674" s="108"/>
      <c r="B674" s="107"/>
      <c r="C674" s="147"/>
      <c r="D674" s="64"/>
      <c r="E674" s="41"/>
      <c r="F674" s="41"/>
      <c r="G674" s="41"/>
      <c r="H674" s="92"/>
      <c r="I674" s="93"/>
    </row>
    <row r="675" spans="1:9" ht="13.5">
      <c r="A675" s="108"/>
      <c r="B675" s="107"/>
      <c r="C675" s="41"/>
      <c r="D675" s="64"/>
      <c r="E675" s="41"/>
      <c r="F675" s="41"/>
      <c r="G675" s="41"/>
      <c r="H675" s="92"/>
      <c r="I675" s="93"/>
    </row>
    <row r="676" spans="1:9" ht="13.5">
      <c r="A676" s="108"/>
      <c r="B676" s="107"/>
      <c r="C676" s="41"/>
      <c r="D676" s="64"/>
      <c r="E676" s="41"/>
      <c r="F676" s="41"/>
      <c r="G676" s="41"/>
      <c r="H676" s="92"/>
      <c r="I676" s="93"/>
    </row>
    <row r="677" spans="1:9" ht="13.5">
      <c r="A677" s="108"/>
      <c r="B677" s="107"/>
      <c r="C677" s="41"/>
      <c r="D677" s="64"/>
      <c r="E677" s="41"/>
      <c r="F677" s="41"/>
      <c r="G677" s="41"/>
      <c r="H677" s="92"/>
      <c r="I677" s="93"/>
    </row>
    <row r="678" spans="1:9" ht="13.5">
      <c r="A678" s="108"/>
      <c r="B678" s="107"/>
      <c r="C678" s="41"/>
      <c r="D678" s="64"/>
      <c r="E678" s="41"/>
      <c r="F678" s="41"/>
      <c r="G678" s="41"/>
      <c r="H678" s="92"/>
      <c r="I678" s="93"/>
    </row>
    <row r="679" spans="1:9" ht="13.5">
      <c r="A679" s="108"/>
      <c r="B679" s="107"/>
      <c r="C679" s="41"/>
      <c r="D679" s="64"/>
      <c r="E679" s="41"/>
      <c r="F679" s="41"/>
      <c r="G679" s="41"/>
      <c r="H679" s="92"/>
      <c r="I679" s="93"/>
    </row>
    <row r="680" spans="1:9" ht="13.5">
      <c r="A680" s="108"/>
      <c r="B680" s="107"/>
      <c r="C680" s="147"/>
      <c r="D680" s="64"/>
      <c r="E680" s="41"/>
      <c r="F680" s="41"/>
      <c r="G680" s="41"/>
      <c r="H680" s="92"/>
      <c r="I680" s="93"/>
    </row>
    <row r="681" spans="1:9" ht="13.5">
      <c r="A681" s="108"/>
      <c r="B681" s="107"/>
      <c r="C681" s="147"/>
      <c r="D681" s="64"/>
      <c r="E681" s="41"/>
      <c r="F681" s="41"/>
      <c r="G681" s="41"/>
      <c r="H681" s="92"/>
      <c r="I681" s="93"/>
    </row>
    <row r="682" spans="1:9" ht="13.5">
      <c r="A682" s="108"/>
      <c r="B682" s="107"/>
      <c r="C682" s="147"/>
      <c r="D682" s="64"/>
      <c r="E682" s="41"/>
      <c r="F682" s="41"/>
      <c r="G682" s="41"/>
      <c r="H682" s="92"/>
      <c r="I682" s="93"/>
    </row>
    <row r="683" spans="1:9" ht="13.5">
      <c r="A683" s="108"/>
      <c r="B683" s="107"/>
      <c r="C683" s="147"/>
      <c r="D683" s="64"/>
      <c r="E683" s="41"/>
      <c r="F683" s="41"/>
      <c r="G683" s="41"/>
      <c r="H683" s="92"/>
      <c r="I683" s="93"/>
    </row>
    <row r="684" spans="1:9" ht="13.5">
      <c r="A684" s="108"/>
      <c r="B684" s="107"/>
      <c r="C684" s="147"/>
      <c r="D684" s="64"/>
      <c r="E684" s="41"/>
      <c r="F684" s="41"/>
      <c r="G684" s="41"/>
      <c r="H684" s="92"/>
      <c r="I684" s="93"/>
    </row>
    <row r="685" spans="1:9" ht="13.5">
      <c r="A685" s="108"/>
      <c r="B685" s="107"/>
      <c r="C685" s="147"/>
      <c r="D685" s="64"/>
      <c r="E685" s="41"/>
      <c r="F685" s="41"/>
      <c r="G685" s="41"/>
      <c r="H685" s="92"/>
      <c r="I685" s="93"/>
    </row>
    <row r="686" spans="1:9" ht="13.5">
      <c r="A686" s="108"/>
      <c r="B686" s="107"/>
      <c r="C686" s="147"/>
      <c r="D686" s="64"/>
      <c r="E686" s="41"/>
      <c r="F686" s="41"/>
      <c r="G686" s="41"/>
      <c r="H686" s="92"/>
      <c r="I686" s="93"/>
    </row>
    <row r="687" spans="1:9" ht="13.5">
      <c r="A687" s="108"/>
      <c r="B687" s="107"/>
      <c r="C687" s="147"/>
      <c r="D687" s="64"/>
      <c r="E687" s="41"/>
      <c r="F687" s="41"/>
      <c r="G687" s="41"/>
      <c r="H687" s="92"/>
      <c r="I687" s="93"/>
    </row>
    <row r="688" spans="1:9" ht="13.5">
      <c r="A688" s="108"/>
      <c r="B688" s="107"/>
      <c r="C688" s="41"/>
      <c r="D688" s="64"/>
      <c r="E688" s="41"/>
      <c r="F688" s="41"/>
      <c r="G688" s="41"/>
      <c r="H688" s="92"/>
      <c r="I688" s="93"/>
    </row>
    <row r="689" spans="1:9" ht="13.5">
      <c r="A689" s="108"/>
      <c r="B689" s="107"/>
      <c r="C689" s="41"/>
      <c r="D689" s="64"/>
      <c r="E689" s="41"/>
      <c r="F689" s="41"/>
      <c r="G689" s="41"/>
      <c r="H689" s="92"/>
      <c r="I689" s="93"/>
    </row>
    <row r="690" spans="1:9" ht="13.5">
      <c r="A690" s="108"/>
      <c r="B690" s="107"/>
      <c r="C690" s="41"/>
      <c r="D690" s="64"/>
      <c r="E690" s="41"/>
      <c r="F690" s="41"/>
      <c r="G690" s="41"/>
      <c r="H690" s="92"/>
      <c r="I690" s="93"/>
    </row>
    <row r="691" spans="1:9" ht="13.5">
      <c r="A691" s="108"/>
      <c r="B691" s="107"/>
      <c r="C691" s="41"/>
      <c r="D691" s="64"/>
      <c r="E691" s="41"/>
      <c r="F691" s="41"/>
      <c r="G691" s="41"/>
      <c r="H691" s="92"/>
      <c r="I691" s="93"/>
    </row>
    <row r="692" spans="1:9" ht="13.5">
      <c r="A692" s="108"/>
      <c r="B692" s="107"/>
      <c r="C692" s="41"/>
      <c r="D692" s="64"/>
      <c r="E692" s="41"/>
      <c r="F692" s="41"/>
      <c r="G692" s="41"/>
      <c r="H692" s="92"/>
      <c r="I692" s="93"/>
    </row>
    <row r="693" spans="1:9" ht="13.5">
      <c r="A693" s="108"/>
      <c r="B693" s="107"/>
      <c r="C693" s="41"/>
      <c r="D693" s="64"/>
      <c r="E693" s="41"/>
      <c r="F693" s="41"/>
      <c r="G693" s="41"/>
      <c r="H693" s="92"/>
      <c r="I693" s="93"/>
    </row>
    <row r="694" spans="1:9" ht="13.5">
      <c r="A694" s="108"/>
      <c r="B694" s="107"/>
      <c r="C694" s="147"/>
      <c r="D694" s="64"/>
      <c r="E694" s="41"/>
      <c r="F694" s="41"/>
      <c r="G694" s="41"/>
      <c r="H694" s="92"/>
      <c r="I694" s="93"/>
    </row>
    <row r="695" spans="1:9" ht="13.5">
      <c r="A695" s="108"/>
      <c r="B695" s="107"/>
      <c r="C695" s="41"/>
      <c r="D695" s="64"/>
      <c r="E695" s="41"/>
      <c r="F695" s="41"/>
      <c r="G695" s="41"/>
      <c r="H695" s="92"/>
      <c r="I695" s="93"/>
    </row>
    <row r="696" spans="1:9" ht="13.5">
      <c r="A696" s="108"/>
      <c r="B696" s="107"/>
      <c r="C696" s="41"/>
      <c r="D696" s="64"/>
      <c r="E696" s="41"/>
      <c r="F696" s="41"/>
      <c r="G696" s="41"/>
      <c r="H696" s="92"/>
      <c r="I696" s="93"/>
    </row>
    <row r="697" spans="1:9" ht="13.5">
      <c r="A697" s="108"/>
      <c r="B697" s="107"/>
      <c r="C697" s="41"/>
      <c r="D697" s="64"/>
      <c r="E697" s="41"/>
      <c r="F697" s="41"/>
      <c r="G697" s="41"/>
      <c r="H697" s="92"/>
      <c r="I697" s="93"/>
    </row>
    <row r="698" spans="1:9" ht="13.5">
      <c r="A698" s="108"/>
      <c r="B698" s="107"/>
      <c r="C698" s="41"/>
      <c r="D698" s="64"/>
      <c r="E698" s="41"/>
      <c r="F698" s="41"/>
      <c r="G698" s="41"/>
      <c r="H698" s="92"/>
      <c r="I698" s="93"/>
    </row>
    <row r="699" spans="1:9" ht="13.5">
      <c r="A699" s="108"/>
      <c r="B699" s="107"/>
      <c r="C699" s="41"/>
      <c r="D699" s="64"/>
      <c r="E699" s="41"/>
      <c r="F699" s="41"/>
      <c r="G699" s="41"/>
      <c r="H699" s="92"/>
      <c r="I699" s="93"/>
    </row>
    <row r="700" spans="1:9" ht="13.5">
      <c r="A700" s="108"/>
      <c r="B700" s="107"/>
      <c r="C700" s="41"/>
      <c r="D700" s="64"/>
      <c r="E700" s="41"/>
      <c r="F700" s="41"/>
      <c r="G700" s="41"/>
      <c r="H700" s="92"/>
      <c r="I700" s="93"/>
    </row>
    <row r="701" spans="1:9" ht="13.5">
      <c r="A701" s="108"/>
      <c r="B701" s="107"/>
      <c r="C701" s="147"/>
      <c r="D701" s="64"/>
      <c r="E701" s="41"/>
      <c r="F701" s="41"/>
      <c r="G701" s="41"/>
      <c r="H701" s="92"/>
      <c r="I701" s="93"/>
    </row>
    <row r="702" spans="1:9" ht="13.5">
      <c r="A702" s="108"/>
      <c r="B702" s="107"/>
      <c r="C702" s="41"/>
      <c r="D702" s="64"/>
      <c r="E702" s="41"/>
      <c r="F702" s="41"/>
      <c r="G702" s="41"/>
      <c r="H702" s="92"/>
      <c r="I702" s="93"/>
    </row>
    <row r="703" spans="1:9" ht="13.5">
      <c r="A703" s="108"/>
      <c r="B703" s="107"/>
      <c r="C703" s="41"/>
      <c r="D703" s="64"/>
      <c r="E703" s="41"/>
      <c r="F703" s="41"/>
      <c r="G703" s="41"/>
      <c r="H703" s="92"/>
      <c r="I703" s="93"/>
    </row>
    <row r="704" spans="1:9" ht="13.5">
      <c r="A704" s="108"/>
      <c r="B704" s="107"/>
      <c r="C704" s="41"/>
      <c r="D704" s="64"/>
      <c r="E704" s="41"/>
      <c r="F704" s="41"/>
      <c r="G704" s="41"/>
      <c r="H704" s="92"/>
      <c r="I704" s="93"/>
    </row>
    <row r="705" spans="1:9" ht="13.5">
      <c r="A705" s="108"/>
      <c r="B705" s="107"/>
      <c r="C705" s="41"/>
      <c r="D705" s="64"/>
      <c r="E705" s="41"/>
      <c r="F705" s="41"/>
      <c r="G705" s="41"/>
      <c r="H705" s="92"/>
      <c r="I705" s="93"/>
    </row>
    <row r="706" spans="1:9" ht="13.5">
      <c r="A706" s="108"/>
      <c r="B706" s="107"/>
      <c r="C706" s="41"/>
      <c r="D706" s="64"/>
      <c r="E706" s="41"/>
      <c r="F706" s="41"/>
      <c r="G706" s="41"/>
      <c r="H706" s="92"/>
      <c r="I706" s="93"/>
    </row>
    <row r="707" spans="1:9" ht="13.5">
      <c r="A707" s="108"/>
      <c r="B707" s="107"/>
      <c r="C707" s="41"/>
      <c r="D707" s="64"/>
      <c r="E707" s="41"/>
      <c r="F707" s="41"/>
      <c r="G707" s="41"/>
      <c r="H707" s="92"/>
      <c r="I707" s="93"/>
    </row>
    <row r="708" spans="1:9" ht="13.5">
      <c r="A708" s="108"/>
      <c r="B708" s="107"/>
      <c r="C708" s="41"/>
      <c r="D708" s="64"/>
      <c r="E708" s="41"/>
      <c r="F708" s="41"/>
      <c r="G708" s="41"/>
      <c r="H708" s="92"/>
      <c r="I708" s="93"/>
    </row>
    <row r="709" spans="1:9" ht="13.5">
      <c r="A709" s="108"/>
      <c r="B709" s="107"/>
      <c r="C709" s="41"/>
      <c r="D709" s="64"/>
      <c r="E709" s="41"/>
      <c r="F709" s="41"/>
      <c r="G709" s="41"/>
      <c r="H709" s="92"/>
      <c r="I709" s="93"/>
    </row>
    <row r="710" spans="1:9" ht="13.5">
      <c r="A710" s="59"/>
      <c r="B710" s="60"/>
      <c r="C710" s="48"/>
      <c r="D710" s="120"/>
      <c r="E710" s="49"/>
      <c r="F710" s="51"/>
      <c r="G710" s="50"/>
      <c r="H710" s="50"/>
      <c r="I710" s="51"/>
    </row>
    <row r="711" spans="1:9" ht="13.5">
      <c r="A711" s="64"/>
      <c r="B711" s="65"/>
      <c r="C711" s="66"/>
      <c r="D711" s="122"/>
      <c r="E711" s="58"/>
      <c r="F711" s="57"/>
      <c r="G711" s="57"/>
      <c r="H711" s="57"/>
      <c r="I711" s="58"/>
    </row>
    <row r="712" spans="1:9" ht="13.5">
      <c r="A712" s="64"/>
      <c r="B712" s="65"/>
      <c r="C712" s="66"/>
      <c r="D712" s="122"/>
      <c r="E712" s="58"/>
      <c r="F712" s="57"/>
      <c r="G712" s="57"/>
      <c r="H712" s="57"/>
      <c r="I712" s="58"/>
    </row>
    <row r="713" spans="1:9" ht="13.5">
      <c r="A713" s="64"/>
      <c r="B713" s="65"/>
      <c r="C713" s="66"/>
      <c r="D713" s="122"/>
      <c r="E713" s="58"/>
      <c r="F713" s="57"/>
      <c r="G713" s="57"/>
      <c r="H713" s="57"/>
      <c r="I713" s="58"/>
    </row>
    <row r="714" spans="1:9" ht="13.5">
      <c r="A714" s="64"/>
      <c r="B714" s="65"/>
      <c r="C714" s="66"/>
      <c r="D714" s="122"/>
      <c r="E714" s="58"/>
      <c r="F714" s="57"/>
      <c r="G714" s="57"/>
      <c r="H714" s="57"/>
      <c r="I714" s="58"/>
    </row>
    <row r="715" spans="1:9" ht="13.5">
      <c r="A715" s="64"/>
      <c r="B715" s="65"/>
      <c r="C715" s="66"/>
      <c r="D715" s="122"/>
      <c r="E715" s="58"/>
      <c r="F715" s="57"/>
      <c r="G715" s="57"/>
      <c r="H715" s="57"/>
      <c r="I715" s="58"/>
    </row>
    <row r="716" spans="1:9" ht="13.5">
      <c r="A716" s="64"/>
      <c r="B716" s="65"/>
      <c r="C716" s="66"/>
      <c r="D716" s="122"/>
      <c r="E716" s="58"/>
      <c r="F716" s="57"/>
      <c r="G716" s="57"/>
      <c r="H716" s="57"/>
      <c r="I716" s="58"/>
    </row>
    <row r="717" spans="1:9" ht="13.5">
      <c r="A717" s="64"/>
      <c r="B717" s="65"/>
      <c r="C717" s="66"/>
      <c r="D717" s="122"/>
      <c r="E717" s="58"/>
      <c r="F717" s="57"/>
      <c r="G717" s="57"/>
      <c r="H717" s="57"/>
      <c r="I717" s="58"/>
    </row>
    <row r="718" spans="1:9" ht="13.5">
      <c r="A718" s="64"/>
      <c r="B718" s="65"/>
      <c r="C718" s="66"/>
      <c r="D718" s="122"/>
      <c r="E718" s="58"/>
      <c r="F718" s="57"/>
      <c r="G718" s="57"/>
      <c r="H718" s="57"/>
      <c r="I718" s="58"/>
    </row>
    <row r="719" spans="1:9" ht="13.5">
      <c r="A719" s="64"/>
      <c r="B719" s="65"/>
      <c r="C719" s="66"/>
      <c r="D719" s="122"/>
      <c r="E719" s="58"/>
      <c r="F719" s="57"/>
      <c r="G719" s="57"/>
      <c r="H719" s="57"/>
      <c r="I719" s="58"/>
    </row>
    <row r="720" spans="1:9" ht="13.5">
      <c r="A720" s="64"/>
      <c r="B720" s="65"/>
      <c r="C720" s="66"/>
      <c r="D720" s="122"/>
      <c r="E720" s="58"/>
      <c r="F720" s="57"/>
      <c r="G720" s="57"/>
      <c r="H720" s="57"/>
      <c r="I720" s="58"/>
    </row>
    <row r="721" spans="1:9" ht="13.5">
      <c r="A721" s="64"/>
      <c r="B721" s="65"/>
      <c r="C721" s="66"/>
      <c r="D721" s="122"/>
      <c r="E721" s="58"/>
      <c r="F721" s="57"/>
      <c r="G721" s="57"/>
      <c r="H721" s="57"/>
      <c r="I721" s="58"/>
    </row>
    <row r="722" spans="1:9" ht="13.5">
      <c r="A722" s="64"/>
      <c r="B722" s="65"/>
      <c r="C722" s="66"/>
      <c r="D722" s="122"/>
      <c r="E722" s="58"/>
      <c r="F722" s="57"/>
      <c r="G722" s="57"/>
      <c r="H722" s="57"/>
      <c r="I722" s="58"/>
    </row>
    <row r="723" spans="1:9" ht="13.5">
      <c r="A723" s="64"/>
      <c r="B723" s="65"/>
      <c r="C723" s="66"/>
      <c r="D723" s="122"/>
      <c r="E723" s="58"/>
      <c r="F723" s="57"/>
      <c r="G723" s="57"/>
      <c r="H723" s="57"/>
      <c r="I723" s="58"/>
    </row>
    <row r="724" spans="1:9" ht="13.5">
      <c r="A724" s="108"/>
      <c r="B724" s="107"/>
      <c r="C724" s="147"/>
      <c r="D724" s="64"/>
      <c r="E724" s="41"/>
      <c r="F724" s="41"/>
      <c r="G724" s="41"/>
      <c r="H724" s="92"/>
      <c r="I724" s="93"/>
    </row>
    <row r="725" spans="1:9" ht="13.5">
      <c r="A725" s="108"/>
      <c r="B725" s="107"/>
      <c r="C725" s="41"/>
      <c r="D725" s="64"/>
      <c r="E725" s="41"/>
      <c r="F725" s="41"/>
      <c r="G725" s="41"/>
      <c r="H725" s="92"/>
      <c r="I725" s="93"/>
    </row>
    <row r="726" spans="1:9" ht="13.5">
      <c r="A726" s="108"/>
      <c r="B726" s="107"/>
      <c r="C726" s="41"/>
      <c r="D726" s="64"/>
      <c r="E726" s="41"/>
      <c r="F726" s="41"/>
      <c r="G726" s="41"/>
      <c r="H726" s="92"/>
      <c r="I726" s="93"/>
    </row>
    <row r="727" spans="1:9" ht="13.5">
      <c r="A727" s="108"/>
      <c r="B727" s="107"/>
      <c r="C727" s="41"/>
      <c r="D727" s="64"/>
      <c r="E727" s="41"/>
      <c r="F727" s="41"/>
      <c r="G727" s="41"/>
      <c r="H727" s="92"/>
      <c r="I727" s="93"/>
    </row>
    <row r="728" spans="1:9" ht="13.5">
      <c r="A728" s="108"/>
      <c r="B728" s="107"/>
      <c r="C728" s="41"/>
      <c r="D728" s="64"/>
      <c r="E728" s="41"/>
      <c r="F728" s="41"/>
      <c r="G728" s="41"/>
      <c r="H728" s="92"/>
      <c r="I728" s="93"/>
    </row>
    <row r="729" spans="1:9" ht="13.5">
      <c r="A729" s="108"/>
      <c r="B729" s="107"/>
      <c r="C729" s="41"/>
      <c r="D729" s="64"/>
      <c r="E729" s="41"/>
      <c r="F729" s="41"/>
      <c r="G729" s="41"/>
      <c r="H729" s="92"/>
      <c r="I729" s="93"/>
    </row>
    <row r="730" spans="1:9" ht="13.5">
      <c r="A730" s="108"/>
      <c r="B730" s="107"/>
      <c r="C730" s="41"/>
      <c r="D730" s="64"/>
      <c r="E730" s="41"/>
      <c r="F730" s="41"/>
      <c r="G730" s="41"/>
      <c r="H730" s="92"/>
      <c r="I730" s="93"/>
    </row>
    <row r="731" spans="1:9" ht="13.5">
      <c r="A731" s="108"/>
      <c r="B731" s="107"/>
      <c r="C731" s="147"/>
      <c r="D731" s="64"/>
      <c r="E731" s="41"/>
      <c r="F731" s="41"/>
      <c r="G731" s="41"/>
      <c r="H731" s="92"/>
      <c r="I731" s="93"/>
    </row>
    <row r="732" spans="1:9" ht="13.5">
      <c r="A732" s="108"/>
      <c r="B732" s="148"/>
      <c r="C732" s="149"/>
      <c r="D732" s="150"/>
      <c r="E732" s="149"/>
      <c r="F732" s="149"/>
      <c r="G732" s="149"/>
      <c r="H732" s="92"/>
      <c r="I732" s="93"/>
    </row>
    <row r="733" spans="1:9" ht="13.5">
      <c r="A733" s="108"/>
      <c r="B733" s="107"/>
      <c r="C733" s="41"/>
      <c r="D733" s="64"/>
      <c r="E733" s="41"/>
      <c r="F733" s="41"/>
      <c r="G733" s="41"/>
      <c r="H733" s="92"/>
      <c r="I733" s="93"/>
    </row>
    <row r="734" spans="1:9" ht="13.5">
      <c r="A734" s="108"/>
      <c r="B734" s="107"/>
      <c r="C734" s="41"/>
      <c r="D734" s="64"/>
      <c r="E734" s="41"/>
      <c r="F734" s="41"/>
      <c r="G734" s="41"/>
      <c r="H734" s="92"/>
      <c r="I734" s="93"/>
    </row>
    <row r="735" spans="1:9" ht="13.5">
      <c r="A735" s="108"/>
      <c r="B735" s="107"/>
      <c r="C735" s="41"/>
      <c r="D735" s="64"/>
      <c r="E735" s="41"/>
      <c r="F735" s="41"/>
      <c r="G735" s="41"/>
      <c r="H735" s="92"/>
      <c r="I735" s="93"/>
    </row>
    <row r="736" spans="1:9" ht="13.5">
      <c r="A736" s="108"/>
      <c r="B736" s="107"/>
      <c r="C736" s="41"/>
      <c r="D736" s="64"/>
      <c r="E736" s="41"/>
      <c r="F736" s="41"/>
      <c r="G736" s="41"/>
      <c r="H736" s="92"/>
      <c r="I736" s="93"/>
    </row>
    <row r="737" spans="1:9" ht="13.5">
      <c r="A737" s="108"/>
      <c r="B737" s="107"/>
      <c r="C737" s="41"/>
      <c r="D737" s="64"/>
      <c r="E737" s="41"/>
      <c r="F737" s="41"/>
      <c r="G737" s="41"/>
      <c r="H737" s="92"/>
      <c r="I737" s="93"/>
    </row>
    <row r="738" spans="1:9" ht="13.5">
      <c r="A738" s="108"/>
      <c r="B738" s="107"/>
      <c r="C738" s="147"/>
      <c r="D738" s="64"/>
      <c r="E738" s="41"/>
      <c r="F738" s="41"/>
      <c r="G738" s="41"/>
      <c r="H738" s="92"/>
      <c r="I738" s="93"/>
    </row>
    <row r="739" spans="1:9" ht="13.5">
      <c r="A739" s="108"/>
      <c r="B739" s="148"/>
      <c r="C739" s="149"/>
      <c r="D739" s="150"/>
      <c r="E739" s="149"/>
      <c r="F739" s="149"/>
      <c r="G739" s="149"/>
      <c r="H739" s="92"/>
      <c r="I739" s="93"/>
    </row>
    <row r="740" spans="1:9" ht="13.5">
      <c r="A740" s="108"/>
      <c r="B740" s="107"/>
      <c r="C740" s="41"/>
      <c r="D740" s="64"/>
      <c r="E740" s="41"/>
      <c r="F740" s="41"/>
      <c r="G740" s="41"/>
      <c r="H740" s="92"/>
      <c r="I740" s="93"/>
    </row>
    <row r="741" spans="1:9" ht="13.5">
      <c r="A741" s="108"/>
      <c r="B741" s="107"/>
      <c r="C741" s="41"/>
      <c r="D741" s="64"/>
      <c r="E741" s="41"/>
      <c r="F741" s="41"/>
      <c r="G741" s="41"/>
      <c r="H741" s="92"/>
      <c r="I741" s="93"/>
    </row>
    <row r="742" spans="1:9" ht="13.5">
      <c r="A742" s="108"/>
      <c r="B742" s="107"/>
      <c r="C742" s="41"/>
      <c r="D742" s="64"/>
      <c r="E742" s="41"/>
      <c r="F742" s="41"/>
      <c r="G742" s="41"/>
      <c r="H742" s="92"/>
      <c r="I742" s="93"/>
    </row>
    <row r="743" spans="1:9" ht="13.5">
      <c r="A743" s="108"/>
      <c r="B743" s="107"/>
      <c r="C743" s="41"/>
      <c r="D743" s="64"/>
      <c r="E743" s="41"/>
      <c r="F743" s="41"/>
      <c r="G743" s="41"/>
      <c r="H743" s="92"/>
      <c r="I743" s="93"/>
    </row>
    <row r="744" spans="1:9" ht="13.5">
      <c r="A744" s="108"/>
      <c r="B744" s="107"/>
      <c r="C744" s="41"/>
      <c r="D744" s="64"/>
      <c r="E744" s="41"/>
      <c r="F744" s="41"/>
      <c r="G744" s="41"/>
      <c r="H744" s="92"/>
      <c r="I744" s="93"/>
    </row>
    <row r="745" spans="1:9" ht="13.5">
      <c r="A745" s="108"/>
      <c r="B745" s="113"/>
      <c r="C745" s="92"/>
      <c r="D745" s="127"/>
      <c r="E745" s="92"/>
      <c r="F745" s="92"/>
      <c r="G745" s="92"/>
      <c r="H745" s="92"/>
      <c r="I745" s="93"/>
    </row>
    <row r="746" spans="1:9" ht="13.5">
      <c r="A746" s="108"/>
      <c r="B746" s="113"/>
      <c r="C746" s="92"/>
      <c r="D746" s="127"/>
      <c r="E746" s="92"/>
      <c r="F746" s="92"/>
      <c r="G746" s="92"/>
      <c r="H746" s="92"/>
      <c r="I746" s="93"/>
    </row>
    <row r="747" spans="1:9" ht="13.5">
      <c r="A747" s="108"/>
      <c r="B747" s="113"/>
      <c r="C747" s="92"/>
      <c r="D747" s="127"/>
      <c r="E747" s="92"/>
      <c r="F747" s="92"/>
      <c r="G747" s="92"/>
      <c r="H747" s="92"/>
      <c r="I747" s="93"/>
    </row>
    <row r="748" spans="1:9" ht="13.5">
      <c r="A748" s="108"/>
      <c r="B748" s="113"/>
      <c r="C748" s="92"/>
      <c r="D748" s="127"/>
      <c r="E748" s="92"/>
      <c r="F748" s="92"/>
      <c r="G748" s="92"/>
      <c r="H748" s="92"/>
      <c r="I748" s="93"/>
    </row>
    <row r="749" spans="1:9" ht="13.5">
      <c r="A749" s="108"/>
      <c r="B749" s="113"/>
      <c r="C749" s="92"/>
      <c r="D749" s="127"/>
      <c r="E749" s="92"/>
      <c r="F749" s="92"/>
      <c r="G749" s="92"/>
      <c r="H749" s="92"/>
      <c r="I749" s="93"/>
    </row>
    <row r="750" spans="1:9" ht="13.5">
      <c r="A750" s="108"/>
      <c r="B750" s="113"/>
      <c r="C750" s="92"/>
      <c r="D750" s="127"/>
      <c r="E750" s="92"/>
      <c r="F750" s="92"/>
      <c r="G750" s="92"/>
      <c r="H750" s="92"/>
      <c r="I750" s="93"/>
    </row>
    <row r="751" spans="1:9" ht="13.5">
      <c r="A751" s="108"/>
      <c r="B751" s="113"/>
      <c r="C751" s="92"/>
      <c r="D751" s="127"/>
      <c r="E751" s="92"/>
      <c r="F751" s="92"/>
      <c r="G751" s="92"/>
      <c r="H751" s="92"/>
      <c r="I751" s="93"/>
    </row>
    <row r="752" spans="1:9" ht="13.5">
      <c r="A752" s="108"/>
      <c r="B752" s="113"/>
      <c r="C752" s="92"/>
      <c r="D752" s="127"/>
      <c r="E752" s="92"/>
      <c r="F752" s="92"/>
      <c r="G752" s="92"/>
      <c r="H752" s="92"/>
      <c r="I752" s="93"/>
    </row>
    <row r="753" spans="1:9" ht="13.5">
      <c r="A753" s="108"/>
      <c r="B753" s="113"/>
      <c r="C753" s="92"/>
      <c r="D753" s="127"/>
      <c r="E753" s="92"/>
      <c r="F753" s="92"/>
      <c r="G753" s="92"/>
      <c r="H753" s="92"/>
      <c r="I753" s="93"/>
    </row>
    <row r="754" spans="1:9" ht="13.5">
      <c r="A754" s="108"/>
      <c r="B754" s="113"/>
      <c r="C754" s="92"/>
      <c r="D754" s="127"/>
      <c r="E754" s="92"/>
      <c r="F754" s="92"/>
      <c r="G754" s="92"/>
      <c r="H754" s="92"/>
      <c r="I754" s="93"/>
    </row>
    <row r="755" spans="1:9" ht="13.5">
      <c r="A755" s="108"/>
      <c r="B755" s="113"/>
      <c r="C755" s="92"/>
      <c r="D755" s="127"/>
      <c r="E755" s="92"/>
      <c r="F755" s="92"/>
      <c r="G755" s="92"/>
      <c r="H755" s="92"/>
      <c r="I755" s="93"/>
    </row>
    <row r="756" spans="1:9" ht="13.5">
      <c r="A756" s="108"/>
      <c r="B756" s="113"/>
      <c r="C756" s="92"/>
      <c r="D756" s="127"/>
      <c r="E756" s="92"/>
      <c r="F756" s="92"/>
      <c r="G756" s="92"/>
      <c r="H756" s="92"/>
      <c r="I756" s="93"/>
    </row>
    <row r="757" spans="1:9" ht="13.5">
      <c r="A757" s="108"/>
      <c r="B757" s="113"/>
      <c r="C757" s="92"/>
      <c r="D757" s="127"/>
      <c r="E757" s="92"/>
      <c r="F757" s="92"/>
      <c r="G757" s="92"/>
      <c r="H757" s="92"/>
      <c r="I757" s="93"/>
    </row>
    <row r="758" spans="1:9" ht="13.5">
      <c r="A758" s="108"/>
      <c r="B758" s="113"/>
      <c r="C758" s="92"/>
      <c r="D758" s="127"/>
      <c r="E758" s="92"/>
      <c r="F758" s="92"/>
      <c r="G758" s="92"/>
      <c r="H758" s="92"/>
      <c r="I758" s="93"/>
    </row>
    <row r="759" spans="1:9" ht="13.5">
      <c r="A759" s="108"/>
      <c r="B759" s="113"/>
      <c r="C759" s="92"/>
      <c r="D759" s="127"/>
      <c r="E759" s="92"/>
      <c r="F759" s="92"/>
      <c r="G759" s="92"/>
      <c r="H759" s="92"/>
      <c r="I759" s="93"/>
    </row>
    <row r="760" spans="1:9" ht="13.5">
      <c r="A760" s="108"/>
      <c r="B760" s="113"/>
      <c r="C760" s="92"/>
      <c r="D760" s="127"/>
      <c r="E760" s="92"/>
      <c r="F760" s="92"/>
      <c r="G760" s="92"/>
      <c r="H760" s="92"/>
      <c r="I760" s="93"/>
    </row>
    <row r="761" spans="1:9" ht="13.5">
      <c r="A761" s="108"/>
      <c r="B761" s="113"/>
      <c r="C761" s="92"/>
      <c r="D761" s="127"/>
      <c r="E761" s="92"/>
      <c r="F761" s="92"/>
      <c r="G761" s="92"/>
      <c r="H761" s="92"/>
      <c r="I761" s="93"/>
    </row>
    <row r="762" spans="1:9" ht="13.5">
      <c r="A762" s="108"/>
      <c r="B762" s="113"/>
      <c r="C762" s="92"/>
      <c r="D762" s="127"/>
      <c r="E762" s="92"/>
      <c r="F762" s="92"/>
      <c r="G762" s="92"/>
      <c r="H762" s="92"/>
      <c r="I762" s="93"/>
    </row>
    <row r="763" spans="1:9" ht="13.5">
      <c r="A763" s="108"/>
      <c r="B763" s="113"/>
      <c r="C763" s="92"/>
      <c r="D763" s="127"/>
      <c r="E763" s="92"/>
      <c r="F763" s="92"/>
      <c r="G763" s="92"/>
      <c r="H763" s="92"/>
      <c r="I763" s="93"/>
    </row>
    <row r="764" spans="1:9" ht="13.5">
      <c r="A764" s="108"/>
      <c r="B764" s="113"/>
      <c r="C764" s="92"/>
      <c r="D764" s="127"/>
      <c r="E764" s="92"/>
      <c r="F764" s="92"/>
      <c r="G764" s="92"/>
      <c r="H764" s="92"/>
      <c r="I764" s="93"/>
    </row>
    <row r="765" spans="1:9" ht="13.5">
      <c r="A765" s="108"/>
      <c r="B765" s="113"/>
      <c r="C765" s="92"/>
      <c r="D765" s="127"/>
      <c r="E765" s="92"/>
      <c r="F765" s="92"/>
      <c r="G765" s="92"/>
      <c r="H765" s="92"/>
      <c r="I765" s="93"/>
    </row>
    <row r="766" spans="1:9" ht="13.5">
      <c r="A766" s="108"/>
      <c r="B766" s="113"/>
      <c r="C766" s="92"/>
      <c r="D766" s="127"/>
      <c r="E766" s="92"/>
      <c r="F766" s="92"/>
      <c r="G766" s="92"/>
      <c r="H766" s="92"/>
      <c r="I766" s="93"/>
    </row>
    <row r="767" spans="1:9" ht="13.5">
      <c r="A767" s="108"/>
      <c r="B767" s="113"/>
      <c r="C767" s="92"/>
      <c r="D767" s="127"/>
      <c r="E767" s="92"/>
      <c r="F767" s="92"/>
      <c r="G767" s="92"/>
      <c r="H767" s="92"/>
      <c r="I767" s="93"/>
    </row>
    <row r="768" spans="1:9" ht="13.5">
      <c r="A768" s="108"/>
      <c r="B768" s="113"/>
      <c r="C768" s="92"/>
      <c r="D768" s="127"/>
      <c r="E768" s="92"/>
      <c r="F768" s="92"/>
      <c r="G768" s="92"/>
      <c r="H768" s="92"/>
      <c r="I768" s="93"/>
    </row>
    <row r="769" spans="1:9" ht="13.5">
      <c r="A769" s="108"/>
      <c r="B769" s="113"/>
      <c r="C769" s="92"/>
      <c r="D769" s="127"/>
      <c r="E769" s="92"/>
      <c r="F769" s="92"/>
      <c r="G769" s="92"/>
      <c r="H769" s="92"/>
      <c r="I769" s="93"/>
    </row>
    <row r="770" spans="1:9" ht="13.5">
      <c r="A770" s="108"/>
      <c r="B770" s="113"/>
      <c r="C770" s="92"/>
      <c r="D770" s="127"/>
      <c r="E770" s="92"/>
      <c r="F770" s="92"/>
      <c r="G770" s="92"/>
      <c r="H770" s="92"/>
      <c r="I770" s="93"/>
    </row>
    <row r="771" spans="1:9" ht="13.5">
      <c r="A771" s="108"/>
      <c r="B771" s="113"/>
      <c r="C771" s="92"/>
      <c r="D771" s="127"/>
      <c r="E771" s="92"/>
      <c r="F771" s="92"/>
      <c r="G771" s="92"/>
      <c r="H771" s="92"/>
      <c r="I771" s="93"/>
    </row>
    <row r="772" spans="1:9" ht="13.5">
      <c r="A772" s="108"/>
      <c r="B772" s="113"/>
      <c r="C772" s="92"/>
      <c r="D772" s="127"/>
      <c r="E772" s="92"/>
      <c r="F772" s="92"/>
      <c r="G772" s="92"/>
      <c r="H772" s="92"/>
      <c r="I772" s="93"/>
    </row>
    <row r="773" spans="1:9" ht="13.5">
      <c r="A773" s="108"/>
      <c r="B773" s="113"/>
      <c r="C773" s="92"/>
      <c r="D773" s="127"/>
      <c r="E773" s="92"/>
      <c r="F773" s="92"/>
      <c r="G773" s="92"/>
      <c r="H773" s="92"/>
      <c r="I773" s="93"/>
    </row>
    <row r="774" spans="1:9" ht="13.5">
      <c r="A774" s="108"/>
      <c r="B774" s="113"/>
      <c r="C774" s="92"/>
      <c r="D774" s="127"/>
      <c r="E774" s="92"/>
      <c r="F774" s="92"/>
      <c r="G774" s="92"/>
      <c r="H774" s="92"/>
      <c r="I774" s="93"/>
    </row>
    <row r="775" spans="1:9" ht="13.5">
      <c r="A775" s="108"/>
      <c r="B775" s="113"/>
      <c r="C775" s="92"/>
      <c r="D775" s="127"/>
      <c r="E775" s="92"/>
      <c r="F775" s="92"/>
      <c r="G775" s="92"/>
      <c r="H775" s="92"/>
      <c r="I775" s="93"/>
    </row>
    <row r="776" spans="1:9" ht="13.5">
      <c r="A776" s="108"/>
      <c r="B776" s="113"/>
      <c r="C776" s="92"/>
      <c r="D776" s="127"/>
      <c r="E776" s="92"/>
      <c r="F776" s="92"/>
      <c r="G776" s="92"/>
      <c r="H776" s="92"/>
      <c r="I776" s="93"/>
    </row>
    <row r="777" spans="1:9" ht="13.5">
      <c r="A777" s="108"/>
      <c r="B777" s="113"/>
      <c r="C777" s="92"/>
      <c r="D777" s="127"/>
      <c r="E777" s="92"/>
      <c r="F777" s="92"/>
      <c r="G777" s="92"/>
      <c r="H777" s="92"/>
      <c r="I777" s="93"/>
    </row>
    <row r="778" spans="1:9" ht="13.5">
      <c r="A778" s="108"/>
      <c r="B778" s="113"/>
      <c r="C778" s="92"/>
      <c r="D778" s="127"/>
      <c r="E778" s="92"/>
      <c r="F778" s="92"/>
      <c r="G778" s="92"/>
      <c r="H778" s="92"/>
      <c r="I778" s="93"/>
    </row>
    <row r="779" spans="1:9" ht="13.5">
      <c r="A779" s="108"/>
      <c r="B779" s="113"/>
      <c r="C779" s="92"/>
      <c r="D779" s="127"/>
      <c r="E779" s="92"/>
      <c r="F779" s="92"/>
      <c r="G779" s="92"/>
      <c r="H779" s="92"/>
      <c r="I779" s="93"/>
    </row>
    <row r="780" spans="1:9" ht="13.5">
      <c r="A780" s="108"/>
      <c r="B780" s="113"/>
      <c r="C780" s="92"/>
      <c r="D780" s="127"/>
      <c r="E780" s="92"/>
      <c r="F780" s="92"/>
      <c r="G780" s="92"/>
      <c r="H780" s="92"/>
      <c r="I780" s="93"/>
    </row>
    <row r="781" spans="1:9" ht="13.5">
      <c r="A781" s="108"/>
      <c r="B781" s="113"/>
      <c r="C781" s="92"/>
      <c r="D781" s="127"/>
      <c r="E781" s="92"/>
      <c r="F781" s="92"/>
      <c r="G781" s="92"/>
      <c r="H781" s="92"/>
      <c r="I781" s="93"/>
    </row>
    <row r="782" spans="1:9" ht="13.5">
      <c r="A782" s="108"/>
      <c r="B782" s="113"/>
      <c r="C782" s="92"/>
      <c r="D782" s="127"/>
      <c r="E782" s="92"/>
      <c r="F782" s="92"/>
      <c r="G782" s="92"/>
      <c r="H782" s="92"/>
      <c r="I782" s="93"/>
    </row>
    <row r="783" spans="1:9" ht="13.5">
      <c r="A783" s="108"/>
      <c r="B783" s="113"/>
      <c r="C783" s="92"/>
      <c r="D783" s="127"/>
      <c r="E783" s="92"/>
      <c r="F783" s="92"/>
      <c r="G783" s="92"/>
      <c r="H783" s="92"/>
      <c r="I783" s="93"/>
    </row>
    <row r="784" spans="1:9" ht="13.5">
      <c r="A784" s="108"/>
      <c r="B784" s="113"/>
      <c r="C784" s="92"/>
      <c r="D784" s="127"/>
      <c r="E784" s="92"/>
      <c r="F784" s="92"/>
      <c r="G784" s="92"/>
      <c r="H784" s="92"/>
      <c r="I784" s="93"/>
    </row>
    <row r="785" spans="1:9" ht="13.5">
      <c r="A785" s="108"/>
      <c r="B785" s="113"/>
      <c r="C785" s="92"/>
      <c r="D785" s="127"/>
      <c r="E785" s="92"/>
      <c r="F785" s="92"/>
      <c r="G785" s="92"/>
      <c r="H785" s="92"/>
      <c r="I785" s="93"/>
    </row>
    <row r="786" spans="1:9" ht="13.5">
      <c r="A786" s="108"/>
      <c r="B786" s="113"/>
      <c r="C786" s="92"/>
      <c r="D786" s="127"/>
      <c r="E786" s="92"/>
      <c r="F786" s="92"/>
      <c r="G786" s="92"/>
      <c r="H786" s="92"/>
      <c r="I786" s="93"/>
    </row>
    <row r="787" spans="1:9" ht="13.5">
      <c r="A787" s="108"/>
      <c r="B787" s="113"/>
      <c r="C787" s="92"/>
      <c r="D787" s="127"/>
      <c r="E787" s="92"/>
      <c r="F787" s="92"/>
      <c r="G787" s="92"/>
      <c r="H787" s="92"/>
      <c r="I787" s="93"/>
    </row>
    <row r="788" spans="1:9" ht="13.5">
      <c r="A788" s="108"/>
      <c r="B788" s="113"/>
      <c r="C788" s="92"/>
      <c r="D788" s="127"/>
      <c r="E788" s="92"/>
      <c r="F788" s="92"/>
      <c r="G788" s="92"/>
      <c r="H788" s="92"/>
      <c r="I788" s="93"/>
    </row>
    <row r="789" spans="1:9" ht="13.5">
      <c r="A789" s="108"/>
      <c r="B789" s="113"/>
      <c r="C789" s="92"/>
      <c r="D789" s="127"/>
      <c r="E789" s="92"/>
      <c r="F789" s="92"/>
      <c r="G789" s="92"/>
      <c r="H789" s="92"/>
      <c r="I789" s="93"/>
    </row>
    <row r="790" spans="1:9" ht="13.5">
      <c r="A790" s="108"/>
      <c r="B790" s="113"/>
      <c r="C790" s="92"/>
      <c r="D790" s="127"/>
      <c r="E790" s="92"/>
      <c r="F790" s="92"/>
      <c r="G790" s="92"/>
      <c r="H790" s="92"/>
      <c r="I790" s="93"/>
    </row>
    <row r="791" spans="1:9" ht="13.5">
      <c r="A791" s="108"/>
      <c r="B791" s="113"/>
      <c r="C791" s="92"/>
      <c r="D791" s="127"/>
      <c r="E791" s="92"/>
      <c r="F791" s="92"/>
      <c r="G791" s="92"/>
      <c r="H791" s="92"/>
      <c r="I791" s="93"/>
    </row>
    <row r="792" spans="1:9" ht="13.5">
      <c r="A792" s="108"/>
      <c r="B792" s="113"/>
      <c r="C792" s="92"/>
      <c r="D792" s="127"/>
      <c r="E792" s="92"/>
      <c r="F792" s="92"/>
      <c r="G792" s="92"/>
      <c r="H792" s="92"/>
      <c r="I792" s="93"/>
    </row>
    <row r="793" spans="1:9" ht="13.5">
      <c r="A793" s="108"/>
      <c r="B793" s="113"/>
      <c r="C793" s="92"/>
      <c r="D793" s="127"/>
      <c r="E793" s="92"/>
      <c r="F793" s="92"/>
      <c r="G793" s="92"/>
      <c r="H793" s="92"/>
      <c r="I793" s="93"/>
    </row>
    <row r="794" spans="1:9" ht="13.5">
      <c r="A794" s="108"/>
      <c r="B794" s="113"/>
      <c r="C794" s="92"/>
      <c r="D794" s="127"/>
      <c r="E794" s="92"/>
      <c r="F794" s="92"/>
      <c r="G794" s="92"/>
      <c r="H794" s="92"/>
      <c r="I794" s="93"/>
    </row>
    <row r="795" spans="1:9" ht="13.5">
      <c r="A795" s="108"/>
      <c r="B795" s="113"/>
      <c r="C795" s="92"/>
      <c r="D795" s="127"/>
      <c r="E795" s="92"/>
      <c r="F795" s="92"/>
      <c r="G795" s="92"/>
      <c r="H795" s="92"/>
      <c r="I795" s="93"/>
    </row>
    <row r="796" spans="1:9" ht="13.5">
      <c r="A796" s="108"/>
      <c r="B796" s="113"/>
      <c r="C796" s="92"/>
      <c r="D796" s="127"/>
      <c r="E796" s="92"/>
      <c r="F796" s="92"/>
      <c r="G796" s="92"/>
      <c r="H796" s="92"/>
      <c r="I796" s="93"/>
    </row>
    <row r="797" spans="1:9" ht="13.5">
      <c r="A797" s="108"/>
      <c r="B797" s="113"/>
      <c r="C797" s="92"/>
      <c r="D797" s="127"/>
      <c r="E797" s="92"/>
      <c r="F797" s="92"/>
      <c r="G797" s="92"/>
      <c r="H797" s="92"/>
      <c r="I797" s="93"/>
    </row>
    <row r="798" spans="1:9" ht="13.5">
      <c r="A798" s="108"/>
      <c r="B798" s="113"/>
      <c r="C798" s="92"/>
      <c r="D798" s="127"/>
      <c r="E798" s="92"/>
      <c r="F798" s="92"/>
      <c r="G798" s="92"/>
      <c r="H798" s="92"/>
      <c r="I798" s="93"/>
    </row>
    <row r="799" spans="1:9" ht="13.5">
      <c r="A799" s="108"/>
      <c r="B799" s="113"/>
      <c r="C799" s="92"/>
      <c r="D799" s="127"/>
      <c r="E799" s="92"/>
      <c r="F799" s="92"/>
      <c r="G799" s="92"/>
      <c r="H799" s="92"/>
      <c r="I799" s="93"/>
    </row>
    <row r="800" spans="1:9" ht="13.5">
      <c r="A800" s="108"/>
      <c r="B800" s="113"/>
      <c r="C800" s="92"/>
      <c r="D800" s="127"/>
      <c r="E800" s="92"/>
      <c r="F800" s="92"/>
      <c r="G800" s="92"/>
      <c r="H800" s="92"/>
      <c r="I800" s="93"/>
    </row>
    <row r="801" spans="1:9" ht="13.5">
      <c r="A801" s="108"/>
      <c r="B801" s="113"/>
      <c r="C801" s="92"/>
      <c r="D801" s="127"/>
      <c r="E801" s="92"/>
      <c r="F801" s="92"/>
      <c r="G801" s="92"/>
      <c r="H801" s="92"/>
      <c r="I801" s="93"/>
    </row>
    <row r="802" spans="1:9" ht="13.5">
      <c r="A802" s="108"/>
      <c r="B802" s="113"/>
      <c r="C802" s="92"/>
      <c r="D802" s="127"/>
      <c r="E802" s="92"/>
      <c r="F802" s="92"/>
      <c r="G802" s="92"/>
      <c r="H802" s="92"/>
      <c r="I802" s="93"/>
    </row>
    <row r="803" spans="1:9" ht="13.5">
      <c r="A803" s="108"/>
      <c r="B803" s="113"/>
      <c r="C803" s="92"/>
      <c r="D803" s="127"/>
      <c r="E803" s="92"/>
      <c r="F803" s="92"/>
      <c r="G803" s="92"/>
      <c r="H803" s="92"/>
      <c r="I803" s="93"/>
    </row>
    <row r="804" spans="1:9" ht="13.5">
      <c r="A804" s="108"/>
      <c r="B804" s="113"/>
      <c r="C804" s="92"/>
      <c r="D804" s="127"/>
      <c r="E804" s="92"/>
      <c r="F804" s="92"/>
      <c r="G804" s="92"/>
      <c r="H804" s="92"/>
      <c r="I804" s="93"/>
    </row>
    <row r="805" spans="1:9" ht="13.5">
      <c r="A805" s="108"/>
      <c r="B805" s="113"/>
      <c r="C805" s="92"/>
      <c r="D805" s="127"/>
      <c r="E805" s="92"/>
      <c r="F805" s="92"/>
      <c r="G805" s="92"/>
      <c r="H805" s="92"/>
      <c r="I805" s="93"/>
    </row>
    <row r="806" spans="1:9" ht="13.5">
      <c r="A806" s="108"/>
      <c r="B806" s="113"/>
      <c r="C806" s="92"/>
      <c r="D806" s="127"/>
      <c r="E806" s="92"/>
      <c r="F806" s="92"/>
      <c r="G806" s="92"/>
      <c r="H806" s="92"/>
      <c r="I806" s="93"/>
    </row>
    <row r="807" spans="1:9" ht="13.5">
      <c r="A807" s="108"/>
      <c r="B807" s="113"/>
      <c r="C807" s="92"/>
      <c r="D807" s="127"/>
      <c r="E807" s="92"/>
      <c r="F807" s="92"/>
      <c r="G807" s="92"/>
      <c r="H807" s="92"/>
      <c r="I807" s="93"/>
    </row>
    <row r="808" spans="1:9" ht="13.5">
      <c r="A808" s="108"/>
      <c r="B808" s="113"/>
      <c r="C808" s="92"/>
      <c r="D808" s="127"/>
      <c r="E808" s="92"/>
      <c r="F808" s="92"/>
      <c r="G808" s="92"/>
      <c r="H808" s="92"/>
      <c r="I808" s="93"/>
    </row>
    <row r="809" spans="1:9" ht="13.5">
      <c r="A809" s="108"/>
      <c r="B809" s="113"/>
      <c r="C809" s="92"/>
      <c r="D809" s="127"/>
      <c r="E809" s="92"/>
      <c r="F809" s="92"/>
      <c r="G809" s="92"/>
      <c r="H809" s="92"/>
      <c r="I809" s="93"/>
    </row>
    <row r="810" spans="1:9" ht="13.5">
      <c r="A810" s="108"/>
      <c r="B810" s="113"/>
      <c r="C810" s="92"/>
      <c r="D810" s="127"/>
      <c r="E810" s="92"/>
      <c r="F810" s="92"/>
      <c r="G810" s="92"/>
      <c r="H810" s="92"/>
      <c r="I810" s="93"/>
    </row>
    <row r="811" spans="1:9" ht="13.5">
      <c r="A811" s="108"/>
      <c r="B811" s="113"/>
      <c r="C811" s="92"/>
      <c r="D811" s="127"/>
      <c r="E811" s="92"/>
      <c r="F811" s="92"/>
      <c r="G811" s="92"/>
      <c r="H811" s="92"/>
      <c r="I811" s="93"/>
    </row>
    <row r="812" spans="1:9" ht="13.5">
      <c r="A812" s="108"/>
      <c r="B812" s="113"/>
      <c r="C812" s="92"/>
      <c r="D812" s="127"/>
      <c r="E812" s="92"/>
      <c r="F812" s="92"/>
      <c r="G812" s="92"/>
      <c r="H812" s="92"/>
      <c r="I812" s="93"/>
    </row>
    <row r="813" spans="1:9" ht="13.5">
      <c r="A813" s="108"/>
      <c r="B813" s="113"/>
      <c r="C813" s="92"/>
      <c r="D813" s="127"/>
      <c r="E813" s="92"/>
      <c r="F813" s="92"/>
      <c r="G813" s="92"/>
      <c r="H813" s="92"/>
      <c r="I813" s="93"/>
    </row>
    <row r="814" spans="1:9" ht="13.5">
      <c r="A814" s="108"/>
      <c r="B814" s="113"/>
      <c r="C814" s="92"/>
      <c r="D814" s="127"/>
      <c r="E814" s="92"/>
      <c r="F814" s="92"/>
      <c r="G814" s="92"/>
      <c r="H814" s="92"/>
      <c r="I814" s="93"/>
    </row>
    <row r="815" spans="1:9" ht="13.5">
      <c r="A815" s="108"/>
      <c r="B815" s="113"/>
      <c r="C815" s="92"/>
      <c r="D815" s="127"/>
      <c r="E815" s="92"/>
      <c r="F815" s="92"/>
      <c r="G815" s="92"/>
      <c r="H815" s="92"/>
      <c r="I815" s="93"/>
    </row>
    <row r="816" spans="1:9" ht="13.5">
      <c r="A816" s="108"/>
      <c r="B816" s="113"/>
      <c r="C816" s="92"/>
      <c r="D816" s="127"/>
      <c r="E816" s="92"/>
      <c r="F816" s="92"/>
      <c r="G816" s="92"/>
      <c r="H816" s="92"/>
      <c r="I816" s="93"/>
    </row>
    <row r="817" spans="1:9" ht="13.5">
      <c r="A817" s="108"/>
      <c r="B817" s="113"/>
      <c r="C817" s="92"/>
      <c r="D817" s="127"/>
      <c r="E817" s="92"/>
      <c r="F817" s="92"/>
      <c r="G817" s="92"/>
      <c r="H817" s="92"/>
      <c r="I817" s="93"/>
    </row>
    <row r="818" spans="1:9" ht="13.5">
      <c r="A818" s="108"/>
      <c r="B818" s="113"/>
      <c r="C818" s="92"/>
      <c r="D818" s="127"/>
      <c r="E818" s="92"/>
      <c r="F818" s="92"/>
      <c r="G818" s="92"/>
      <c r="H818" s="92"/>
      <c r="I818" s="93"/>
    </row>
    <row r="819" spans="1:9" ht="13.5">
      <c r="A819" s="108"/>
      <c r="B819" s="113"/>
      <c r="C819" s="92"/>
      <c r="D819" s="127"/>
      <c r="E819" s="92"/>
      <c r="F819" s="92"/>
      <c r="G819" s="92"/>
      <c r="H819" s="92"/>
      <c r="I819" s="93"/>
    </row>
    <row r="820" spans="1:9" ht="13.5">
      <c r="A820" s="108"/>
      <c r="B820" s="113"/>
      <c r="C820" s="92"/>
      <c r="D820" s="127"/>
      <c r="E820" s="92"/>
      <c r="F820" s="92"/>
      <c r="G820" s="92"/>
      <c r="H820" s="92"/>
      <c r="I820" s="93"/>
    </row>
    <row r="821" spans="1:9" ht="13.5">
      <c r="A821" s="108"/>
      <c r="B821" s="113"/>
      <c r="C821" s="92"/>
      <c r="D821" s="127"/>
      <c r="E821" s="92"/>
      <c r="F821" s="92"/>
      <c r="G821" s="92"/>
      <c r="H821" s="92"/>
      <c r="I821" s="93"/>
    </row>
    <row r="822" spans="1:9" ht="13.5">
      <c r="A822" s="108"/>
      <c r="B822" s="113"/>
      <c r="C822" s="92"/>
      <c r="D822" s="127"/>
      <c r="E822" s="92"/>
      <c r="F822" s="92"/>
      <c r="G822" s="92"/>
      <c r="H822" s="92"/>
      <c r="I822" s="93"/>
    </row>
    <row r="823" spans="1:9" ht="13.5">
      <c r="A823" s="108"/>
      <c r="B823" s="113"/>
      <c r="C823" s="92"/>
      <c r="D823" s="127"/>
      <c r="E823" s="92"/>
      <c r="F823" s="92"/>
      <c r="G823" s="92"/>
      <c r="H823" s="92"/>
      <c r="I823" s="93"/>
    </row>
    <row r="824" spans="1:9" ht="13.5">
      <c r="A824" s="108"/>
      <c r="B824" s="113"/>
      <c r="C824" s="92"/>
      <c r="D824" s="127"/>
      <c r="E824" s="92"/>
      <c r="F824" s="92"/>
      <c r="G824" s="92"/>
      <c r="H824" s="92"/>
      <c r="I824" s="93"/>
    </row>
    <row r="825" spans="1:9" ht="13.5">
      <c r="A825" s="108"/>
      <c r="B825" s="113"/>
      <c r="C825" s="92"/>
      <c r="D825" s="127"/>
      <c r="E825" s="92"/>
      <c r="F825" s="92"/>
      <c r="G825" s="92"/>
      <c r="H825" s="92"/>
      <c r="I825" s="93"/>
    </row>
    <row r="826" spans="1:9" ht="13.5">
      <c r="A826" s="108"/>
      <c r="B826" s="113"/>
      <c r="C826" s="92"/>
      <c r="D826" s="127"/>
      <c r="E826" s="92"/>
      <c r="F826" s="92"/>
      <c r="G826" s="92"/>
      <c r="H826" s="92"/>
      <c r="I826" s="93"/>
    </row>
    <row r="827" spans="1:9" ht="13.5">
      <c r="A827" s="108"/>
      <c r="B827" s="113"/>
      <c r="C827" s="92"/>
      <c r="D827" s="127"/>
      <c r="E827" s="92"/>
      <c r="F827" s="92"/>
      <c r="G827" s="92"/>
      <c r="H827" s="92"/>
      <c r="I827" s="93"/>
    </row>
    <row r="828" spans="1:9" ht="13.5">
      <c r="A828" s="108"/>
      <c r="B828" s="113"/>
      <c r="C828" s="92"/>
      <c r="D828" s="127"/>
      <c r="E828" s="92"/>
      <c r="F828" s="92"/>
      <c r="G828" s="92"/>
      <c r="H828" s="92"/>
      <c r="I828" s="93"/>
    </row>
    <row r="829" spans="1:9" ht="13.5">
      <c r="A829" s="108"/>
      <c r="B829" s="113"/>
      <c r="C829" s="92"/>
      <c r="D829" s="127"/>
      <c r="E829" s="92"/>
      <c r="F829" s="92"/>
      <c r="G829" s="92"/>
      <c r="H829" s="92"/>
      <c r="I829" s="93"/>
    </row>
    <row r="830" spans="1:9" ht="13.5">
      <c r="A830" s="108"/>
      <c r="B830" s="113"/>
      <c r="C830" s="92"/>
      <c r="D830" s="127"/>
      <c r="E830" s="92"/>
      <c r="F830" s="92"/>
      <c r="G830" s="92"/>
      <c r="H830" s="92"/>
      <c r="I830" s="93"/>
    </row>
    <row r="831" spans="1:9" ht="13.5">
      <c r="A831" s="108"/>
      <c r="B831" s="113"/>
      <c r="C831" s="92"/>
      <c r="D831" s="127"/>
      <c r="E831" s="92"/>
      <c r="F831" s="92"/>
      <c r="G831" s="92"/>
      <c r="H831" s="92"/>
      <c r="I831" s="93"/>
    </row>
    <row r="832" spans="1:9" ht="13.5">
      <c r="A832" s="108"/>
      <c r="B832" s="113"/>
      <c r="C832" s="92"/>
      <c r="D832" s="127"/>
      <c r="E832" s="92"/>
      <c r="F832" s="92"/>
      <c r="G832" s="92"/>
      <c r="H832" s="92"/>
      <c r="I832" s="93"/>
    </row>
    <row r="833" spans="1:9" ht="13.5">
      <c r="A833" s="108"/>
      <c r="B833" s="113"/>
      <c r="C833" s="92"/>
      <c r="D833" s="127"/>
      <c r="E833" s="92"/>
      <c r="F833" s="92"/>
      <c r="G833" s="92"/>
      <c r="H833" s="92"/>
      <c r="I833" s="93"/>
    </row>
    <row r="834" spans="1:9" ht="13.5">
      <c r="A834" s="108"/>
      <c r="B834" s="113"/>
      <c r="C834" s="92"/>
      <c r="D834" s="127"/>
      <c r="E834" s="92"/>
      <c r="F834" s="92"/>
      <c r="G834" s="92"/>
      <c r="H834" s="92"/>
      <c r="I834" s="93"/>
    </row>
    <row r="835" spans="1:9" ht="13.5">
      <c r="A835" s="108"/>
      <c r="B835" s="113"/>
      <c r="C835" s="92"/>
      <c r="D835" s="127"/>
      <c r="E835" s="92"/>
      <c r="F835" s="92"/>
      <c r="G835" s="92"/>
      <c r="H835" s="92"/>
      <c r="I835" s="93"/>
    </row>
    <row r="836" spans="1:9" ht="13.5">
      <c r="A836" s="108"/>
      <c r="B836" s="113"/>
      <c r="C836" s="92"/>
      <c r="D836" s="127"/>
      <c r="E836" s="92"/>
      <c r="F836" s="92"/>
      <c r="G836" s="92"/>
      <c r="H836" s="92"/>
      <c r="I836" s="93"/>
    </row>
    <row r="837" spans="1:9" ht="13.5">
      <c r="A837" s="108"/>
      <c r="B837" s="113"/>
      <c r="C837" s="92"/>
      <c r="D837" s="127"/>
      <c r="E837" s="92"/>
      <c r="F837" s="92"/>
      <c r="G837" s="92"/>
      <c r="H837" s="92"/>
      <c r="I837" s="93"/>
    </row>
    <row r="838" spans="1:9" ht="13.5">
      <c r="A838" s="108"/>
      <c r="B838" s="113"/>
      <c r="C838" s="92"/>
      <c r="D838" s="127"/>
      <c r="E838" s="92"/>
      <c r="F838" s="92"/>
      <c r="G838" s="92"/>
      <c r="H838" s="92"/>
      <c r="I838" s="93"/>
    </row>
    <row r="839" spans="1:9" ht="13.5">
      <c r="A839" s="108"/>
      <c r="B839" s="113"/>
      <c r="C839" s="92"/>
      <c r="D839" s="127"/>
      <c r="E839" s="92"/>
      <c r="F839" s="92"/>
      <c r="G839" s="92"/>
      <c r="H839" s="92"/>
      <c r="I839" s="93"/>
    </row>
    <row r="840" spans="1:9" ht="13.5">
      <c r="A840" s="108"/>
      <c r="B840" s="113"/>
      <c r="C840" s="92"/>
      <c r="D840" s="127"/>
      <c r="E840" s="92"/>
      <c r="F840" s="92"/>
      <c r="G840" s="92"/>
      <c r="H840" s="92"/>
      <c r="I840" s="93"/>
    </row>
    <row r="841" spans="1:9" ht="13.5">
      <c r="A841" s="108"/>
      <c r="B841" s="113"/>
      <c r="C841" s="92"/>
      <c r="D841" s="127"/>
      <c r="E841" s="92"/>
      <c r="F841" s="92"/>
      <c r="G841" s="92"/>
      <c r="H841" s="92"/>
      <c r="I841" s="93"/>
    </row>
    <row r="842" spans="1:9" ht="13.5">
      <c r="A842" s="108"/>
      <c r="B842" s="113"/>
      <c r="C842" s="92"/>
      <c r="D842" s="127"/>
      <c r="E842" s="92"/>
      <c r="F842" s="92"/>
      <c r="G842" s="92"/>
      <c r="H842" s="92"/>
      <c r="I842" s="93"/>
    </row>
    <row r="843" spans="1:9" ht="13.5">
      <c r="A843" s="108"/>
      <c r="B843" s="113"/>
      <c r="C843" s="92"/>
      <c r="D843" s="127"/>
      <c r="E843" s="92"/>
      <c r="F843" s="92"/>
      <c r="G843" s="92"/>
      <c r="H843" s="92"/>
      <c r="I843" s="93"/>
    </row>
    <row r="844" spans="1:9" ht="13.5">
      <c r="A844" s="108"/>
      <c r="B844" s="113"/>
      <c r="C844" s="92"/>
      <c r="D844" s="127"/>
      <c r="E844" s="92"/>
      <c r="F844" s="92"/>
      <c r="G844" s="92"/>
      <c r="H844" s="92"/>
      <c r="I844" s="93"/>
    </row>
    <row r="845" spans="1:9" ht="13.5">
      <c r="A845" s="108"/>
      <c r="B845" s="113"/>
      <c r="C845" s="92"/>
      <c r="D845" s="127"/>
      <c r="E845" s="92"/>
      <c r="F845" s="92"/>
      <c r="G845" s="92"/>
      <c r="H845" s="92"/>
      <c r="I845" s="93"/>
    </row>
    <row r="846" spans="1:9" ht="13.5">
      <c r="A846" s="108"/>
      <c r="B846" s="113"/>
      <c r="C846" s="92"/>
      <c r="D846" s="127"/>
      <c r="E846" s="92"/>
      <c r="F846" s="92"/>
      <c r="G846" s="92"/>
      <c r="H846" s="92"/>
      <c r="I846" s="93"/>
    </row>
    <row r="847" spans="1:9" ht="13.5">
      <c r="A847" s="108"/>
      <c r="B847" s="113"/>
      <c r="C847" s="92"/>
      <c r="D847" s="127"/>
      <c r="E847" s="92"/>
      <c r="F847" s="92"/>
      <c r="G847" s="92"/>
      <c r="H847" s="92"/>
      <c r="I847" s="93"/>
    </row>
    <row r="848" spans="1:9" ht="13.5">
      <c r="A848" s="108"/>
      <c r="B848" s="113"/>
      <c r="C848" s="92"/>
      <c r="D848" s="127"/>
      <c r="E848" s="92"/>
      <c r="F848" s="92"/>
      <c r="G848" s="92"/>
      <c r="H848" s="92"/>
      <c r="I848" s="93"/>
    </row>
    <row r="849" spans="1:9" ht="13.5">
      <c r="A849" s="108"/>
      <c r="B849" s="113"/>
      <c r="C849" s="92"/>
      <c r="D849" s="127"/>
      <c r="E849" s="92"/>
      <c r="F849" s="92"/>
      <c r="G849" s="92"/>
      <c r="H849" s="92"/>
      <c r="I849" s="93"/>
    </row>
    <row r="850" spans="1:9" ht="13.5">
      <c r="A850" s="108"/>
      <c r="B850" s="113"/>
      <c r="C850" s="92"/>
      <c r="D850" s="127"/>
      <c r="E850" s="92"/>
      <c r="F850" s="92"/>
      <c r="G850" s="92"/>
      <c r="H850" s="92"/>
      <c r="I850" s="93"/>
    </row>
    <row r="851" spans="1:9" ht="13.5">
      <c r="A851" s="108"/>
      <c r="B851" s="113"/>
      <c r="C851" s="92"/>
      <c r="D851" s="127"/>
      <c r="E851" s="92"/>
      <c r="F851" s="92"/>
      <c r="G851" s="92"/>
      <c r="H851" s="92"/>
      <c r="I851" s="93"/>
    </row>
    <row r="852" spans="1:9" ht="13.5">
      <c r="A852" s="108"/>
      <c r="B852" s="113"/>
      <c r="C852" s="92"/>
      <c r="D852" s="127"/>
      <c r="E852" s="92"/>
      <c r="F852" s="92"/>
      <c r="G852" s="92"/>
      <c r="H852" s="92"/>
      <c r="I852" s="93"/>
    </row>
    <row r="853" spans="1:9" ht="13.5">
      <c r="A853" s="108"/>
      <c r="B853" s="113"/>
      <c r="C853" s="92"/>
      <c r="D853" s="127"/>
      <c r="E853" s="92"/>
      <c r="F853" s="92"/>
      <c r="G853" s="92"/>
      <c r="H853" s="92"/>
      <c r="I853" s="93"/>
    </row>
    <row r="854" spans="1:9" ht="13.5">
      <c r="A854" s="108"/>
      <c r="B854" s="113"/>
      <c r="C854" s="92"/>
      <c r="D854" s="127"/>
      <c r="E854" s="92"/>
      <c r="F854" s="92"/>
      <c r="G854" s="92"/>
      <c r="H854" s="92"/>
      <c r="I854" s="93"/>
    </row>
    <row r="855" spans="1:9" ht="13.5">
      <c r="A855" s="108"/>
      <c r="B855" s="113"/>
      <c r="C855" s="92"/>
      <c r="D855" s="127"/>
      <c r="E855" s="92"/>
      <c r="F855" s="92"/>
      <c r="G855" s="92"/>
      <c r="H855" s="92"/>
      <c r="I855" s="93"/>
    </row>
    <row r="856" spans="1:9" ht="13.5">
      <c r="A856" s="108"/>
      <c r="B856" s="113"/>
      <c r="C856" s="92"/>
      <c r="D856" s="127"/>
      <c r="E856" s="92"/>
      <c r="F856" s="92"/>
      <c r="G856" s="92"/>
      <c r="H856" s="92"/>
      <c r="I856" s="93"/>
    </row>
    <row r="857" spans="1:9" ht="13.5">
      <c r="A857" s="108"/>
      <c r="B857" s="113"/>
      <c r="C857" s="92"/>
      <c r="D857" s="127"/>
      <c r="E857" s="92"/>
      <c r="F857" s="92"/>
      <c r="G857" s="92"/>
      <c r="H857" s="92"/>
      <c r="I857" s="93"/>
    </row>
    <row r="858" spans="1:9" ht="13.5">
      <c r="A858" s="108"/>
      <c r="B858" s="113"/>
      <c r="C858" s="92"/>
      <c r="D858" s="127"/>
      <c r="E858" s="92"/>
      <c r="F858" s="92"/>
      <c r="G858" s="92"/>
      <c r="H858" s="92"/>
      <c r="I858" s="93"/>
    </row>
    <row r="859" spans="1:9" ht="13.5">
      <c r="A859" s="108"/>
      <c r="B859" s="113"/>
      <c r="C859" s="92"/>
      <c r="D859" s="127"/>
      <c r="E859" s="92"/>
      <c r="F859" s="92"/>
      <c r="G859" s="92"/>
      <c r="H859" s="92"/>
      <c r="I859" s="93"/>
    </row>
    <row r="860" spans="1:9" ht="13.5">
      <c r="A860" s="108"/>
      <c r="B860" s="113"/>
      <c r="C860" s="92"/>
      <c r="D860" s="127"/>
      <c r="E860" s="92"/>
      <c r="F860" s="92"/>
      <c r="G860" s="92"/>
      <c r="H860" s="92"/>
      <c r="I860" s="93"/>
    </row>
    <row r="861" spans="1:9" ht="13.5">
      <c r="A861" s="108"/>
      <c r="B861" s="113"/>
      <c r="C861" s="92"/>
      <c r="D861" s="127"/>
      <c r="E861" s="92"/>
      <c r="F861" s="92"/>
      <c r="G861" s="92"/>
      <c r="H861" s="92"/>
      <c r="I861" s="93"/>
    </row>
    <row r="862" spans="1:9" ht="13.5">
      <c r="A862" s="108"/>
      <c r="B862" s="113"/>
      <c r="C862" s="92"/>
      <c r="D862" s="127"/>
      <c r="E862" s="92"/>
      <c r="F862" s="92"/>
      <c r="G862" s="92"/>
      <c r="H862" s="92"/>
      <c r="I862" s="93"/>
    </row>
    <row r="863" spans="1:9" ht="13.5">
      <c r="A863" s="108"/>
      <c r="B863" s="113"/>
      <c r="C863" s="92"/>
      <c r="D863" s="127"/>
      <c r="E863" s="92"/>
      <c r="F863" s="92"/>
      <c r="G863" s="92"/>
      <c r="H863" s="92"/>
      <c r="I863" s="93"/>
    </row>
    <row r="864" spans="1:9" ht="13.5">
      <c r="A864" s="108"/>
      <c r="B864" s="113"/>
      <c r="C864" s="92"/>
      <c r="D864" s="127"/>
      <c r="E864" s="92"/>
      <c r="F864" s="92"/>
      <c r="G864" s="92"/>
      <c r="H864" s="92"/>
      <c r="I864" s="93"/>
    </row>
    <row r="865" spans="1:9" ht="13.5">
      <c r="A865" s="108"/>
      <c r="B865" s="113"/>
      <c r="C865" s="92"/>
      <c r="D865" s="127"/>
      <c r="E865" s="92"/>
      <c r="F865" s="92"/>
      <c r="G865" s="92"/>
      <c r="H865" s="92"/>
      <c r="I865" s="93"/>
    </row>
    <row r="866" spans="1:9" ht="13.5">
      <c r="A866" s="108"/>
      <c r="B866" s="113"/>
      <c r="C866" s="92"/>
      <c r="D866" s="127"/>
      <c r="E866" s="92"/>
      <c r="F866" s="92"/>
      <c r="G866" s="92"/>
      <c r="H866" s="92"/>
      <c r="I866" s="93"/>
    </row>
    <row r="867" spans="1:9" ht="13.5">
      <c r="A867" s="108"/>
      <c r="B867" s="113"/>
      <c r="C867" s="92"/>
      <c r="D867" s="127"/>
      <c r="E867" s="92"/>
      <c r="F867" s="92"/>
      <c r="G867" s="92"/>
      <c r="H867" s="92"/>
      <c r="I867" s="93"/>
    </row>
    <row r="868" spans="1:9" ht="13.5">
      <c r="A868" s="108"/>
      <c r="B868" s="113"/>
      <c r="C868" s="92"/>
      <c r="D868" s="127"/>
      <c r="E868" s="92"/>
      <c r="F868" s="92"/>
      <c r="G868" s="92"/>
      <c r="H868" s="92"/>
      <c r="I868" s="93"/>
    </row>
    <row r="869" spans="1:9" ht="13.5">
      <c r="A869" s="108"/>
      <c r="B869" s="113"/>
      <c r="C869" s="92"/>
      <c r="D869" s="127"/>
      <c r="E869" s="92"/>
      <c r="F869" s="92"/>
      <c r="G869" s="92"/>
      <c r="H869" s="92"/>
      <c r="I869" s="93"/>
    </row>
    <row r="870" spans="1:9" ht="13.5">
      <c r="A870" s="108"/>
      <c r="B870" s="113"/>
      <c r="C870" s="92"/>
      <c r="D870" s="127"/>
      <c r="E870" s="92"/>
      <c r="F870" s="92"/>
      <c r="G870" s="92"/>
      <c r="H870" s="92"/>
      <c r="I870" s="93"/>
    </row>
    <row r="871" spans="1:9" ht="13.5">
      <c r="A871" s="108"/>
      <c r="B871" s="113"/>
      <c r="C871" s="92"/>
      <c r="D871" s="127"/>
      <c r="E871" s="92"/>
      <c r="F871" s="92"/>
      <c r="G871" s="92"/>
      <c r="H871" s="92"/>
      <c r="I871" s="93"/>
    </row>
    <row r="872" spans="1:9" ht="13.5">
      <c r="A872" s="108"/>
      <c r="B872" s="113"/>
      <c r="C872" s="92"/>
      <c r="D872" s="127"/>
      <c r="E872" s="92"/>
      <c r="F872" s="92"/>
      <c r="G872" s="92"/>
      <c r="H872" s="92"/>
      <c r="I872" s="93"/>
    </row>
    <row r="873" spans="1:9" ht="13.5">
      <c r="A873" s="108"/>
      <c r="B873" s="113"/>
      <c r="C873" s="92"/>
      <c r="D873" s="127"/>
      <c r="E873" s="92"/>
      <c r="F873" s="92"/>
      <c r="G873" s="92"/>
      <c r="H873" s="92"/>
      <c r="I873" s="93"/>
    </row>
    <row r="874" spans="1:9" ht="13.5">
      <c r="A874" s="108"/>
      <c r="B874" s="113"/>
      <c r="C874" s="92"/>
      <c r="D874" s="127"/>
      <c r="E874" s="92"/>
      <c r="F874" s="92"/>
      <c r="G874" s="92"/>
      <c r="H874" s="92"/>
      <c r="I874" s="93"/>
    </row>
    <row r="875" spans="1:9" ht="13.5">
      <c r="A875" s="108"/>
      <c r="B875" s="113"/>
      <c r="C875" s="92"/>
      <c r="D875" s="127"/>
      <c r="E875" s="92"/>
      <c r="F875" s="92"/>
      <c r="G875" s="92"/>
      <c r="H875" s="92"/>
      <c r="I875" s="93"/>
    </row>
    <row r="876" spans="1:9" ht="13.5">
      <c r="A876" s="108"/>
      <c r="B876" s="113"/>
      <c r="C876" s="92"/>
      <c r="D876" s="127"/>
      <c r="E876" s="92"/>
      <c r="F876" s="92"/>
      <c r="G876" s="92"/>
      <c r="H876" s="92"/>
      <c r="I876" s="93"/>
    </row>
    <row r="877" spans="1:9" ht="13.5">
      <c r="A877" s="108"/>
      <c r="B877" s="113"/>
      <c r="C877" s="92"/>
      <c r="D877" s="127"/>
      <c r="E877" s="92"/>
      <c r="F877" s="92"/>
      <c r="G877" s="92"/>
      <c r="H877" s="92"/>
      <c r="I877" s="93"/>
    </row>
    <row r="878" spans="1:9" ht="13.5">
      <c r="A878" s="108"/>
      <c r="B878" s="113"/>
      <c r="C878" s="92"/>
      <c r="D878" s="127"/>
      <c r="E878" s="92"/>
      <c r="F878" s="92"/>
      <c r="G878" s="92"/>
      <c r="H878" s="92"/>
      <c r="I878" s="93"/>
    </row>
    <row r="879" spans="1:9" ht="13.5">
      <c r="A879" s="108"/>
      <c r="B879" s="113"/>
      <c r="C879" s="92"/>
      <c r="D879" s="127"/>
      <c r="E879" s="92"/>
      <c r="F879" s="92"/>
      <c r="G879" s="92"/>
      <c r="H879" s="92"/>
      <c r="I879" s="93"/>
    </row>
    <row r="880" spans="1:9" ht="13.5">
      <c r="A880" s="108"/>
      <c r="B880" s="113"/>
      <c r="C880" s="92"/>
      <c r="D880" s="127"/>
      <c r="E880" s="92"/>
      <c r="F880" s="92"/>
      <c r="G880" s="92"/>
      <c r="H880" s="92"/>
      <c r="I880" s="93"/>
    </row>
    <row r="881" spans="1:9" ht="13.5">
      <c r="A881" s="108"/>
      <c r="B881" s="113"/>
      <c r="C881" s="92"/>
      <c r="D881" s="127"/>
      <c r="E881" s="92"/>
      <c r="F881" s="92"/>
      <c r="G881" s="92"/>
      <c r="H881" s="92"/>
      <c r="I881" s="93"/>
    </row>
    <row r="882" spans="1:9" ht="13.5">
      <c r="A882" s="108"/>
      <c r="B882" s="113"/>
      <c r="C882" s="92"/>
      <c r="D882" s="127"/>
      <c r="E882" s="92"/>
      <c r="F882" s="92"/>
      <c r="G882" s="92"/>
      <c r="H882" s="92"/>
      <c r="I882" s="93"/>
    </row>
    <row r="883" spans="1:9" ht="13.5">
      <c r="A883" s="108"/>
      <c r="B883" s="113"/>
      <c r="C883" s="92"/>
      <c r="D883" s="127"/>
      <c r="E883" s="92"/>
      <c r="F883" s="92"/>
      <c r="G883" s="92"/>
      <c r="H883" s="92"/>
      <c r="I883" s="93"/>
    </row>
    <row r="884" spans="1:9" ht="13.5">
      <c r="A884" s="108"/>
      <c r="B884" s="113"/>
      <c r="C884" s="92"/>
      <c r="D884" s="127"/>
      <c r="E884" s="92"/>
      <c r="F884" s="92"/>
      <c r="G884" s="92"/>
      <c r="H884" s="92"/>
      <c r="I884" s="93"/>
    </row>
    <row r="885" spans="1:9" ht="13.5">
      <c r="A885" s="108"/>
      <c r="B885" s="113"/>
      <c r="C885" s="92"/>
      <c r="D885" s="127"/>
      <c r="E885" s="92"/>
      <c r="F885" s="92"/>
      <c r="G885" s="92"/>
      <c r="H885" s="92"/>
      <c r="I885" s="93"/>
    </row>
    <row r="886" spans="1:9" ht="13.5">
      <c r="A886" s="108"/>
      <c r="B886" s="113"/>
      <c r="C886" s="92"/>
      <c r="D886" s="127"/>
      <c r="E886" s="92"/>
      <c r="F886" s="92"/>
      <c r="G886" s="92"/>
      <c r="H886" s="92"/>
      <c r="I886" s="93"/>
    </row>
    <row r="887" spans="1:9" ht="13.5">
      <c r="A887" s="108"/>
      <c r="B887" s="113"/>
      <c r="C887" s="92"/>
      <c r="D887" s="127"/>
      <c r="E887" s="92"/>
      <c r="F887" s="92"/>
      <c r="G887" s="92"/>
      <c r="H887" s="92"/>
      <c r="I887" s="93"/>
    </row>
    <row r="888" spans="1:9" ht="13.5">
      <c r="A888" s="108"/>
      <c r="B888" s="113"/>
      <c r="C888" s="92"/>
      <c r="D888" s="127"/>
      <c r="E888" s="92"/>
      <c r="F888" s="92"/>
      <c r="G888" s="92"/>
      <c r="H888" s="92"/>
      <c r="I888" s="93"/>
    </row>
    <row r="889" spans="1:9" ht="13.5">
      <c r="A889" s="108"/>
      <c r="B889" s="113"/>
      <c r="C889" s="92"/>
      <c r="D889" s="127"/>
      <c r="E889" s="92"/>
      <c r="F889" s="92"/>
      <c r="G889" s="92"/>
      <c r="H889" s="92"/>
      <c r="I889" s="93"/>
    </row>
    <row r="890" spans="1:9" ht="13.5">
      <c r="A890" s="108"/>
      <c r="B890" s="113"/>
      <c r="C890" s="92"/>
      <c r="D890" s="127"/>
      <c r="E890" s="92"/>
      <c r="F890" s="92"/>
      <c r="G890" s="92"/>
      <c r="H890" s="92"/>
      <c r="I890" s="93"/>
    </row>
    <row r="891" spans="1:9" ht="13.5">
      <c r="A891" s="108"/>
      <c r="B891" s="113"/>
      <c r="C891" s="92"/>
      <c r="D891" s="127"/>
      <c r="E891" s="92"/>
      <c r="F891" s="92"/>
      <c r="G891" s="92"/>
      <c r="H891" s="92"/>
      <c r="I891" s="93"/>
    </row>
    <row r="892" spans="1:9" ht="13.5">
      <c r="A892" s="108"/>
      <c r="B892" s="113"/>
      <c r="C892" s="92"/>
      <c r="D892" s="127"/>
      <c r="E892" s="92"/>
      <c r="F892" s="92"/>
      <c r="G892" s="92"/>
      <c r="H892" s="92"/>
      <c r="I892" s="93"/>
    </row>
    <row r="893" spans="1:9" ht="13.5">
      <c r="A893" s="108"/>
      <c r="B893" s="113"/>
      <c r="C893" s="92"/>
      <c r="D893" s="127"/>
      <c r="E893" s="92"/>
      <c r="F893" s="92"/>
      <c r="G893" s="92"/>
      <c r="H893" s="92"/>
      <c r="I893" s="93"/>
    </row>
    <row r="894" spans="1:9" ht="13.5">
      <c r="A894" s="108"/>
      <c r="B894" s="113"/>
      <c r="C894" s="92"/>
      <c r="D894" s="127"/>
      <c r="E894" s="92"/>
      <c r="F894" s="92"/>
      <c r="G894" s="92"/>
      <c r="H894" s="92"/>
      <c r="I894" s="93"/>
    </row>
    <row r="895" spans="1:9" ht="13.5">
      <c r="A895" s="108"/>
      <c r="B895" s="113"/>
      <c r="C895" s="92"/>
      <c r="D895" s="127"/>
      <c r="E895" s="92"/>
      <c r="F895" s="92"/>
      <c r="G895" s="92"/>
      <c r="H895" s="92"/>
      <c r="I895" s="93"/>
    </row>
    <row r="896" spans="1:9" ht="13.5">
      <c r="A896" s="108"/>
      <c r="B896" s="113"/>
      <c r="C896" s="92"/>
      <c r="D896" s="127"/>
      <c r="E896" s="92"/>
      <c r="F896" s="92"/>
      <c r="G896" s="92"/>
      <c r="H896" s="92"/>
      <c r="I896" s="93"/>
    </row>
    <row r="897" spans="1:9" ht="13.5">
      <c r="A897" s="108"/>
      <c r="B897" s="113"/>
      <c r="C897" s="92"/>
      <c r="D897" s="127"/>
      <c r="E897" s="92"/>
      <c r="F897" s="92"/>
      <c r="G897" s="92"/>
      <c r="H897" s="92"/>
      <c r="I897" s="93"/>
    </row>
    <row r="898" spans="1:9" ht="13.5">
      <c r="A898" s="108"/>
      <c r="B898" s="113"/>
      <c r="C898" s="92"/>
      <c r="D898" s="127"/>
      <c r="E898" s="92"/>
      <c r="F898" s="92"/>
      <c r="G898" s="92"/>
      <c r="H898" s="92"/>
      <c r="I898" s="93"/>
    </row>
    <row r="899" spans="1:9" ht="13.5">
      <c r="A899" s="108"/>
      <c r="B899" s="113"/>
      <c r="C899" s="92"/>
      <c r="D899" s="127"/>
      <c r="E899" s="92"/>
      <c r="F899" s="92"/>
      <c r="G899" s="92"/>
      <c r="H899" s="92"/>
      <c r="I899" s="93"/>
    </row>
    <row r="900" spans="1:9" ht="13.5">
      <c r="A900" s="108"/>
      <c r="B900" s="113"/>
      <c r="C900" s="92"/>
      <c r="D900" s="127"/>
      <c r="E900" s="92"/>
      <c r="F900" s="92"/>
      <c r="G900" s="92"/>
      <c r="H900" s="92"/>
      <c r="I900" s="93"/>
    </row>
    <row r="901" spans="1:9" ht="13.5">
      <c r="A901" s="108"/>
      <c r="B901" s="113"/>
      <c r="C901" s="92"/>
      <c r="D901" s="127"/>
      <c r="E901" s="92"/>
      <c r="F901" s="92"/>
      <c r="G901" s="92"/>
      <c r="H901" s="92"/>
      <c r="I901" s="93"/>
    </row>
    <row r="902" spans="1:9" ht="13.5">
      <c r="A902" s="108"/>
      <c r="B902" s="113"/>
      <c r="C902" s="92"/>
      <c r="D902" s="127"/>
      <c r="E902" s="92"/>
      <c r="F902" s="92"/>
      <c r="G902" s="92"/>
      <c r="H902" s="92"/>
      <c r="I902" s="93"/>
    </row>
    <row r="903" spans="1:9" ht="13.5">
      <c r="A903" s="108"/>
      <c r="B903" s="113"/>
      <c r="C903" s="92"/>
      <c r="D903" s="127"/>
      <c r="E903" s="92"/>
      <c r="F903" s="92"/>
      <c r="G903" s="92"/>
      <c r="H903" s="92"/>
      <c r="I903" s="93"/>
    </row>
    <row r="904" spans="1:9" ht="13.5">
      <c r="A904" s="108"/>
      <c r="B904" s="113"/>
      <c r="C904" s="92"/>
      <c r="D904" s="127"/>
      <c r="E904" s="92"/>
      <c r="F904" s="92"/>
      <c r="G904" s="92"/>
      <c r="H904" s="92"/>
      <c r="I904" s="93"/>
    </row>
    <row r="905" spans="1:9" ht="13.5">
      <c r="A905" s="108"/>
      <c r="B905" s="113"/>
      <c r="C905" s="92"/>
      <c r="D905" s="127"/>
      <c r="E905" s="92"/>
      <c r="F905" s="92"/>
      <c r="G905" s="92"/>
      <c r="H905" s="92"/>
      <c r="I905" s="93"/>
    </row>
    <row r="906" spans="1:9" ht="13.5">
      <c r="A906" s="108"/>
      <c r="B906" s="113"/>
      <c r="C906" s="92"/>
      <c r="D906" s="127"/>
      <c r="E906" s="92"/>
      <c r="F906" s="92"/>
      <c r="G906" s="92"/>
      <c r="H906" s="92"/>
      <c r="I906" s="93"/>
    </row>
    <row r="907" spans="1:9" ht="13.5">
      <c r="A907" s="108"/>
      <c r="B907" s="113"/>
      <c r="C907" s="92"/>
      <c r="D907" s="127"/>
      <c r="E907" s="92"/>
      <c r="F907" s="92"/>
      <c r="G907" s="92"/>
      <c r="H907" s="92"/>
      <c r="I907" s="93"/>
    </row>
    <row r="908" spans="1:9" ht="13.5">
      <c r="A908" s="108"/>
      <c r="B908" s="113"/>
      <c r="C908" s="92"/>
      <c r="D908" s="127"/>
      <c r="E908" s="92"/>
      <c r="F908" s="92"/>
      <c r="G908" s="92"/>
      <c r="H908" s="92"/>
      <c r="I908" s="93"/>
    </row>
    <row r="909" spans="1:9" ht="13.5">
      <c r="A909" s="108"/>
      <c r="B909" s="113"/>
      <c r="C909" s="92"/>
      <c r="D909" s="127"/>
      <c r="E909" s="92"/>
      <c r="F909" s="92"/>
      <c r="G909" s="92"/>
      <c r="H909" s="92"/>
      <c r="I909" s="93"/>
    </row>
    <row r="910" spans="1:9" ht="13.5">
      <c r="A910" s="108"/>
      <c r="B910" s="113"/>
      <c r="C910" s="92"/>
      <c r="D910" s="127"/>
      <c r="E910" s="92"/>
      <c r="F910" s="92"/>
      <c r="G910" s="92"/>
      <c r="H910" s="92"/>
      <c r="I910" s="93"/>
    </row>
    <row r="911" spans="1:9" ht="13.5">
      <c r="A911" s="108"/>
      <c r="B911" s="113"/>
      <c r="C911" s="92"/>
      <c r="D911" s="127"/>
      <c r="E911" s="92"/>
      <c r="F911" s="92"/>
      <c r="G911" s="92"/>
      <c r="H911" s="92"/>
      <c r="I911" s="93"/>
    </row>
    <row r="912" spans="1:9" ht="13.5">
      <c r="A912" s="108"/>
      <c r="B912" s="113"/>
      <c r="C912" s="92"/>
      <c r="D912" s="127"/>
      <c r="E912" s="92"/>
      <c r="F912" s="92"/>
      <c r="G912" s="92"/>
      <c r="H912" s="92"/>
      <c r="I912" s="93"/>
    </row>
    <row r="913" spans="1:9" ht="13.5">
      <c r="A913" s="108"/>
      <c r="B913" s="113"/>
      <c r="C913" s="92"/>
      <c r="D913" s="127"/>
      <c r="E913" s="92"/>
      <c r="F913" s="92"/>
      <c r="G913" s="92"/>
      <c r="H913" s="92"/>
      <c r="I913" s="93"/>
    </row>
    <row r="914" spans="1:9" ht="13.5">
      <c r="A914" s="108"/>
      <c r="B914" s="113"/>
      <c r="C914" s="92"/>
      <c r="D914" s="127"/>
      <c r="E914" s="92"/>
      <c r="F914" s="92"/>
      <c r="G914" s="92"/>
      <c r="H914" s="92"/>
      <c r="I914" s="93"/>
    </row>
    <row r="915" spans="1:9" ht="13.5">
      <c r="A915" s="108"/>
      <c r="B915" s="113"/>
      <c r="C915" s="92"/>
      <c r="D915" s="127"/>
      <c r="E915" s="92"/>
      <c r="F915" s="92"/>
      <c r="G915" s="92"/>
      <c r="H915" s="92"/>
      <c r="I915" s="93"/>
    </row>
    <row r="916" spans="1:9" ht="13.5">
      <c r="A916" s="108"/>
      <c r="B916" s="113"/>
      <c r="C916" s="92"/>
      <c r="D916" s="127"/>
      <c r="E916" s="92"/>
      <c r="F916" s="92"/>
      <c r="G916" s="92"/>
      <c r="H916" s="92"/>
      <c r="I916" s="93"/>
    </row>
    <row r="917" spans="1:9" ht="13.5">
      <c r="A917" s="108"/>
      <c r="B917" s="113"/>
      <c r="C917" s="92"/>
      <c r="D917" s="127"/>
      <c r="E917" s="92"/>
      <c r="F917" s="92"/>
      <c r="G917" s="92"/>
      <c r="H917" s="92"/>
      <c r="I917" s="93"/>
    </row>
    <row r="918" spans="1:9" ht="13.5">
      <c r="A918" s="108"/>
      <c r="B918" s="113"/>
      <c r="C918" s="92"/>
      <c r="D918" s="127"/>
      <c r="E918" s="92"/>
      <c r="F918" s="92"/>
      <c r="G918" s="92"/>
      <c r="H918" s="92"/>
      <c r="I918" s="93"/>
    </row>
    <row r="919" spans="1:9" ht="13.5">
      <c r="A919" s="108"/>
      <c r="B919" s="113"/>
      <c r="C919" s="92"/>
      <c r="D919" s="127"/>
      <c r="E919" s="92"/>
      <c r="F919" s="92"/>
      <c r="G919" s="92"/>
      <c r="H919" s="92"/>
      <c r="I919" s="93"/>
    </row>
    <row r="920" spans="1:9" ht="13.5">
      <c r="A920" s="108"/>
      <c r="B920" s="113"/>
      <c r="C920" s="92"/>
      <c r="D920" s="127"/>
      <c r="E920" s="92"/>
      <c r="F920" s="92"/>
      <c r="G920" s="92"/>
      <c r="H920" s="92"/>
      <c r="I920" s="93"/>
    </row>
    <row r="921" spans="1:9" ht="13.5">
      <c r="A921" s="108"/>
      <c r="B921" s="113"/>
      <c r="C921" s="92"/>
      <c r="D921" s="127"/>
      <c r="E921" s="92"/>
      <c r="F921" s="92"/>
      <c r="G921" s="92"/>
      <c r="H921" s="92"/>
      <c r="I921" s="93"/>
    </row>
    <row r="922" spans="1:9" ht="13.5">
      <c r="A922" s="108"/>
      <c r="B922" s="113"/>
      <c r="C922" s="92"/>
      <c r="D922" s="127"/>
      <c r="E922" s="92"/>
      <c r="F922" s="92"/>
      <c r="G922" s="92"/>
      <c r="H922" s="92"/>
      <c r="I922" s="93"/>
    </row>
    <row r="923" spans="1:9" ht="13.5">
      <c r="A923" s="108"/>
      <c r="B923" s="113"/>
      <c r="C923" s="92"/>
      <c r="D923" s="127"/>
      <c r="E923" s="92"/>
      <c r="F923" s="92"/>
      <c r="G923" s="92"/>
      <c r="H923" s="92"/>
      <c r="I923" s="93"/>
    </row>
    <row r="924" spans="1:9" ht="13.5">
      <c r="A924" s="108"/>
      <c r="B924" s="113"/>
      <c r="C924" s="92"/>
      <c r="D924" s="127"/>
      <c r="E924" s="92"/>
      <c r="F924" s="92"/>
      <c r="G924" s="92"/>
      <c r="H924" s="92"/>
      <c r="I924" s="93"/>
    </row>
    <row r="925" spans="1:9" ht="13.5">
      <c r="A925" s="108"/>
      <c r="B925" s="113"/>
      <c r="C925" s="92"/>
      <c r="D925" s="127"/>
      <c r="E925" s="92"/>
      <c r="F925" s="92"/>
      <c r="G925" s="92"/>
      <c r="H925" s="92"/>
      <c r="I925" s="93"/>
    </row>
    <row r="926" spans="1:9" ht="13.5">
      <c r="A926" s="108"/>
      <c r="B926" s="113"/>
      <c r="C926" s="92"/>
      <c r="D926" s="127"/>
      <c r="E926" s="92"/>
      <c r="F926" s="92"/>
      <c r="G926" s="92"/>
      <c r="H926" s="92"/>
      <c r="I926" s="93"/>
    </row>
    <row r="927" spans="1:9" ht="13.5">
      <c r="A927" s="108"/>
      <c r="B927" s="113"/>
      <c r="C927" s="92"/>
      <c r="D927" s="127"/>
      <c r="E927" s="92"/>
      <c r="F927" s="92"/>
      <c r="G927" s="92"/>
      <c r="H927" s="92"/>
      <c r="I927" s="93"/>
    </row>
    <row r="928" spans="1:9" ht="13.5">
      <c r="A928" s="108"/>
      <c r="B928" s="113"/>
      <c r="C928" s="92"/>
      <c r="D928" s="127"/>
      <c r="E928" s="92"/>
      <c r="F928" s="92"/>
      <c r="G928" s="92"/>
      <c r="H928" s="92"/>
      <c r="I928" s="93"/>
    </row>
    <row r="929" spans="1:9" ht="13.5">
      <c r="A929" s="108"/>
      <c r="B929" s="113"/>
      <c r="C929" s="92"/>
      <c r="D929" s="127"/>
      <c r="E929" s="92"/>
      <c r="F929" s="92"/>
      <c r="G929" s="92"/>
      <c r="H929" s="92"/>
      <c r="I929" s="93"/>
    </row>
    <row r="930" spans="1:9" ht="13.5">
      <c r="A930" s="108"/>
      <c r="B930" s="113"/>
      <c r="C930" s="92"/>
      <c r="D930" s="127"/>
      <c r="E930" s="92"/>
      <c r="F930" s="92"/>
      <c r="G930" s="92"/>
      <c r="H930" s="92"/>
      <c r="I930" s="93"/>
    </row>
    <row r="931" spans="1:9" ht="13.5">
      <c r="A931" s="108"/>
      <c r="B931" s="113"/>
      <c r="C931" s="92"/>
      <c r="D931" s="127"/>
      <c r="E931" s="92"/>
      <c r="F931" s="92"/>
      <c r="G931" s="92"/>
      <c r="H931" s="92"/>
      <c r="I931" s="93"/>
    </row>
    <row r="932" spans="1:9" ht="13.5">
      <c r="A932" s="108"/>
      <c r="B932" s="113"/>
      <c r="C932" s="92"/>
      <c r="D932" s="127"/>
      <c r="E932" s="92"/>
      <c r="F932" s="92"/>
      <c r="G932" s="92"/>
      <c r="H932" s="92"/>
      <c r="I932" s="93"/>
    </row>
    <row r="933" spans="1:9" ht="13.5">
      <c r="A933" s="108"/>
      <c r="B933" s="113"/>
      <c r="C933" s="92"/>
      <c r="D933" s="127"/>
      <c r="E933" s="92"/>
      <c r="F933" s="92"/>
      <c r="G933" s="92"/>
      <c r="H933" s="92"/>
      <c r="I933" s="93"/>
    </row>
    <row r="934" spans="1:9" ht="13.5">
      <c r="A934" s="108"/>
      <c r="B934" s="113"/>
      <c r="C934" s="92"/>
      <c r="D934" s="127"/>
      <c r="E934" s="92"/>
      <c r="F934" s="92"/>
      <c r="G934" s="92"/>
      <c r="H934" s="92"/>
      <c r="I934" s="93"/>
    </row>
    <row r="935" spans="1:9" ht="13.5">
      <c r="A935" s="108"/>
      <c r="B935" s="113"/>
      <c r="C935" s="92"/>
      <c r="D935" s="127"/>
      <c r="E935" s="92"/>
      <c r="F935" s="92"/>
      <c r="G935" s="92"/>
      <c r="H935" s="92"/>
      <c r="I935" s="93"/>
    </row>
    <row r="936" spans="1:9" ht="13.5">
      <c r="A936" s="108"/>
      <c r="B936" s="113"/>
      <c r="C936" s="92"/>
      <c r="D936" s="127"/>
      <c r="E936" s="92"/>
      <c r="F936" s="92"/>
      <c r="G936" s="92"/>
      <c r="H936" s="92"/>
      <c r="I936" s="93"/>
    </row>
    <row r="937" spans="1:9" ht="13.5">
      <c r="A937" s="108"/>
      <c r="B937" s="113"/>
      <c r="C937" s="92"/>
      <c r="D937" s="127"/>
      <c r="E937" s="92"/>
      <c r="F937" s="92"/>
      <c r="G937" s="92"/>
      <c r="H937" s="92"/>
      <c r="I937" s="93"/>
    </row>
    <row r="938" spans="1:9" ht="13.5">
      <c r="A938" s="108"/>
      <c r="B938" s="113"/>
      <c r="C938" s="92"/>
      <c r="D938" s="127"/>
      <c r="E938" s="92"/>
      <c r="F938" s="92"/>
      <c r="G938" s="92"/>
      <c r="H938" s="92"/>
      <c r="I938" s="93"/>
    </row>
    <row r="939" spans="1:9" ht="13.5">
      <c r="A939" s="108"/>
      <c r="B939" s="113"/>
      <c r="C939" s="92"/>
      <c r="D939" s="127"/>
      <c r="E939" s="92"/>
      <c r="F939" s="92"/>
      <c r="G939" s="92"/>
      <c r="H939" s="92"/>
      <c r="I939" s="93"/>
    </row>
    <row r="940" spans="1:9" ht="13.5">
      <c r="A940" s="108"/>
      <c r="B940" s="113"/>
      <c r="C940" s="92"/>
      <c r="D940" s="127"/>
      <c r="E940" s="92"/>
      <c r="F940" s="92"/>
      <c r="G940" s="92"/>
      <c r="H940" s="92"/>
      <c r="I940" s="93"/>
    </row>
    <row r="941" spans="1:9" ht="13.5">
      <c r="A941" s="108"/>
      <c r="B941" s="113"/>
      <c r="C941" s="92"/>
      <c r="D941" s="127"/>
      <c r="E941" s="92"/>
      <c r="F941" s="92"/>
      <c r="G941" s="92"/>
      <c r="H941" s="92"/>
      <c r="I941" s="93"/>
    </row>
    <row r="942" spans="1:9" ht="13.5">
      <c r="A942" s="108"/>
      <c r="B942" s="113"/>
      <c r="C942" s="92"/>
      <c r="D942" s="127"/>
      <c r="E942" s="92"/>
      <c r="F942" s="92"/>
      <c r="G942" s="92"/>
      <c r="H942" s="92"/>
      <c r="I942" s="93"/>
    </row>
    <row r="943" spans="1:9" ht="13.5">
      <c r="A943" s="108"/>
      <c r="B943" s="113"/>
      <c r="C943" s="92"/>
      <c r="D943" s="127"/>
      <c r="E943" s="92"/>
      <c r="F943" s="92"/>
      <c r="G943" s="92"/>
      <c r="H943" s="92"/>
      <c r="I943" s="93"/>
    </row>
    <row r="944" spans="1:9" ht="13.5">
      <c r="A944" s="108"/>
      <c r="B944" s="113"/>
      <c r="C944" s="92"/>
      <c r="D944" s="127"/>
      <c r="E944" s="92"/>
      <c r="F944" s="92"/>
      <c r="G944" s="92"/>
      <c r="H944" s="92"/>
      <c r="I944" s="93"/>
    </row>
    <row r="945" spans="1:9" ht="13.5">
      <c r="A945" s="108"/>
      <c r="B945" s="113"/>
      <c r="C945" s="92"/>
      <c r="D945" s="127"/>
      <c r="E945" s="92"/>
      <c r="F945" s="92"/>
      <c r="G945" s="92"/>
      <c r="H945" s="92"/>
      <c r="I945" s="93"/>
    </row>
    <row r="946" spans="1:9" ht="13.5">
      <c r="A946" s="108"/>
      <c r="B946" s="113"/>
      <c r="C946" s="92"/>
      <c r="D946" s="127"/>
      <c r="E946" s="92"/>
      <c r="F946" s="92"/>
      <c r="G946" s="92"/>
      <c r="H946" s="92"/>
      <c r="I946" s="93"/>
    </row>
    <row r="947" spans="1:9" ht="13.5">
      <c r="A947" s="108"/>
      <c r="B947" s="113"/>
      <c r="C947" s="92"/>
      <c r="D947" s="127"/>
      <c r="E947" s="92"/>
      <c r="F947" s="92"/>
      <c r="G947" s="92"/>
      <c r="H947" s="92"/>
      <c r="I947" s="93"/>
    </row>
    <row r="948" spans="1:9" ht="13.5">
      <c r="A948" s="108"/>
      <c r="B948" s="113"/>
      <c r="C948" s="92"/>
      <c r="D948" s="127"/>
      <c r="E948" s="92"/>
      <c r="F948" s="92"/>
      <c r="G948" s="92"/>
      <c r="H948" s="92"/>
      <c r="I948" s="93"/>
    </row>
    <row r="949" spans="1:9" ht="13.5">
      <c r="A949" s="108"/>
      <c r="B949" s="113"/>
      <c r="C949" s="92"/>
      <c r="D949" s="127"/>
      <c r="E949" s="92"/>
      <c r="F949" s="92"/>
      <c r="G949" s="92"/>
      <c r="H949" s="92"/>
      <c r="I949" s="93"/>
    </row>
    <row r="950" spans="1:9" ht="13.5">
      <c r="A950" s="108"/>
      <c r="B950" s="113"/>
      <c r="C950" s="92"/>
      <c r="D950" s="127"/>
      <c r="E950" s="92"/>
      <c r="F950" s="92"/>
      <c r="G950" s="92"/>
      <c r="H950" s="92"/>
      <c r="I950" s="93"/>
    </row>
    <row r="951" spans="1:9" ht="13.5">
      <c r="A951" s="108"/>
      <c r="B951" s="113"/>
      <c r="C951" s="92"/>
      <c r="D951" s="127"/>
      <c r="E951" s="92"/>
      <c r="F951" s="92"/>
      <c r="G951" s="92"/>
      <c r="H951" s="92"/>
      <c r="I951" s="93"/>
    </row>
    <row r="952" spans="1:9" ht="13.5">
      <c r="A952" s="108"/>
      <c r="B952" s="113"/>
      <c r="C952" s="92"/>
      <c r="D952" s="127"/>
      <c r="E952" s="92"/>
      <c r="F952" s="92"/>
      <c r="G952" s="92"/>
      <c r="H952" s="92"/>
      <c r="I952" s="93"/>
    </row>
    <row r="953" spans="1:9" ht="13.5">
      <c r="A953" s="108"/>
      <c r="B953" s="113"/>
      <c r="C953" s="92"/>
      <c r="D953" s="127"/>
      <c r="E953" s="92"/>
      <c r="F953" s="92"/>
      <c r="G953" s="92"/>
      <c r="H953" s="92"/>
      <c r="I953" s="93"/>
    </row>
    <row r="954" spans="1:9" ht="13.5">
      <c r="A954" s="108"/>
      <c r="B954" s="113"/>
      <c r="C954" s="92"/>
      <c r="D954" s="127"/>
      <c r="E954" s="92"/>
      <c r="F954" s="92"/>
      <c r="G954" s="92"/>
      <c r="H954" s="92"/>
      <c r="I954" s="93"/>
    </row>
    <row r="955" spans="1:9" ht="13.5">
      <c r="A955" s="108"/>
      <c r="B955" s="113"/>
      <c r="C955" s="92"/>
      <c r="D955" s="127"/>
      <c r="E955" s="92"/>
      <c r="F955" s="92"/>
      <c r="G955" s="92"/>
      <c r="H955" s="92"/>
      <c r="I955" s="93"/>
    </row>
    <row r="956" spans="1:9" ht="13.5">
      <c r="A956" s="108"/>
      <c r="B956" s="113"/>
      <c r="C956" s="92"/>
      <c r="D956" s="127"/>
      <c r="E956" s="92"/>
      <c r="F956" s="92"/>
      <c r="G956" s="92"/>
      <c r="H956" s="92"/>
      <c r="I956" s="93"/>
    </row>
    <row r="957" spans="1:9" ht="13.5">
      <c r="A957" s="108"/>
      <c r="B957" s="113"/>
      <c r="C957" s="92"/>
      <c r="D957" s="127"/>
      <c r="E957" s="92"/>
      <c r="F957" s="92"/>
      <c r="G957" s="92"/>
      <c r="H957" s="92"/>
      <c r="I957" s="93"/>
    </row>
    <row r="958" spans="1:9" ht="13.5">
      <c r="A958" s="108"/>
      <c r="B958" s="113"/>
      <c r="C958" s="92"/>
      <c r="D958" s="127"/>
      <c r="E958" s="92"/>
      <c r="F958" s="92"/>
      <c r="G958" s="92"/>
      <c r="H958" s="92"/>
      <c r="I958" s="93"/>
    </row>
    <row r="959" spans="1:9" ht="13.5">
      <c r="A959" s="108"/>
      <c r="B959" s="113"/>
      <c r="C959" s="92"/>
      <c r="D959" s="127"/>
      <c r="E959" s="92"/>
      <c r="F959" s="92"/>
      <c r="G959" s="92"/>
      <c r="H959" s="92"/>
      <c r="I959" s="93"/>
    </row>
    <row r="960" spans="1:9" ht="13.5">
      <c r="A960" s="108"/>
      <c r="B960" s="113"/>
      <c r="C960" s="92"/>
      <c r="D960" s="127"/>
      <c r="E960" s="92"/>
      <c r="F960" s="92"/>
      <c r="G960" s="92"/>
      <c r="H960" s="92"/>
      <c r="I960" s="93"/>
    </row>
    <row r="961" spans="1:9" ht="13.5">
      <c r="A961" s="108"/>
      <c r="B961" s="113"/>
      <c r="C961" s="92"/>
      <c r="D961" s="127"/>
      <c r="E961" s="92"/>
      <c r="F961" s="92"/>
      <c r="G961" s="92"/>
      <c r="H961" s="92"/>
      <c r="I961" s="93"/>
    </row>
    <row r="962" spans="1:9" ht="13.5">
      <c r="A962" s="108"/>
      <c r="B962" s="113"/>
      <c r="C962" s="92"/>
      <c r="D962" s="127"/>
      <c r="E962" s="92"/>
      <c r="F962" s="92"/>
      <c r="G962" s="92"/>
      <c r="H962" s="92"/>
      <c r="I962" s="93"/>
    </row>
    <row r="963" spans="1:9" ht="13.5">
      <c r="A963" s="108"/>
      <c r="B963" s="113"/>
      <c r="C963" s="92"/>
      <c r="D963" s="127"/>
      <c r="E963" s="92"/>
      <c r="F963" s="92"/>
      <c r="G963" s="92"/>
      <c r="H963" s="92"/>
      <c r="I963" s="93"/>
    </row>
    <row r="964" spans="1:9" ht="13.5">
      <c r="A964" s="108"/>
      <c r="B964" s="113"/>
      <c r="C964" s="92"/>
      <c r="D964" s="127"/>
      <c r="E964" s="92"/>
      <c r="F964" s="92"/>
      <c r="G964" s="92"/>
      <c r="H964" s="92"/>
      <c r="I964" s="93"/>
    </row>
    <row r="965" spans="1:9" ht="13.5">
      <c r="A965" s="108"/>
      <c r="B965" s="113"/>
      <c r="C965" s="92"/>
      <c r="D965" s="127"/>
      <c r="E965" s="92"/>
      <c r="F965" s="92"/>
      <c r="G965" s="92"/>
      <c r="H965" s="92"/>
      <c r="I965" s="93"/>
    </row>
    <row r="966" spans="1:9" ht="13.5">
      <c r="A966" s="108"/>
      <c r="B966" s="113"/>
      <c r="C966" s="92"/>
      <c r="D966" s="127"/>
      <c r="E966" s="92"/>
      <c r="F966" s="92"/>
      <c r="G966" s="92"/>
      <c r="H966" s="92"/>
      <c r="I966" s="93"/>
    </row>
    <row r="967" spans="1:9" ht="13.5">
      <c r="A967" s="103"/>
      <c r="B967" s="114"/>
      <c r="C967" s="94"/>
      <c r="D967" s="72"/>
      <c r="E967" s="94"/>
      <c r="F967" s="94"/>
      <c r="G967" s="94"/>
      <c r="H967" s="94"/>
      <c r="I967" s="95"/>
    </row>
    <row r="968" spans="1:9" ht="13.5">
      <c r="A968" s="103"/>
      <c r="B968" s="114"/>
      <c r="C968" s="94"/>
      <c r="D968" s="72"/>
      <c r="E968" s="94"/>
      <c r="F968" s="94"/>
      <c r="G968" s="94"/>
      <c r="H968" s="94"/>
      <c r="I968" s="95"/>
    </row>
    <row r="969" spans="1:9" ht="13.5">
      <c r="A969" s="103"/>
      <c r="B969" s="114"/>
      <c r="C969" s="94"/>
      <c r="D969" s="72"/>
      <c r="E969" s="94"/>
      <c r="F969" s="94"/>
      <c r="G969" s="94"/>
      <c r="H969" s="94"/>
      <c r="I969" s="95"/>
    </row>
    <row r="970" spans="1:9" ht="13.5">
      <c r="A970" s="103"/>
      <c r="B970" s="114"/>
      <c r="C970" s="94"/>
      <c r="D970" s="72"/>
      <c r="E970" s="94"/>
      <c r="F970" s="94"/>
      <c r="G970" s="94"/>
      <c r="H970" s="94"/>
      <c r="I970" s="95"/>
    </row>
    <row r="971" spans="1:9" ht="13.5">
      <c r="A971" s="103"/>
      <c r="B971" s="114"/>
      <c r="C971" s="94"/>
      <c r="D971" s="72"/>
      <c r="E971" s="94"/>
      <c r="F971" s="94"/>
      <c r="G971" s="94"/>
      <c r="H971" s="94"/>
      <c r="I971" s="95"/>
    </row>
    <row r="972" spans="1:9" ht="13.5">
      <c r="A972" s="103"/>
      <c r="B972" s="114"/>
      <c r="C972" s="94"/>
      <c r="D972" s="72"/>
      <c r="E972" s="94"/>
      <c r="F972" s="94"/>
      <c r="G972" s="94"/>
      <c r="H972" s="94"/>
      <c r="I972" s="95"/>
    </row>
    <row r="973" spans="1:9" ht="13.5">
      <c r="A973" s="103"/>
      <c r="B973" s="114"/>
      <c r="C973" s="94"/>
      <c r="D973" s="72"/>
      <c r="E973" s="94"/>
      <c r="F973" s="94"/>
      <c r="G973" s="94"/>
      <c r="H973" s="94"/>
      <c r="I973" s="95"/>
    </row>
    <row r="974" spans="1:9" ht="13.5">
      <c r="A974" s="103"/>
      <c r="B974" s="114"/>
      <c r="C974" s="94"/>
      <c r="D974" s="72"/>
      <c r="E974" s="94"/>
      <c r="F974" s="94"/>
      <c r="G974" s="94"/>
      <c r="H974" s="94"/>
      <c r="I974" s="95"/>
    </row>
    <row r="975" spans="1:9" ht="13.5">
      <c r="A975" s="103"/>
      <c r="B975" s="114"/>
      <c r="C975" s="94"/>
      <c r="D975" s="72"/>
      <c r="E975" s="94"/>
      <c r="F975" s="94"/>
      <c r="G975" s="94"/>
      <c r="H975" s="94"/>
      <c r="I975" s="95"/>
    </row>
    <row r="976" spans="1:9" ht="13.5">
      <c r="A976" s="103"/>
      <c r="B976" s="114"/>
      <c r="C976" s="94"/>
      <c r="D976" s="72"/>
      <c r="E976" s="94"/>
      <c r="F976" s="94"/>
      <c r="G976" s="94"/>
      <c r="H976" s="94"/>
      <c r="I976" s="95"/>
    </row>
    <row r="977" spans="1:9" ht="13.5">
      <c r="A977" s="103"/>
      <c r="B977" s="114"/>
      <c r="C977" s="94"/>
      <c r="D977" s="72"/>
      <c r="E977" s="94"/>
      <c r="F977" s="94"/>
      <c r="G977" s="94"/>
      <c r="H977" s="94"/>
      <c r="I977" s="95"/>
    </row>
    <row r="978" spans="1:9" ht="13.5">
      <c r="A978" s="103"/>
      <c r="B978" s="114"/>
      <c r="C978" s="94"/>
      <c r="D978" s="72"/>
      <c r="E978" s="94"/>
      <c r="F978" s="94"/>
      <c r="G978" s="94"/>
      <c r="H978" s="94"/>
      <c r="I978" s="95"/>
    </row>
    <row r="979" spans="1:9" ht="13.5">
      <c r="A979" s="103"/>
      <c r="B979" s="114"/>
      <c r="C979" s="94"/>
      <c r="D979" s="72"/>
      <c r="E979" s="94"/>
      <c r="F979" s="94"/>
      <c r="G979" s="94"/>
      <c r="H979" s="94"/>
      <c r="I979" s="95"/>
    </row>
    <row r="980" spans="1:9" ht="13.5">
      <c r="A980" s="103"/>
      <c r="B980" s="114"/>
      <c r="C980" s="94"/>
      <c r="D980" s="72"/>
      <c r="E980" s="94"/>
      <c r="F980" s="94"/>
      <c r="G980" s="94"/>
      <c r="H980" s="94"/>
      <c r="I980" s="95"/>
    </row>
    <row r="981" spans="1:9" ht="13.5">
      <c r="A981" s="103"/>
      <c r="B981" s="114"/>
      <c r="C981" s="94"/>
      <c r="D981" s="72"/>
      <c r="E981" s="94"/>
      <c r="F981" s="94"/>
      <c r="G981" s="94"/>
      <c r="H981" s="94"/>
      <c r="I981" s="95"/>
    </row>
    <row r="982" spans="1:9" ht="13.5">
      <c r="A982" s="103"/>
      <c r="B982" s="114"/>
      <c r="C982" s="94"/>
      <c r="D982" s="72"/>
      <c r="E982" s="94"/>
      <c r="F982" s="94"/>
      <c r="G982" s="94"/>
      <c r="H982" s="94"/>
      <c r="I982" s="95"/>
    </row>
    <row r="983" spans="1:9" ht="13.5">
      <c r="A983" s="103"/>
      <c r="B983" s="114"/>
      <c r="C983" s="94"/>
      <c r="D983" s="72"/>
      <c r="E983" s="94"/>
      <c r="F983" s="94"/>
      <c r="G983" s="94"/>
      <c r="H983" s="94"/>
      <c r="I983" s="95"/>
    </row>
    <row r="984" spans="1:9" ht="13.5">
      <c r="A984" s="103"/>
      <c r="B984" s="114"/>
      <c r="C984" s="94"/>
      <c r="D984" s="72"/>
      <c r="E984" s="94"/>
      <c r="F984" s="94"/>
      <c r="G984" s="94"/>
      <c r="H984" s="94"/>
      <c r="I984" s="95"/>
    </row>
    <row r="985" spans="1:9" ht="13.5">
      <c r="A985" s="103"/>
      <c r="B985" s="114"/>
      <c r="C985" s="94"/>
      <c r="D985" s="72"/>
      <c r="E985" s="94"/>
      <c r="F985" s="94"/>
      <c r="G985" s="94"/>
      <c r="H985" s="94"/>
      <c r="I985" s="95"/>
    </row>
    <row r="986" spans="1:9" ht="13.5">
      <c r="A986" s="103"/>
      <c r="B986" s="114"/>
      <c r="C986" s="94"/>
      <c r="D986" s="72"/>
      <c r="E986" s="94"/>
      <c r="F986" s="94"/>
      <c r="G986" s="94"/>
      <c r="H986" s="94"/>
      <c r="I986" s="95"/>
    </row>
    <row r="987" spans="1:9" ht="13.5">
      <c r="A987" s="103"/>
      <c r="B987" s="114"/>
      <c r="C987" s="94"/>
      <c r="D987" s="72"/>
      <c r="E987" s="94"/>
      <c r="F987" s="94"/>
      <c r="G987" s="94"/>
      <c r="H987" s="94"/>
      <c r="I987" s="95"/>
    </row>
    <row r="988" spans="1:9" ht="13.5">
      <c r="A988" s="103"/>
      <c r="B988" s="114"/>
      <c r="C988" s="94"/>
      <c r="D988" s="72"/>
      <c r="E988" s="94"/>
      <c r="F988" s="94"/>
      <c r="G988" s="94"/>
      <c r="H988" s="94"/>
      <c r="I988" s="95"/>
    </row>
    <row r="989" spans="1:9" ht="13.5">
      <c r="A989" s="103"/>
      <c r="B989" s="114"/>
      <c r="C989" s="94"/>
      <c r="D989" s="72"/>
      <c r="E989" s="94"/>
      <c r="F989" s="94"/>
      <c r="G989" s="94"/>
      <c r="H989" s="94"/>
      <c r="I989" s="95"/>
    </row>
    <row r="990" spans="1:9" ht="13.5">
      <c r="A990" s="103"/>
      <c r="B990" s="114"/>
      <c r="C990" s="94"/>
      <c r="D990" s="72"/>
      <c r="E990" s="94"/>
      <c r="F990" s="94"/>
      <c r="G990" s="94"/>
      <c r="H990" s="94"/>
      <c r="I990" s="95"/>
    </row>
    <row r="991" spans="1:9" ht="13.5">
      <c r="A991" s="103"/>
      <c r="B991" s="114"/>
      <c r="C991" s="94"/>
      <c r="D991" s="72"/>
      <c r="E991" s="94"/>
      <c r="F991" s="94"/>
      <c r="G991" s="94"/>
      <c r="H991" s="94"/>
      <c r="I991" s="95"/>
    </row>
    <row r="992" spans="1:9" ht="13.5">
      <c r="A992" s="103"/>
      <c r="B992" s="114"/>
      <c r="C992" s="94"/>
      <c r="D992" s="72"/>
      <c r="E992" s="94"/>
      <c r="F992" s="94"/>
      <c r="G992" s="94"/>
      <c r="H992" s="94"/>
      <c r="I992" s="95"/>
    </row>
    <row r="993" spans="1:9" ht="13.5">
      <c r="A993" s="103"/>
      <c r="B993" s="114"/>
      <c r="C993" s="94"/>
      <c r="D993" s="72"/>
      <c r="E993" s="94"/>
      <c r="F993" s="94"/>
      <c r="G993" s="94"/>
      <c r="H993" s="94"/>
      <c r="I993" s="95"/>
    </row>
    <row r="994" spans="1:9" ht="13.5">
      <c r="A994" s="103"/>
      <c r="B994" s="114"/>
      <c r="C994" s="94"/>
      <c r="D994" s="72"/>
      <c r="E994" s="94"/>
      <c r="F994" s="94"/>
      <c r="G994" s="94"/>
      <c r="H994" s="94"/>
      <c r="I994" s="95"/>
    </row>
    <row r="995" spans="1:9" ht="13.5">
      <c r="A995" s="103"/>
      <c r="B995" s="114"/>
      <c r="C995" s="94"/>
      <c r="D995" s="72"/>
      <c r="E995" s="94"/>
      <c r="F995" s="94"/>
      <c r="G995" s="94"/>
      <c r="H995" s="94"/>
      <c r="I995" s="95"/>
    </row>
    <row r="996" spans="1:9" ht="13.5">
      <c r="A996" s="103"/>
      <c r="B996" s="114"/>
      <c r="C996" s="94"/>
      <c r="D996" s="72"/>
      <c r="E996" s="94"/>
      <c r="F996" s="94"/>
      <c r="G996" s="94"/>
      <c r="H996" s="94"/>
      <c r="I996" s="95"/>
    </row>
    <row r="997" spans="1:9" ht="13.5">
      <c r="A997" s="103"/>
      <c r="B997" s="114"/>
      <c r="C997" s="94"/>
      <c r="D997" s="72"/>
      <c r="E997" s="94"/>
      <c r="F997" s="94"/>
      <c r="G997" s="94"/>
      <c r="H997" s="94"/>
      <c r="I997" s="95"/>
    </row>
    <row r="998" spans="1:9" ht="13.5">
      <c r="A998" s="103"/>
      <c r="B998" s="114"/>
      <c r="C998" s="94"/>
      <c r="D998" s="72"/>
      <c r="E998" s="94"/>
      <c r="F998" s="94"/>
      <c r="G998" s="94"/>
      <c r="H998" s="94"/>
      <c r="I998" s="95"/>
    </row>
    <row r="999" spans="1:9" ht="13.5">
      <c r="A999" s="103"/>
      <c r="B999" s="114"/>
      <c r="C999" s="94"/>
      <c r="D999" s="72"/>
      <c r="E999" s="94"/>
      <c r="F999" s="94"/>
      <c r="G999" s="94"/>
      <c r="H999" s="94"/>
      <c r="I999" s="95"/>
    </row>
    <row r="1000" spans="1:9" ht="13.5">
      <c r="A1000" s="103"/>
      <c r="B1000" s="114"/>
      <c r="C1000" s="94"/>
      <c r="D1000" s="72"/>
      <c r="E1000" s="94"/>
      <c r="F1000" s="94"/>
      <c r="G1000" s="94"/>
      <c r="H1000" s="94"/>
      <c r="I1000" s="95"/>
    </row>
    <row r="1001" spans="1:9" ht="13.5">
      <c r="A1001" s="103"/>
      <c r="B1001" s="114"/>
      <c r="C1001" s="94"/>
      <c r="D1001" s="72"/>
      <c r="E1001" s="94"/>
      <c r="F1001" s="94"/>
      <c r="G1001" s="94"/>
      <c r="H1001" s="94"/>
      <c r="I1001" s="95"/>
    </row>
    <row r="1002" spans="1:9" ht="13.5">
      <c r="A1002" s="103"/>
      <c r="B1002" s="114"/>
      <c r="C1002" s="94"/>
      <c r="D1002" s="72"/>
      <c r="E1002" s="94"/>
      <c r="F1002" s="94"/>
      <c r="G1002" s="94"/>
      <c r="H1002" s="94"/>
      <c r="I1002" s="95"/>
    </row>
    <row r="1003" spans="1:9" ht="13.5">
      <c r="A1003" s="103"/>
      <c r="B1003" s="114"/>
      <c r="C1003" s="94"/>
      <c r="D1003" s="72"/>
      <c r="E1003" s="94"/>
      <c r="F1003" s="94"/>
      <c r="G1003" s="94"/>
      <c r="H1003" s="94"/>
      <c r="I1003" s="95"/>
    </row>
    <row r="1004" spans="1:9" ht="13.5">
      <c r="A1004" s="103"/>
      <c r="B1004" s="114"/>
      <c r="C1004" s="94"/>
      <c r="D1004" s="72"/>
      <c r="E1004" s="94"/>
      <c r="F1004" s="94"/>
      <c r="G1004" s="94"/>
      <c r="H1004" s="94"/>
      <c r="I1004" s="95"/>
    </row>
    <row r="1005" spans="1:9" ht="13.5">
      <c r="A1005" s="103"/>
      <c r="B1005" s="114"/>
      <c r="C1005" s="94"/>
      <c r="D1005" s="72"/>
      <c r="E1005" s="94"/>
      <c r="F1005" s="94"/>
      <c r="G1005" s="94"/>
      <c r="H1005" s="94"/>
      <c r="I1005" s="95"/>
    </row>
    <row r="1006" spans="1:9" ht="13.5">
      <c r="A1006" s="103"/>
      <c r="B1006" s="114"/>
      <c r="C1006" s="94"/>
      <c r="D1006" s="72"/>
      <c r="E1006" s="94"/>
      <c r="F1006" s="94"/>
      <c r="G1006" s="94"/>
      <c r="H1006" s="94"/>
      <c r="I1006" s="95"/>
    </row>
    <row r="1007" spans="1:9" ht="13.5">
      <c r="A1007" s="103"/>
      <c r="B1007" s="114"/>
      <c r="C1007" s="94"/>
      <c r="D1007" s="72"/>
      <c r="E1007" s="94"/>
      <c r="F1007" s="94"/>
      <c r="G1007" s="94"/>
      <c r="H1007" s="94"/>
      <c r="I1007" s="95"/>
    </row>
    <row r="1008" spans="1:9" ht="13.5">
      <c r="A1008" s="103"/>
      <c r="B1008" s="114"/>
      <c r="C1008" s="94"/>
      <c r="D1008" s="72"/>
      <c r="E1008" s="94"/>
      <c r="F1008" s="94"/>
      <c r="G1008" s="94"/>
      <c r="H1008" s="94"/>
      <c r="I1008" s="95"/>
    </row>
    <row r="1009" spans="1:9" ht="13.5">
      <c r="A1009" s="103"/>
      <c r="B1009" s="114"/>
      <c r="C1009" s="94"/>
      <c r="D1009" s="72"/>
      <c r="E1009" s="94"/>
      <c r="F1009" s="94"/>
      <c r="G1009" s="94"/>
      <c r="H1009" s="94"/>
      <c r="I1009" s="95"/>
    </row>
    <row r="1010" spans="1:9" ht="13.5">
      <c r="A1010" s="103"/>
      <c r="B1010" s="114"/>
      <c r="C1010" s="94"/>
      <c r="D1010" s="72"/>
      <c r="E1010" s="94"/>
      <c r="F1010" s="94"/>
      <c r="G1010" s="94"/>
      <c r="H1010" s="94"/>
      <c r="I1010" s="95"/>
    </row>
    <row r="1011" spans="1:9" ht="13.5">
      <c r="A1011" s="103"/>
      <c r="B1011" s="114"/>
      <c r="C1011" s="94"/>
      <c r="D1011" s="72"/>
      <c r="E1011" s="94"/>
      <c r="F1011" s="94"/>
      <c r="G1011" s="94"/>
      <c r="H1011" s="94"/>
      <c r="I1011" s="95"/>
    </row>
    <row r="1012" spans="1:9" ht="13.5">
      <c r="A1012" s="103"/>
      <c r="B1012" s="114"/>
      <c r="C1012" s="94"/>
      <c r="D1012" s="72"/>
      <c r="E1012" s="94"/>
      <c r="F1012" s="94"/>
      <c r="G1012" s="94"/>
      <c r="H1012" s="94"/>
      <c r="I1012" s="95"/>
    </row>
    <row r="1013" spans="1:9" ht="13.5">
      <c r="A1013" s="103"/>
      <c r="B1013" s="114"/>
      <c r="C1013" s="94"/>
      <c r="D1013" s="72"/>
      <c r="E1013" s="94"/>
      <c r="F1013" s="94"/>
      <c r="G1013" s="94"/>
      <c r="H1013" s="94"/>
      <c r="I1013" s="95"/>
    </row>
    <row r="1014" spans="1:9" ht="13.5">
      <c r="A1014" s="103"/>
      <c r="B1014" s="114"/>
      <c r="C1014" s="94"/>
      <c r="D1014" s="72"/>
      <c r="E1014" s="94"/>
      <c r="F1014" s="94"/>
      <c r="G1014" s="94"/>
      <c r="H1014" s="94"/>
      <c r="I1014" s="95"/>
    </row>
    <row r="1015" spans="1:9" ht="13.5">
      <c r="A1015" s="103"/>
      <c r="B1015" s="114"/>
      <c r="C1015" s="94"/>
      <c r="D1015" s="72"/>
      <c r="E1015" s="94"/>
      <c r="F1015" s="94"/>
      <c r="G1015" s="94"/>
      <c r="H1015" s="94"/>
      <c r="I1015" s="95"/>
    </row>
    <row r="1016" spans="1:9" ht="13.5">
      <c r="A1016" s="103"/>
      <c r="B1016" s="114"/>
      <c r="C1016" s="94"/>
      <c r="D1016" s="72"/>
      <c r="E1016" s="94"/>
      <c r="F1016" s="94"/>
      <c r="G1016" s="94"/>
      <c r="H1016" s="94"/>
      <c r="I1016" s="95"/>
    </row>
    <row r="1017" spans="1:9" ht="13.5">
      <c r="A1017" s="103"/>
      <c r="B1017" s="114"/>
      <c r="C1017" s="94"/>
      <c r="D1017" s="72"/>
      <c r="E1017" s="94"/>
      <c r="F1017" s="94"/>
      <c r="G1017" s="94"/>
      <c r="H1017" s="94"/>
      <c r="I1017" s="95"/>
    </row>
    <row r="1018" spans="1:9" ht="13.5">
      <c r="A1018" s="103"/>
      <c r="B1018" s="114"/>
      <c r="C1018" s="94"/>
      <c r="D1018" s="72"/>
      <c r="E1018" s="94"/>
      <c r="F1018" s="94"/>
      <c r="G1018" s="94"/>
      <c r="H1018" s="94"/>
      <c r="I1018" s="95"/>
    </row>
    <row r="1019" spans="1:9" ht="13.5">
      <c r="A1019" s="103"/>
      <c r="B1019" s="114"/>
      <c r="C1019" s="94"/>
      <c r="D1019" s="72"/>
      <c r="E1019" s="94"/>
      <c r="F1019" s="94"/>
      <c r="G1019" s="94"/>
      <c r="H1019" s="94"/>
      <c r="I1019" s="95"/>
    </row>
    <row r="1020" spans="1:9" ht="13.5">
      <c r="A1020" s="103"/>
      <c r="B1020" s="114"/>
      <c r="C1020" s="94"/>
      <c r="D1020" s="72"/>
      <c r="E1020" s="94"/>
      <c r="F1020" s="94"/>
      <c r="G1020" s="94"/>
      <c r="H1020" s="94"/>
      <c r="I1020" s="95"/>
    </row>
    <row r="1021" spans="1:9" ht="13.5">
      <c r="A1021" s="103"/>
      <c r="B1021" s="114"/>
      <c r="C1021" s="94"/>
      <c r="D1021" s="72"/>
      <c r="E1021" s="94"/>
      <c r="F1021" s="94"/>
      <c r="G1021" s="94"/>
      <c r="H1021" s="94"/>
      <c r="I1021" s="95"/>
    </row>
    <row r="1022" spans="1:9" ht="13.5">
      <c r="A1022" s="103"/>
      <c r="B1022" s="114"/>
      <c r="C1022" s="94"/>
      <c r="D1022" s="72"/>
      <c r="E1022" s="94"/>
      <c r="F1022" s="94"/>
      <c r="G1022" s="94"/>
      <c r="H1022" s="94"/>
      <c r="I1022" s="95"/>
    </row>
    <row r="1023" spans="1:9" ht="13.5">
      <c r="A1023" s="103"/>
      <c r="B1023" s="114"/>
      <c r="C1023" s="94"/>
      <c r="D1023" s="72"/>
      <c r="E1023" s="94"/>
      <c r="F1023" s="94"/>
      <c r="G1023" s="94"/>
      <c r="H1023" s="94"/>
      <c r="I1023" s="95"/>
    </row>
    <row r="1024" spans="1:9" ht="13.5">
      <c r="A1024" s="103"/>
      <c r="B1024" s="114"/>
      <c r="C1024" s="94"/>
      <c r="D1024" s="72"/>
      <c r="E1024" s="94"/>
      <c r="F1024" s="94"/>
      <c r="G1024" s="94"/>
      <c r="H1024" s="94"/>
      <c r="I1024" s="95"/>
    </row>
    <row r="1025" spans="1:9" ht="13.5">
      <c r="A1025" s="103"/>
      <c r="B1025" s="114"/>
      <c r="C1025" s="94"/>
      <c r="D1025" s="72"/>
      <c r="E1025" s="94"/>
      <c r="F1025" s="94"/>
      <c r="G1025" s="94"/>
      <c r="H1025" s="94"/>
      <c r="I1025" s="95"/>
    </row>
    <row r="1026" spans="1:9" ht="13.5">
      <c r="A1026" s="103"/>
      <c r="B1026" s="114"/>
      <c r="C1026" s="94"/>
      <c r="D1026" s="72"/>
      <c r="E1026" s="94"/>
      <c r="F1026" s="94"/>
      <c r="G1026" s="94"/>
      <c r="H1026" s="94"/>
      <c r="I1026" s="95"/>
    </row>
    <row r="1027" spans="1:9" ht="13.5">
      <c r="A1027" s="103"/>
      <c r="B1027" s="114"/>
      <c r="C1027" s="94"/>
      <c r="D1027" s="72"/>
      <c r="E1027" s="94"/>
      <c r="F1027" s="94"/>
      <c r="G1027" s="94"/>
      <c r="H1027" s="94"/>
      <c r="I1027" s="95"/>
    </row>
    <row r="1028" spans="1:9" ht="13.5">
      <c r="A1028" s="103"/>
      <c r="B1028" s="114"/>
      <c r="C1028" s="94"/>
      <c r="D1028" s="72"/>
      <c r="E1028" s="94"/>
      <c r="F1028" s="94"/>
      <c r="G1028" s="94"/>
      <c r="H1028" s="94"/>
      <c r="I1028" s="95"/>
    </row>
    <row r="1029" spans="1:9" ht="13.5">
      <c r="A1029" s="103"/>
      <c r="B1029" s="114"/>
      <c r="C1029" s="94"/>
      <c r="D1029" s="72"/>
      <c r="E1029" s="94"/>
      <c r="F1029" s="94"/>
      <c r="G1029" s="94"/>
      <c r="H1029" s="94"/>
      <c r="I1029" s="95"/>
    </row>
    <row r="1030" spans="1:9" ht="13.5">
      <c r="A1030" s="103"/>
      <c r="B1030" s="114"/>
      <c r="C1030" s="94"/>
      <c r="D1030" s="72"/>
      <c r="E1030" s="94"/>
      <c r="F1030" s="94"/>
      <c r="G1030" s="94"/>
      <c r="H1030" s="94"/>
      <c r="I1030" s="95"/>
    </row>
    <row r="1031" spans="1:9" ht="13.5">
      <c r="A1031" s="103"/>
      <c r="B1031" s="114"/>
      <c r="C1031" s="94"/>
      <c r="D1031" s="72"/>
      <c r="E1031" s="94"/>
      <c r="F1031" s="94"/>
      <c r="G1031" s="94"/>
      <c r="H1031" s="94"/>
      <c r="I1031" s="95"/>
    </row>
    <row r="1032" spans="1:9" ht="13.5">
      <c r="A1032" s="103"/>
      <c r="B1032" s="114"/>
      <c r="C1032" s="94"/>
      <c r="D1032" s="72"/>
      <c r="E1032" s="94"/>
      <c r="F1032" s="94"/>
      <c r="G1032" s="94"/>
      <c r="H1032" s="94"/>
      <c r="I1032" s="95"/>
    </row>
    <row r="1033" spans="1:9" ht="13.5">
      <c r="A1033" s="103"/>
      <c r="B1033" s="114"/>
      <c r="C1033" s="94"/>
      <c r="D1033" s="72"/>
      <c r="E1033" s="94"/>
      <c r="F1033" s="94"/>
      <c r="G1033" s="94"/>
      <c r="H1033" s="94"/>
      <c r="I1033" s="95"/>
    </row>
    <row r="1034" spans="1:9" ht="13.5">
      <c r="A1034" s="103"/>
      <c r="B1034" s="114"/>
      <c r="C1034" s="94"/>
      <c r="D1034" s="72"/>
      <c r="E1034" s="94"/>
      <c r="F1034" s="94"/>
      <c r="G1034" s="94"/>
      <c r="H1034" s="94"/>
      <c r="I1034" s="95"/>
    </row>
    <row r="1035" spans="1:9" ht="13.5">
      <c r="A1035" s="103"/>
      <c r="B1035" s="114"/>
      <c r="C1035" s="94"/>
      <c r="D1035" s="72"/>
      <c r="E1035" s="94"/>
      <c r="F1035" s="94"/>
      <c r="G1035" s="94"/>
      <c r="H1035" s="94"/>
      <c r="I1035" s="95"/>
    </row>
    <row r="1036" spans="1:9" ht="13.5">
      <c r="A1036" s="103"/>
      <c r="B1036" s="114"/>
      <c r="C1036" s="94"/>
      <c r="D1036" s="72"/>
      <c r="E1036" s="94"/>
      <c r="F1036" s="94"/>
      <c r="G1036" s="94"/>
      <c r="H1036" s="94"/>
      <c r="I1036" s="95"/>
    </row>
    <row r="1037" spans="1:9" ht="13.5">
      <c r="A1037" s="103"/>
      <c r="B1037" s="114"/>
      <c r="C1037" s="94"/>
      <c r="D1037" s="72"/>
      <c r="E1037" s="94"/>
      <c r="F1037" s="94"/>
      <c r="G1037" s="94"/>
      <c r="H1037" s="94"/>
      <c r="I1037" s="95"/>
    </row>
    <row r="1038" spans="1:9" ht="13.5">
      <c r="A1038" s="103"/>
      <c r="B1038" s="114"/>
      <c r="C1038" s="94"/>
      <c r="D1038" s="72"/>
      <c r="E1038" s="94"/>
      <c r="F1038" s="94"/>
      <c r="G1038" s="94"/>
      <c r="H1038" s="94"/>
      <c r="I1038" s="95"/>
    </row>
    <row r="1039" spans="1:9" ht="13.5">
      <c r="A1039" s="103"/>
      <c r="B1039" s="114"/>
      <c r="C1039" s="94"/>
      <c r="D1039" s="72"/>
      <c r="E1039" s="94"/>
      <c r="F1039" s="94"/>
      <c r="G1039" s="94"/>
      <c r="H1039" s="94"/>
      <c r="I1039" s="95"/>
    </row>
    <row r="1040" spans="1:9" ht="13.5">
      <c r="A1040" s="103"/>
      <c r="B1040" s="114"/>
      <c r="C1040" s="94"/>
      <c r="D1040" s="72"/>
      <c r="E1040" s="94"/>
      <c r="F1040" s="94"/>
      <c r="G1040" s="94"/>
      <c r="H1040" s="94"/>
      <c r="I1040" s="95"/>
    </row>
    <row r="1041" spans="1:9" ht="13.5">
      <c r="A1041" s="103"/>
      <c r="B1041" s="114"/>
      <c r="C1041" s="94"/>
      <c r="D1041" s="72"/>
      <c r="E1041" s="94"/>
      <c r="F1041" s="94"/>
      <c r="G1041" s="94"/>
      <c r="H1041" s="94"/>
      <c r="I1041" s="95"/>
    </row>
    <row r="1042" spans="1:9" ht="13.5">
      <c r="A1042" s="103"/>
      <c r="B1042" s="114"/>
      <c r="C1042" s="94"/>
      <c r="D1042" s="72"/>
      <c r="E1042" s="94"/>
      <c r="F1042" s="94"/>
      <c r="G1042" s="94"/>
      <c r="H1042" s="94"/>
      <c r="I1042" s="95"/>
    </row>
    <row r="1043" spans="1:9" ht="13.5">
      <c r="A1043" s="103"/>
      <c r="B1043" s="114"/>
      <c r="C1043" s="94"/>
      <c r="D1043" s="72"/>
      <c r="E1043" s="94"/>
      <c r="F1043" s="94"/>
      <c r="G1043" s="94"/>
      <c r="H1043" s="94"/>
      <c r="I1043" s="95"/>
    </row>
    <row r="1044" spans="1:9" ht="13.5">
      <c r="A1044" s="103"/>
      <c r="B1044" s="114"/>
      <c r="C1044" s="94"/>
      <c r="D1044" s="72"/>
      <c r="E1044" s="94"/>
      <c r="F1044" s="94"/>
      <c r="G1044" s="94"/>
      <c r="H1044" s="94"/>
      <c r="I1044" s="95"/>
    </row>
    <row r="1045" spans="1:9" ht="13.5">
      <c r="A1045" s="103"/>
      <c r="B1045" s="114"/>
      <c r="C1045" s="94"/>
      <c r="D1045" s="72"/>
      <c r="E1045" s="94"/>
      <c r="F1045" s="94"/>
      <c r="G1045" s="94"/>
      <c r="H1045" s="94"/>
      <c r="I1045" s="95"/>
    </row>
    <row r="1046" spans="1:9" ht="13.5">
      <c r="A1046" s="103"/>
      <c r="B1046" s="114"/>
      <c r="C1046" s="94"/>
      <c r="D1046" s="72"/>
      <c r="E1046" s="94"/>
      <c r="F1046" s="94"/>
      <c r="G1046" s="94"/>
      <c r="H1046" s="94"/>
      <c r="I1046" s="95"/>
    </row>
    <row r="1047" spans="1:9" ht="13.5">
      <c r="A1047" s="103"/>
      <c r="B1047" s="114"/>
      <c r="C1047" s="94"/>
      <c r="D1047" s="72"/>
      <c r="E1047" s="94"/>
      <c r="F1047" s="94"/>
      <c r="G1047" s="94"/>
      <c r="H1047" s="94"/>
      <c r="I1047" s="95"/>
    </row>
    <row r="1048" spans="1:9" ht="13.5">
      <c r="A1048" s="103"/>
      <c r="B1048" s="114"/>
      <c r="C1048" s="94"/>
      <c r="D1048" s="72"/>
      <c r="E1048" s="94"/>
      <c r="F1048" s="94"/>
      <c r="G1048" s="94"/>
      <c r="H1048" s="94"/>
      <c r="I1048" s="95"/>
    </row>
    <row r="1049" spans="1:9" ht="13.5">
      <c r="A1049" s="103"/>
      <c r="B1049" s="114"/>
      <c r="C1049" s="94"/>
      <c r="D1049" s="72"/>
      <c r="E1049" s="94"/>
      <c r="F1049" s="94"/>
      <c r="G1049" s="94"/>
      <c r="H1049" s="94"/>
      <c r="I1049" s="95"/>
    </row>
    <row r="1050" spans="1:9" ht="13.5">
      <c r="A1050" s="103"/>
      <c r="B1050" s="114"/>
      <c r="C1050" s="94"/>
      <c r="D1050" s="72"/>
      <c r="E1050" s="94"/>
      <c r="F1050" s="94"/>
      <c r="G1050" s="94"/>
      <c r="H1050" s="94"/>
      <c r="I1050" s="95"/>
    </row>
    <row r="1051" spans="1:9" ht="13.5">
      <c r="A1051" s="103"/>
      <c r="B1051" s="114"/>
      <c r="C1051" s="94"/>
      <c r="D1051" s="72"/>
      <c r="E1051" s="94"/>
      <c r="F1051" s="94"/>
      <c r="G1051" s="94"/>
      <c r="H1051" s="94"/>
      <c r="I1051" s="95"/>
    </row>
    <row r="1052" spans="1:9" ht="13.5">
      <c r="A1052" s="103"/>
      <c r="B1052" s="114"/>
      <c r="C1052" s="94"/>
      <c r="D1052" s="72"/>
      <c r="E1052" s="94"/>
      <c r="F1052" s="94"/>
      <c r="G1052" s="94"/>
      <c r="H1052" s="94"/>
      <c r="I1052" s="95"/>
    </row>
    <row r="1053" spans="1:9" ht="13.5">
      <c r="A1053" s="103"/>
      <c r="B1053" s="114"/>
      <c r="C1053" s="94"/>
      <c r="D1053" s="72"/>
      <c r="E1053" s="94"/>
      <c r="F1053" s="94"/>
      <c r="G1053" s="94"/>
      <c r="H1053" s="94"/>
      <c r="I1053" s="95"/>
    </row>
    <row r="1054" spans="1:9" ht="13.5">
      <c r="A1054" s="103"/>
      <c r="B1054" s="114"/>
      <c r="C1054" s="94"/>
      <c r="D1054" s="72"/>
      <c r="E1054" s="94"/>
      <c r="F1054" s="94"/>
      <c r="G1054" s="94"/>
      <c r="H1054" s="94"/>
      <c r="I1054" s="95"/>
    </row>
    <row r="1055" spans="1:9" ht="13.5">
      <c r="A1055" s="103"/>
      <c r="B1055" s="114"/>
      <c r="C1055" s="94"/>
      <c r="D1055" s="72"/>
      <c r="E1055" s="94"/>
      <c r="F1055" s="94"/>
      <c r="G1055" s="94"/>
      <c r="H1055" s="94"/>
      <c r="I1055" s="95"/>
    </row>
    <row r="1056" spans="1:9" ht="13.5">
      <c r="A1056" s="103"/>
      <c r="B1056" s="114"/>
      <c r="C1056" s="94"/>
      <c r="D1056" s="72"/>
      <c r="E1056" s="94"/>
      <c r="F1056" s="94"/>
      <c r="G1056" s="94"/>
      <c r="H1056" s="94"/>
      <c r="I1056" s="95"/>
    </row>
    <row r="1057" spans="1:9" ht="13.5">
      <c r="A1057" s="103"/>
      <c r="B1057" s="114"/>
      <c r="C1057" s="94"/>
      <c r="D1057" s="72"/>
      <c r="E1057" s="94"/>
      <c r="F1057" s="94"/>
      <c r="G1057" s="94"/>
      <c r="H1057" s="94"/>
      <c r="I1057" s="95"/>
    </row>
    <row r="1058" spans="1:9" ht="13.5">
      <c r="A1058" s="103"/>
      <c r="B1058" s="114"/>
      <c r="C1058" s="94"/>
      <c r="D1058" s="72"/>
      <c r="E1058" s="94"/>
      <c r="F1058" s="94"/>
      <c r="G1058" s="94"/>
      <c r="H1058" s="94"/>
      <c r="I1058" s="95"/>
    </row>
    <row r="1059" spans="1:9" ht="13.5">
      <c r="A1059" s="103"/>
      <c r="B1059" s="114"/>
      <c r="C1059" s="94"/>
      <c r="D1059" s="72"/>
      <c r="E1059" s="94"/>
      <c r="F1059" s="94"/>
      <c r="G1059" s="94"/>
      <c r="H1059" s="94"/>
      <c r="I1059" s="95"/>
    </row>
    <row r="1060" spans="1:9" ht="13.5">
      <c r="A1060" s="103"/>
      <c r="B1060" s="114"/>
      <c r="C1060" s="94"/>
      <c r="D1060" s="72"/>
      <c r="E1060" s="94"/>
      <c r="F1060" s="94"/>
      <c r="G1060" s="94"/>
      <c r="H1060" s="94"/>
      <c r="I1060" s="95"/>
    </row>
    <row r="1061" spans="1:9" ht="13.5">
      <c r="A1061" s="103"/>
      <c r="B1061" s="114"/>
      <c r="C1061" s="94"/>
      <c r="D1061" s="72"/>
      <c r="E1061" s="94"/>
      <c r="F1061" s="94"/>
      <c r="G1061" s="94"/>
      <c r="H1061" s="94"/>
      <c r="I1061" s="95"/>
    </row>
  </sheetData>
  <sheetProtection/>
  <mergeCells count="9">
    <mergeCell ref="C14:I14"/>
    <mergeCell ref="A1:F1"/>
    <mergeCell ref="A2:F2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5" r:id="rId2"/>
  <headerFooter alignWithMargins="0">
    <oddFooter>&amp;C&amp;A&amp;RPágina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="80" zoomScaleNormal="75" zoomScaleSheetLayoutView="80" zoomScalePageLayoutView="0" workbookViewId="0" topLeftCell="A79">
      <selection activeCell="B84" sqref="B84"/>
    </sheetView>
  </sheetViews>
  <sheetFormatPr defaultColWidth="9.140625" defaultRowHeight="12.75"/>
  <cols>
    <col min="1" max="1" width="6.8515625" style="116" customWidth="1"/>
    <col min="2" max="2" width="20.140625" style="115" bestFit="1" customWidth="1"/>
    <col min="3" max="3" width="94.7109375" style="96" customWidth="1"/>
    <col min="4" max="4" width="10.7109375" style="128" customWidth="1"/>
    <col min="5" max="5" width="14.8515625" style="96" customWidth="1"/>
    <col min="6" max="6" width="12.7109375" style="96" bestFit="1" customWidth="1"/>
    <col min="7" max="7" width="12.140625" style="96" bestFit="1" customWidth="1"/>
    <col min="8" max="8" width="14.8515625" style="96" bestFit="1" customWidth="1"/>
    <col min="9" max="9" width="19.00390625" style="97" customWidth="1"/>
    <col min="10" max="10" width="14.28125" style="34" bestFit="1" customWidth="1"/>
    <col min="11" max="11" width="10.28125" style="34" bestFit="1" customWidth="1"/>
    <col min="12" max="12" width="45.7109375" style="34" customWidth="1"/>
    <col min="13" max="16384" width="9.140625" style="34" customWidth="1"/>
  </cols>
  <sheetData>
    <row r="1" spans="1:9" ht="15">
      <c r="A1" s="208"/>
      <c r="B1" s="209"/>
      <c r="C1" s="209"/>
      <c r="D1" s="209"/>
      <c r="E1" s="209"/>
      <c r="F1" s="209"/>
      <c r="G1" s="144"/>
      <c r="H1" s="144"/>
      <c r="I1" s="33"/>
    </row>
    <row r="2" spans="1:9" ht="15">
      <c r="A2" s="210"/>
      <c r="B2" s="211"/>
      <c r="C2" s="211"/>
      <c r="D2" s="211"/>
      <c r="E2" s="211"/>
      <c r="F2" s="211"/>
      <c r="G2" s="145"/>
      <c r="H2" s="145"/>
      <c r="I2" s="35"/>
    </row>
    <row r="3" spans="1:9" ht="15">
      <c r="A3" s="198"/>
      <c r="B3" s="199"/>
      <c r="C3" s="199"/>
      <c r="D3" s="153" t="s">
        <v>677</v>
      </c>
      <c r="E3" s="38"/>
      <c r="F3" s="37"/>
      <c r="G3" s="37"/>
      <c r="H3" s="37"/>
      <c r="I3" s="33"/>
    </row>
    <row r="4" spans="1:9" ht="14.25">
      <c r="A4" s="103"/>
      <c r="B4" s="107"/>
      <c r="C4" s="41"/>
      <c r="D4" s="129" t="s">
        <v>141</v>
      </c>
      <c r="E4" s="39"/>
      <c r="F4" s="40">
        <v>44698</v>
      </c>
      <c r="G4" s="40"/>
      <c r="H4" s="40"/>
      <c r="I4" s="35"/>
    </row>
    <row r="5" spans="2:9" ht="15">
      <c r="B5" s="112"/>
      <c r="C5" s="35"/>
      <c r="D5" s="130" t="s">
        <v>4</v>
      </c>
      <c r="E5" s="39"/>
      <c r="F5" s="42" t="s">
        <v>673</v>
      </c>
      <c r="G5" s="42"/>
      <c r="H5" s="42"/>
      <c r="I5" s="35"/>
    </row>
    <row r="6" spans="1:9" ht="14.25">
      <c r="A6" s="117" t="s">
        <v>86</v>
      </c>
      <c r="B6" s="107"/>
      <c r="C6" s="35"/>
      <c r="D6" s="130" t="s">
        <v>5</v>
      </c>
      <c r="E6" s="39"/>
      <c r="F6" s="42" t="s">
        <v>673</v>
      </c>
      <c r="G6" s="42"/>
      <c r="H6" s="42"/>
      <c r="I6" s="35"/>
    </row>
    <row r="7" spans="2:9" ht="15">
      <c r="B7" s="112"/>
      <c r="C7" s="35"/>
      <c r="D7" s="130" t="s">
        <v>6</v>
      </c>
      <c r="E7" s="39"/>
      <c r="F7" s="42" t="s">
        <v>674</v>
      </c>
      <c r="G7" s="42"/>
      <c r="H7" s="42"/>
      <c r="I7" s="35"/>
    </row>
    <row r="8" spans="1:9" ht="13.5">
      <c r="A8" s="43" t="s">
        <v>670</v>
      </c>
      <c r="B8" s="107"/>
      <c r="C8" s="35"/>
      <c r="D8" s="130" t="s">
        <v>675</v>
      </c>
      <c r="E8" s="39"/>
      <c r="F8" s="42" t="s">
        <v>116</v>
      </c>
      <c r="G8" s="42"/>
      <c r="H8" s="42"/>
      <c r="I8" s="35"/>
    </row>
    <row r="9" spans="1:9" ht="13.5">
      <c r="A9" s="43" t="s">
        <v>671</v>
      </c>
      <c r="B9" s="107"/>
      <c r="C9" s="35"/>
      <c r="D9" s="131" t="s">
        <v>46</v>
      </c>
      <c r="E9" s="45"/>
      <c r="F9" s="44" t="s">
        <v>117</v>
      </c>
      <c r="G9" s="44"/>
      <c r="H9" s="44"/>
      <c r="I9" s="36"/>
    </row>
    <row r="10" spans="1:9" ht="13.5">
      <c r="A10" s="43" t="s">
        <v>676</v>
      </c>
      <c r="B10" s="107"/>
      <c r="C10" s="41"/>
      <c r="D10" s="164"/>
      <c r="E10" s="38"/>
      <c r="F10" s="37"/>
      <c r="G10" s="37"/>
      <c r="H10" s="37"/>
      <c r="I10" s="33"/>
    </row>
    <row r="11" spans="1:9" s="4" customFormat="1" ht="15">
      <c r="A11" s="165"/>
      <c r="B11" s="166"/>
      <c r="C11" s="167" t="s">
        <v>680</v>
      </c>
      <c r="D11" s="168"/>
      <c r="E11" s="169"/>
      <c r="F11" s="170"/>
      <c r="G11" s="170"/>
      <c r="H11" s="170"/>
      <c r="I11" s="171"/>
    </row>
    <row r="12" spans="1:9" ht="12.75" customHeight="1">
      <c r="A12" s="212" t="s">
        <v>59</v>
      </c>
      <c r="B12" s="213" t="s">
        <v>60</v>
      </c>
      <c r="C12" s="213" t="s">
        <v>67</v>
      </c>
      <c r="D12" s="212" t="s">
        <v>68</v>
      </c>
      <c r="E12" s="214" t="s">
        <v>69</v>
      </c>
      <c r="F12" s="215" t="s">
        <v>47</v>
      </c>
      <c r="G12" s="215"/>
      <c r="H12" s="215"/>
      <c r="I12" s="215"/>
    </row>
    <row r="13" spans="1:9" ht="12.75" customHeight="1">
      <c r="A13" s="212"/>
      <c r="B13" s="213"/>
      <c r="C13" s="213"/>
      <c r="D13" s="212"/>
      <c r="E13" s="214"/>
      <c r="F13" s="47" t="s">
        <v>112</v>
      </c>
      <c r="G13" s="47" t="s">
        <v>113</v>
      </c>
      <c r="H13" s="47" t="s">
        <v>114</v>
      </c>
      <c r="I13" s="46" t="s">
        <v>115</v>
      </c>
    </row>
    <row r="14" spans="1:9" ht="14.25" customHeight="1">
      <c r="A14" s="118" t="s">
        <v>111</v>
      </c>
      <c r="B14" s="109"/>
      <c r="C14" s="207" t="s">
        <v>72</v>
      </c>
      <c r="D14" s="207"/>
      <c r="E14" s="207"/>
      <c r="F14" s="207"/>
      <c r="G14" s="207"/>
      <c r="H14" s="207"/>
      <c r="I14" s="207"/>
    </row>
    <row r="15" spans="1:11" s="182" customFormat="1" ht="41.25">
      <c r="A15" s="175" t="s">
        <v>12</v>
      </c>
      <c r="B15" s="176" t="s">
        <v>142</v>
      </c>
      <c r="C15" s="177" t="s">
        <v>189</v>
      </c>
      <c r="D15" s="178" t="s">
        <v>62</v>
      </c>
      <c r="E15" s="179">
        <v>8</v>
      </c>
      <c r="F15" s="180">
        <f>TRUNC('MEMÓRIA onerado'!F15,2)</f>
        <v>211.58</v>
      </c>
      <c r="G15" s="180">
        <f aca="true" t="shared" si="0" ref="G15:G21">TRUNC(F15*1.2247,2)</f>
        <v>259.12</v>
      </c>
      <c r="H15" s="180">
        <f aca="true" t="shared" si="1" ref="H15:H21">TRUNC(F15*E15,2)</f>
        <v>1692.64</v>
      </c>
      <c r="I15" s="181">
        <f aca="true" t="shared" si="2" ref="I15:I21">TRUNC(E15*G15,2)</f>
        <v>2072.96</v>
      </c>
      <c r="J15" s="182">
        <v>8</v>
      </c>
      <c r="K15" s="183"/>
    </row>
    <row r="16" spans="1:11" s="182" customFormat="1" ht="41.25">
      <c r="A16" s="175" t="s">
        <v>13</v>
      </c>
      <c r="B16" s="176" t="s">
        <v>202</v>
      </c>
      <c r="C16" s="177" t="s">
        <v>190</v>
      </c>
      <c r="D16" s="178" t="s">
        <v>62</v>
      </c>
      <c r="E16" s="179">
        <v>9</v>
      </c>
      <c r="F16" s="180">
        <f>TRUNC('MEMÓRIA onerado'!F22,2)</f>
        <v>455.56</v>
      </c>
      <c r="G16" s="180">
        <f t="shared" si="0"/>
        <v>557.92</v>
      </c>
      <c r="H16" s="180">
        <f t="shared" si="1"/>
        <v>4100.04</v>
      </c>
      <c r="I16" s="181">
        <f t="shared" si="2"/>
        <v>5021.28</v>
      </c>
      <c r="J16" s="182">
        <v>9</v>
      </c>
      <c r="K16" s="183"/>
    </row>
    <row r="17" spans="1:11" s="182" customFormat="1" ht="13.5">
      <c r="A17" s="175" t="s">
        <v>36</v>
      </c>
      <c r="B17" s="176" t="s">
        <v>218</v>
      </c>
      <c r="C17" s="177" t="s">
        <v>219</v>
      </c>
      <c r="D17" s="178" t="s">
        <v>62</v>
      </c>
      <c r="E17" s="179">
        <v>188.12</v>
      </c>
      <c r="F17" s="180">
        <f>TRUNC('MEMÓRIA onerado'!F41,2)</f>
        <v>5.96</v>
      </c>
      <c r="G17" s="180">
        <f t="shared" si="0"/>
        <v>7.29</v>
      </c>
      <c r="H17" s="180">
        <f t="shared" si="1"/>
        <v>1121.19</v>
      </c>
      <c r="I17" s="181">
        <f t="shared" si="2"/>
        <v>1371.39</v>
      </c>
      <c r="J17" s="182">
        <v>188.12</v>
      </c>
      <c r="K17" s="183"/>
    </row>
    <row r="18" spans="1:11" s="182" customFormat="1" ht="27">
      <c r="A18" s="175" t="s">
        <v>10</v>
      </c>
      <c r="B18" s="176" t="s">
        <v>220</v>
      </c>
      <c r="C18" s="177" t="s">
        <v>221</v>
      </c>
      <c r="D18" s="178" t="s">
        <v>26</v>
      </c>
      <c r="E18" s="179">
        <v>8.11</v>
      </c>
      <c r="F18" s="180">
        <f>TRUNC('MEMÓRIA onerado'!F44,2)</f>
        <v>41.82</v>
      </c>
      <c r="G18" s="180">
        <f t="shared" si="0"/>
        <v>51.21</v>
      </c>
      <c r="H18" s="180">
        <f t="shared" si="1"/>
        <v>339.16</v>
      </c>
      <c r="I18" s="181">
        <f t="shared" si="2"/>
        <v>415.31</v>
      </c>
      <c r="J18" s="182">
        <v>8.11</v>
      </c>
      <c r="K18" s="183">
        <v>2.3</v>
      </c>
    </row>
    <row r="19" spans="1:11" s="182" customFormat="1" ht="41.25">
      <c r="A19" s="175" t="s">
        <v>9</v>
      </c>
      <c r="B19" s="176" t="s">
        <v>162</v>
      </c>
      <c r="C19" s="177" t="s">
        <v>195</v>
      </c>
      <c r="D19" s="178" t="s">
        <v>68</v>
      </c>
      <c r="E19" s="179">
        <v>2</v>
      </c>
      <c r="F19" s="180">
        <f>TRUNC('MEMÓRIA onerado'!F47,2)</f>
        <v>260.22</v>
      </c>
      <c r="G19" s="180">
        <f t="shared" si="0"/>
        <v>318.69</v>
      </c>
      <c r="H19" s="180">
        <f t="shared" si="1"/>
        <v>520.44</v>
      </c>
      <c r="I19" s="181">
        <f t="shared" si="2"/>
        <v>637.38</v>
      </c>
      <c r="J19" s="182">
        <v>2</v>
      </c>
      <c r="K19" s="183">
        <v>2.45</v>
      </c>
    </row>
    <row r="20" spans="1:11" s="182" customFormat="1" ht="13.5">
      <c r="A20" s="175" t="s">
        <v>138</v>
      </c>
      <c r="B20" s="176" t="s">
        <v>222</v>
      </c>
      <c r="C20" s="177" t="s">
        <v>223</v>
      </c>
      <c r="D20" s="178" t="s">
        <v>62</v>
      </c>
      <c r="E20" s="179">
        <v>29.53</v>
      </c>
      <c r="F20" s="180">
        <f>TRUNC('MEMÓRIA onerado'!F51,2)</f>
        <v>8.52</v>
      </c>
      <c r="G20" s="180">
        <f t="shared" si="0"/>
        <v>10.43</v>
      </c>
      <c r="H20" s="180">
        <f t="shared" si="1"/>
        <v>251.59</v>
      </c>
      <c r="I20" s="181">
        <f t="shared" si="2"/>
        <v>307.99</v>
      </c>
      <c r="J20" s="182">
        <v>29.53</v>
      </c>
      <c r="K20" s="183"/>
    </row>
    <row r="21" spans="1:11" s="182" customFormat="1" ht="13.5">
      <c r="A21" s="175" t="s">
        <v>139</v>
      </c>
      <c r="B21" s="176" t="s">
        <v>573</v>
      </c>
      <c r="C21" s="177" t="s">
        <v>574</v>
      </c>
      <c r="D21" s="178" t="s">
        <v>62</v>
      </c>
      <c r="E21" s="179">
        <v>9.35</v>
      </c>
      <c r="F21" s="180">
        <f>TRUNC('MEMÓRIA onerado'!F54,2)</f>
        <v>12.17</v>
      </c>
      <c r="G21" s="180">
        <f t="shared" si="0"/>
        <v>14.9</v>
      </c>
      <c r="H21" s="180">
        <f t="shared" si="1"/>
        <v>113.78</v>
      </c>
      <c r="I21" s="181">
        <f t="shared" si="2"/>
        <v>139.31</v>
      </c>
      <c r="J21" s="182">
        <v>9.35</v>
      </c>
      <c r="K21" s="183"/>
    </row>
    <row r="22" spans="1:9" s="41" customFormat="1" ht="13.5">
      <c r="A22" s="106" t="s">
        <v>111</v>
      </c>
      <c r="B22" s="100"/>
      <c r="C22" s="76" t="s">
        <v>73</v>
      </c>
      <c r="D22" s="125"/>
      <c r="E22" s="77"/>
      <c r="F22" s="78"/>
      <c r="G22" s="78"/>
      <c r="H22" s="79">
        <f>H15+H16+H17+H18+H19+H20+H21</f>
        <v>8138.840000000001</v>
      </c>
      <c r="I22" s="79">
        <f>I15+I16+I17+I18+I19+I20+I21</f>
        <v>9965.619999999997</v>
      </c>
    </row>
    <row r="23" spans="1:16" s="41" customFormat="1" ht="13.5">
      <c r="A23" s="133" t="s">
        <v>74</v>
      </c>
      <c r="B23" s="185"/>
      <c r="C23" s="186" t="s">
        <v>224</v>
      </c>
      <c r="D23" s="187"/>
      <c r="E23" s="186"/>
      <c r="F23" s="186"/>
      <c r="G23" s="186"/>
      <c r="H23" s="186"/>
      <c r="I23" s="186"/>
      <c r="K23" s="61"/>
      <c r="L23" s="62"/>
      <c r="M23" s="56"/>
      <c r="N23" s="63"/>
      <c r="O23" s="58"/>
      <c r="P23" s="58"/>
    </row>
    <row r="24" spans="1:11" s="182" customFormat="1" ht="41.25">
      <c r="A24" s="175" t="s">
        <v>14</v>
      </c>
      <c r="B24" s="176" t="s">
        <v>225</v>
      </c>
      <c r="C24" s="177" t="s">
        <v>226</v>
      </c>
      <c r="D24" s="178" t="s">
        <v>62</v>
      </c>
      <c r="E24" s="179">
        <v>54.46</v>
      </c>
      <c r="F24" s="180">
        <f>TRUNC('MEMÓRIA onerado'!F60,2)</f>
        <v>32.11</v>
      </c>
      <c r="G24" s="180">
        <f>TRUNC(F24*1.2247,2)</f>
        <v>39.32</v>
      </c>
      <c r="H24" s="180">
        <f>TRUNC(F24*E24,2)</f>
        <v>1748.71</v>
      </c>
      <c r="I24" s="181">
        <f>TRUNC(E24*G24,2)</f>
        <v>2141.36</v>
      </c>
      <c r="J24" s="182">
        <v>54.46</v>
      </c>
      <c r="K24" s="183"/>
    </row>
    <row r="25" spans="1:16" s="41" customFormat="1" ht="13.5">
      <c r="A25" s="135" t="s">
        <v>111</v>
      </c>
      <c r="B25" s="134"/>
      <c r="C25" s="136" t="s">
        <v>75</v>
      </c>
      <c r="D25" s="140"/>
      <c r="E25" s="137"/>
      <c r="F25" s="138"/>
      <c r="G25" s="138"/>
      <c r="H25" s="139">
        <f>H24</f>
        <v>1748.71</v>
      </c>
      <c r="I25" s="139">
        <f>I24</f>
        <v>2141.36</v>
      </c>
      <c r="K25" s="61"/>
      <c r="L25" s="62"/>
      <c r="M25" s="56"/>
      <c r="N25" s="63"/>
      <c r="O25" s="58"/>
      <c r="P25" s="58"/>
    </row>
    <row r="26" spans="1:16" s="41" customFormat="1" ht="13.5">
      <c r="A26" s="80" t="s">
        <v>76</v>
      </c>
      <c r="B26" s="110"/>
      <c r="C26" s="71" t="s">
        <v>233</v>
      </c>
      <c r="D26" s="124"/>
      <c r="E26" s="71"/>
      <c r="F26" s="71"/>
      <c r="G26" s="71"/>
      <c r="H26" s="71"/>
      <c r="I26" s="71"/>
      <c r="K26" s="61"/>
      <c r="L26" s="62"/>
      <c r="M26" s="56"/>
      <c r="N26" s="63"/>
      <c r="O26" s="58"/>
      <c r="P26" s="58"/>
    </row>
    <row r="27" spans="1:11" s="182" customFormat="1" ht="27">
      <c r="A27" s="175" t="s">
        <v>15</v>
      </c>
      <c r="B27" s="176" t="s">
        <v>234</v>
      </c>
      <c r="C27" s="177" t="s">
        <v>235</v>
      </c>
      <c r="D27" s="178" t="s">
        <v>62</v>
      </c>
      <c r="E27" s="179">
        <v>188.12</v>
      </c>
      <c r="F27" s="180">
        <f>TRUNC('MEMÓRIA onerado'!F69,2)</f>
        <v>94.61</v>
      </c>
      <c r="G27" s="180">
        <f>TRUNC(F27*1.2247,2)</f>
        <v>115.86</v>
      </c>
      <c r="H27" s="180">
        <f>TRUNC(F27*E27,2)</f>
        <v>17798.03</v>
      </c>
      <c r="I27" s="181">
        <f>TRUNC(E27*G27,2)</f>
        <v>21795.58</v>
      </c>
      <c r="J27" s="182">
        <v>188.12</v>
      </c>
      <c r="K27" s="183"/>
    </row>
    <row r="28" spans="1:11" s="182" customFormat="1" ht="27">
      <c r="A28" s="175" t="s">
        <v>16</v>
      </c>
      <c r="B28" s="176" t="s">
        <v>244</v>
      </c>
      <c r="C28" s="177" t="s">
        <v>245</v>
      </c>
      <c r="D28" s="178" t="s">
        <v>61</v>
      </c>
      <c r="E28" s="179">
        <v>84</v>
      </c>
      <c r="F28" s="180">
        <f>TRUNC('MEMÓRIA onerado'!F76,2)</f>
        <v>17.24</v>
      </c>
      <c r="G28" s="180">
        <f>TRUNC(F28*1.2247,2)</f>
        <v>21.11</v>
      </c>
      <c r="H28" s="180">
        <f>TRUNC(F28*E28,2)</f>
        <v>1448.16</v>
      </c>
      <c r="I28" s="181">
        <f>TRUNC(E28*G28,2)</f>
        <v>1773.24</v>
      </c>
      <c r="J28" s="182">
        <v>84</v>
      </c>
      <c r="K28" s="183"/>
    </row>
    <row r="29" spans="1:16" s="41" customFormat="1" ht="13.5">
      <c r="A29" s="135" t="s">
        <v>111</v>
      </c>
      <c r="B29" s="134"/>
      <c r="C29" s="136" t="s">
        <v>77</v>
      </c>
      <c r="D29" s="140"/>
      <c r="E29" s="137"/>
      <c r="F29" s="138"/>
      <c r="G29" s="138"/>
      <c r="H29" s="139">
        <f>H27+H28</f>
        <v>19246.19</v>
      </c>
      <c r="I29" s="139">
        <f>I27+I28</f>
        <v>23568.820000000003</v>
      </c>
      <c r="K29" s="61"/>
      <c r="L29" s="62"/>
      <c r="M29" s="56"/>
      <c r="N29" s="63"/>
      <c r="O29" s="58"/>
      <c r="P29" s="58"/>
    </row>
    <row r="30" spans="1:16" s="41" customFormat="1" ht="13.5">
      <c r="A30" s="80" t="s">
        <v>78</v>
      </c>
      <c r="B30" s="110"/>
      <c r="C30" s="71" t="s">
        <v>1</v>
      </c>
      <c r="D30" s="124"/>
      <c r="E30" s="71"/>
      <c r="F30" s="71"/>
      <c r="G30" s="71"/>
      <c r="H30" s="71"/>
      <c r="I30" s="71"/>
      <c r="K30" s="61"/>
      <c r="L30" s="62"/>
      <c r="M30" s="56"/>
      <c r="N30" s="63"/>
      <c r="O30" s="58"/>
      <c r="P30" s="58"/>
    </row>
    <row r="31" spans="1:11" s="182" customFormat="1" ht="13.5">
      <c r="A31" s="175" t="s">
        <v>65</v>
      </c>
      <c r="B31" s="176" t="s">
        <v>149</v>
      </c>
      <c r="C31" s="177" t="s">
        <v>193</v>
      </c>
      <c r="D31" s="178" t="s">
        <v>68</v>
      </c>
      <c r="E31" s="179">
        <v>2</v>
      </c>
      <c r="F31" s="180">
        <f>TRUNC('MEMÓRIA onerado'!F85,2)</f>
        <v>24.1</v>
      </c>
      <c r="G31" s="180">
        <f aca="true" t="shared" si="3" ref="G31:G40">TRUNC(F31*1.2247,2)</f>
        <v>29.51</v>
      </c>
      <c r="H31" s="180">
        <f aca="true" t="shared" si="4" ref="H31:H40">TRUNC(F31*E31,2)</f>
        <v>48.2</v>
      </c>
      <c r="I31" s="181">
        <f aca="true" t="shared" si="5" ref="I31:I40">TRUNC(E31*G31,2)</f>
        <v>59.02</v>
      </c>
      <c r="J31" s="182">
        <v>2</v>
      </c>
      <c r="K31" s="183"/>
    </row>
    <row r="32" spans="1:11" s="182" customFormat="1" ht="27">
      <c r="A32" s="175" t="s">
        <v>2</v>
      </c>
      <c r="B32" s="176" t="s">
        <v>587</v>
      </c>
      <c r="C32" s="177" t="s">
        <v>247</v>
      </c>
      <c r="D32" s="178" t="s">
        <v>68</v>
      </c>
      <c r="E32" s="179">
        <v>2</v>
      </c>
      <c r="F32" s="180">
        <f>TRUNC('MEMÓRIA onerado'!F89,2)</f>
        <v>86.1</v>
      </c>
      <c r="G32" s="180">
        <f t="shared" si="3"/>
        <v>105.44</v>
      </c>
      <c r="H32" s="180">
        <f t="shared" si="4"/>
        <v>172.2</v>
      </c>
      <c r="I32" s="181">
        <f t="shared" si="5"/>
        <v>210.88</v>
      </c>
      <c r="J32" s="182">
        <v>2</v>
      </c>
      <c r="K32" s="183"/>
    </row>
    <row r="33" spans="1:11" s="182" customFormat="1" ht="41.25">
      <c r="A33" s="175" t="s">
        <v>252</v>
      </c>
      <c r="B33" s="176" t="s">
        <v>253</v>
      </c>
      <c r="C33" s="177" t="s">
        <v>254</v>
      </c>
      <c r="D33" s="178" t="s">
        <v>68</v>
      </c>
      <c r="E33" s="179">
        <v>2</v>
      </c>
      <c r="F33" s="180">
        <f>TRUNC('MEMÓRIA onerado'!F95,2)</f>
        <v>568.45</v>
      </c>
      <c r="G33" s="180">
        <f t="shared" si="3"/>
        <v>696.18</v>
      </c>
      <c r="H33" s="180">
        <f t="shared" si="4"/>
        <v>1136.9</v>
      </c>
      <c r="I33" s="181">
        <f t="shared" si="5"/>
        <v>1392.36</v>
      </c>
      <c r="J33" s="182">
        <v>2</v>
      </c>
      <c r="K33" s="183"/>
    </row>
    <row r="34" spans="1:11" s="182" customFormat="1" ht="69">
      <c r="A34" s="175" t="s">
        <v>305</v>
      </c>
      <c r="B34" s="176" t="s">
        <v>257</v>
      </c>
      <c r="C34" s="177" t="s">
        <v>258</v>
      </c>
      <c r="D34" s="178" t="s">
        <v>68</v>
      </c>
      <c r="E34" s="179">
        <v>2</v>
      </c>
      <c r="F34" s="180">
        <f>TRUNC('MEMÓRIA onerado'!F103,2)</f>
        <v>387.22</v>
      </c>
      <c r="G34" s="180">
        <f t="shared" si="3"/>
        <v>474.22</v>
      </c>
      <c r="H34" s="180">
        <f t="shared" si="4"/>
        <v>774.44</v>
      </c>
      <c r="I34" s="181">
        <f t="shared" si="5"/>
        <v>948.44</v>
      </c>
      <c r="J34" s="182">
        <v>2</v>
      </c>
      <c r="K34" s="183"/>
    </row>
    <row r="35" spans="1:11" s="182" customFormat="1" ht="41.25">
      <c r="A35" s="175" t="s">
        <v>306</v>
      </c>
      <c r="B35" s="176" t="s">
        <v>158</v>
      </c>
      <c r="C35" s="177" t="s">
        <v>194</v>
      </c>
      <c r="D35" s="178" t="s">
        <v>68</v>
      </c>
      <c r="E35" s="179">
        <v>2</v>
      </c>
      <c r="F35" s="180">
        <f>TRUNC('MEMÓRIA onerado'!F111,2)</f>
        <v>629.09</v>
      </c>
      <c r="G35" s="180">
        <f t="shared" si="3"/>
        <v>770.44</v>
      </c>
      <c r="H35" s="180">
        <f t="shared" si="4"/>
        <v>1258.18</v>
      </c>
      <c r="I35" s="181">
        <f t="shared" si="5"/>
        <v>1540.88</v>
      </c>
      <c r="J35" s="182">
        <v>2</v>
      </c>
      <c r="K35" s="183"/>
    </row>
    <row r="36" spans="1:11" s="182" customFormat="1" ht="27">
      <c r="A36" s="175" t="s">
        <v>307</v>
      </c>
      <c r="B36" s="176" t="s">
        <v>271</v>
      </c>
      <c r="C36" s="177" t="s">
        <v>272</v>
      </c>
      <c r="D36" s="178" t="s">
        <v>62</v>
      </c>
      <c r="E36" s="179">
        <v>6</v>
      </c>
      <c r="F36" s="180">
        <f>TRUNC('MEMÓRIA onerado'!F120,2)</f>
        <v>157.83</v>
      </c>
      <c r="G36" s="180">
        <f t="shared" si="3"/>
        <v>193.29</v>
      </c>
      <c r="H36" s="180">
        <f t="shared" si="4"/>
        <v>946.98</v>
      </c>
      <c r="I36" s="181">
        <f t="shared" si="5"/>
        <v>1159.74</v>
      </c>
      <c r="J36" s="182">
        <v>6</v>
      </c>
      <c r="K36" s="183"/>
    </row>
    <row r="37" spans="1:11" s="182" customFormat="1" ht="27">
      <c r="A37" s="175" t="s">
        <v>308</v>
      </c>
      <c r="B37" s="184" t="s">
        <v>279</v>
      </c>
      <c r="C37" s="177" t="s">
        <v>280</v>
      </c>
      <c r="D37" s="178" t="s">
        <v>68</v>
      </c>
      <c r="E37" s="179">
        <v>1</v>
      </c>
      <c r="F37" s="180">
        <f>TRUNC('MEMÓRIA onerado'!F127,2)</f>
        <v>737</v>
      </c>
      <c r="G37" s="180">
        <f t="shared" si="3"/>
        <v>902.6</v>
      </c>
      <c r="H37" s="180">
        <f t="shared" si="4"/>
        <v>737</v>
      </c>
      <c r="I37" s="181">
        <f t="shared" si="5"/>
        <v>902.6</v>
      </c>
      <c r="J37" s="182">
        <v>1</v>
      </c>
      <c r="K37" s="183"/>
    </row>
    <row r="38" spans="1:11" s="182" customFormat="1" ht="41.25">
      <c r="A38" s="175" t="s">
        <v>309</v>
      </c>
      <c r="B38" s="184" t="s">
        <v>284</v>
      </c>
      <c r="C38" s="177" t="s">
        <v>285</v>
      </c>
      <c r="D38" s="178" t="s">
        <v>68</v>
      </c>
      <c r="E38" s="179">
        <v>1</v>
      </c>
      <c r="F38" s="180">
        <f>TRUNC('MEMÓRIA onerado'!F132,2)</f>
        <v>2302.16</v>
      </c>
      <c r="G38" s="180">
        <f t="shared" si="3"/>
        <v>2819.45</v>
      </c>
      <c r="H38" s="180">
        <f t="shared" si="4"/>
        <v>2302.16</v>
      </c>
      <c r="I38" s="181">
        <f t="shared" si="5"/>
        <v>2819.45</v>
      </c>
      <c r="J38" s="182">
        <v>1</v>
      </c>
      <c r="K38" s="183"/>
    </row>
    <row r="39" spans="1:11" s="182" customFormat="1" ht="13.5">
      <c r="A39" s="175" t="s">
        <v>310</v>
      </c>
      <c r="B39" s="176" t="s">
        <v>302</v>
      </c>
      <c r="C39" s="177" t="s">
        <v>303</v>
      </c>
      <c r="D39" s="178" t="s">
        <v>62</v>
      </c>
      <c r="E39" s="179">
        <v>3.15</v>
      </c>
      <c r="F39" s="180">
        <f>TRUNC('MEMÓRIA onerado'!F142,2)</f>
        <v>17.43</v>
      </c>
      <c r="G39" s="180">
        <f t="shared" si="3"/>
        <v>21.34</v>
      </c>
      <c r="H39" s="180">
        <f t="shared" si="4"/>
        <v>54.9</v>
      </c>
      <c r="I39" s="181">
        <f t="shared" si="5"/>
        <v>67.22</v>
      </c>
      <c r="J39" s="182">
        <v>3.15</v>
      </c>
      <c r="K39" s="183"/>
    </row>
    <row r="40" spans="1:11" s="182" customFormat="1" ht="27">
      <c r="A40" s="175" t="s">
        <v>311</v>
      </c>
      <c r="B40" s="184" t="s">
        <v>284</v>
      </c>
      <c r="C40" s="177" t="s">
        <v>304</v>
      </c>
      <c r="D40" s="178" t="s">
        <v>68</v>
      </c>
      <c r="E40" s="179">
        <v>1</v>
      </c>
      <c r="F40" s="180">
        <f>TRUNC('MEMÓRIA onerado'!F146,2)</f>
        <v>185.98</v>
      </c>
      <c r="G40" s="180">
        <f t="shared" si="3"/>
        <v>227.76</v>
      </c>
      <c r="H40" s="180">
        <f t="shared" si="4"/>
        <v>185.98</v>
      </c>
      <c r="I40" s="181">
        <f t="shared" si="5"/>
        <v>227.76</v>
      </c>
      <c r="J40" s="182">
        <v>1</v>
      </c>
      <c r="K40" s="183"/>
    </row>
    <row r="41" spans="1:9" s="41" customFormat="1" ht="13.5">
      <c r="A41" s="106" t="s">
        <v>111</v>
      </c>
      <c r="B41" s="100"/>
      <c r="C41" s="76" t="s">
        <v>19</v>
      </c>
      <c r="D41" s="125"/>
      <c r="E41" s="77"/>
      <c r="F41" s="78"/>
      <c r="G41" s="78"/>
      <c r="H41" s="79">
        <f>H27+H28+H31+H32+H33+H34+H35+H36+H37+H38+H39+H40</f>
        <v>26863.13</v>
      </c>
      <c r="I41" s="79">
        <f>I27+I28+I31+I32+I33+I34+I35+I36+I37+I38+I39+I40</f>
        <v>32897.170000000006</v>
      </c>
    </row>
    <row r="42" spans="1:9" s="41" customFormat="1" ht="13.5">
      <c r="A42" s="80" t="s">
        <v>20</v>
      </c>
      <c r="B42" s="111"/>
      <c r="C42" s="81" t="s">
        <v>678</v>
      </c>
      <c r="D42" s="82"/>
      <c r="E42" s="83"/>
      <c r="F42" s="84"/>
      <c r="G42" s="84"/>
      <c r="H42" s="84"/>
      <c r="I42" s="83"/>
    </row>
    <row r="43" spans="1:11" s="182" customFormat="1" ht="69">
      <c r="A43" s="175" t="s">
        <v>43</v>
      </c>
      <c r="B43" s="176" t="s">
        <v>312</v>
      </c>
      <c r="C43" s="177" t="s">
        <v>313</v>
      </c>
      <c r="D43" s="178" t="s">
        <v>62</v>
      </c>
      <c r="E43" s="179">
        <v>21</v>
      </c>
      <c r="F43" s="180">
        <f>TRUNC('MEMÓRIA onerado'!F152,2)</f>
        <v>121.5</v>
      </c>
      <c r="G43" s="180">
        <f aca="true" t="shared" si="6" ref="G43:G48">TRUNC(F43*1.2247,2)</f>
        <v>148.8</v>
      </c>
      <c r="H43" s="180">
        <f aca="true" t="shared" si="7" ref="H43:H48">TRUNC(F43*E43,2)</f>
        <v>2551.5</v>
      </c>
      <c r="I43" s="181">
        <f aca="true" t="shared" si="8" ref="I43:I48">TRUNC(E43*G43,2)</f>
        <v>3124.8</v>
      </c>
      <c r="J43" s="182">
        <v>21</v>
      </c>
      <c r="K43" s="183"/>
    </row>
    <row r="44" spans="1:11" s="182" customFormat="1" ht="27">
      <c r="A44" s="175" t="s">
        <v>44</v>
      </c>
      <c r="B44" s="176" t="s">
        <v>316</v>
      </c>
      <c r="C44" s="177" t="s">
        <v>317</v>
      </c>
      <c r="D44" s="178" t="s">
        <v>62</v>
      </c>
      <c r="E44" s="179">
        <v>21</v>
      </c>
      <c r="F44" s="180">
        <f>TRUNC('MEMÓRIA onerado'!F155,2)</f>
        <v>93.71</v>
      </c>
      <c r="G44" s="180">
        <f t="shared" si="6"/>
        <v>114.76</v>
      </c>
      <c r="H44" s="180">
        <f t="shared" si="7"/>
        <v>1967.91</v>
      </c>
      <c r="I44" s="181">
        <f t="shared" si="8"/>
        <v>2409.96</v>
      </c>
      <c r="J44" s="182">
        <v>21</v>
      </c>
      <c r="K44" s="183"/>
    </row>
    <row r="45" spans="1:11" s="182" customFormat="1" ht="82.5">
      <c r="A45" s="175" t="s">
        <v>363</v>
      </c>
      <c r="B45" s="176" t="s">
        <v>320</v>
      </c>
      <c r="C45" s="177" t="s">
        <v>321</v>
      </c>
      <c r="D45" s="178" t="s">
        <v>62</v>
      </c>
      <c r="E45" s="179">
        <v>89.13</v>
      </c>
      <c r="F45" s="180">
        <f>TRUNC('MEMÓRIA onerado'!F160,2)</f>
        <v>91.11</v>
      </c>
      <c r="G45" s="180">
        <f t="shared" si="6"/>
        <v>111.58</v>
      </c>
      <c r="H45" s="180">
        <f t="shared" si="7"/>
        <v>8120.63</v>
      </c>
      <c r="I45" s="181">
        <f t="shared" si="8"/>
        <v>9945.12</v>
      </c>
      <c r="J45" s="182">
        <v>89.13</v>
      </c>
      <c r="K45" s="183"/>
    </row>
    <row r="46" spans="1:11" s="182" customFormat="1" ht="13.5">
      <c r="A46" s="175" t="s">
        <v>364</v>
      </c>
      <c r="B46" s="184" t="s">
        <v>279</v>
      </c>
      <c r="C46" s="177" t="s">
        <v>342</v>
      </c>
      <c r="D46" s="178" t="s">
        <v>62</v>
      </c>
      <c r="E46" s="179">
        <v>73.53</v>
      </c>
      <c r="F46" s="180">
        <f>'MEMÓRIA onerado'!F173</f>
        <v>59.96</v>
      </c>
      <c r="G46" s="180">
        <f t="shared" si="6"/>
        <v>73.43</v>
      </c>
      <c r="H46" s="180">
        <f t="shared" si="7"/>
        <v>4408.85</v>
      </c>
      <c r="I46" s="181">
        <f t="shared" si="8"/>
        <v>5399.3</v>
      </c>
      <c r="J46" s="182">
        <v>73.53</v>
      </c>
      <c r="K46" s="183"/>
    </row>
    <row r="47" spans="1:11" s="182" customFormat="1" ht="27">
      <c r="A47" s="175" t="s">
        <v>365</v>
      </c>
      <c r="B47" s="176" t="s">
        <v>346</v>
      </c>
      <c r="C47" s="177" t="s">
        <v>347</v>
      </c>
      <c r="D47" s="178" t="s">
        <v>62</v>
      </c>
      <c r="E47" s="179">
        <v>188.12</v>
      </c>
      <c r="F47" s="180">
        <f>TRUNC('MEMÓRIA onerado'!F178,2)</f>
        <v>55</v>
      </c>
      <c r="G47" s="180">
        <f t="shared" si="6"/>
        <v>67.35</v>
      </c>
      <c r="H47" s="180">
        <f t="shared" si="7"/>
        <v>10346.6</v>
      </c>
      <c r="I47" s="181">
        <f t="shared" si="8"/>
        <v>12669.88</v>
      </c>
      <c r="J47" s="182">
        <v>188.12</v>
      </c>
      <c r="K47" s="183"/>
    </row>
    <row r="48" spans="1:11" s="182" customFormat="1" ht="13.5">
      <c r="A48" s="175" t="s">
        <v>366</v>
      </c>
      <c r="B48" s="176" t="s">
        <v>350</v>
      </c>
      <c r="C48" s="177" t="s">
        <v>351</v>
      </c>
      <c r="D48" s="178" t="s">
        <v>62</v>
      </c>
      <c r="E48" s="179">
        <v>8.4</v>
      </c>
      <c r="F48" s="180">
        <f>TRUNC('MEMÓRIA onerado'!F181,2)</f>
        <v>57.67</v>
      </c>
      <c r="G48" s="180">
        <f t="shared" si="6"/>
        <v>70.62</v>
      </c>
      <c r="H48" s="180">
        <f t="shared" si="7"/>
        <v>484.42</v>
      </c>
      <c r="I48" s="181">
        <f t="shared" si="8"/>
        <v>593.2</v>
      </c>
      <c r="J48" s="182">
        <v>8.4</v>
      </c>
      <c r="K48" s="183"/>
    </row>
    <row r="49" spans="1:9" s="41" customFormat="1" ht="13.5">
      <c r="A49" s="106" t="s">
        <v>111</v>
      </c>
      <c r="B49" s="100"/>
      <c r="C49" s="76" t="s">
        <v>41</v>
      </c>
      <c r="D49" s="125"/>
      <c r="E49" s="77"/>
      <c r="F49" s="78"/>
      <c r="G49" s="78"/>
      <c r="H49" s="79">
        <f>H43+H44+H45+H46+H47+H48</f>
        <v>27879.909999999996</v>
      </c>
      <c r="I49" s="79">
        <f>I43+I44+I45+I46+I47+I48</f>
        <v>34142.259999999995</v>
      </c>
    </row>
    <row r="50" spans="1:9" ht="13.5">
      <c r="A50" s="99" t="s">
        <v>21</v>
      </c>
      <c r="B50" s="111"/>
      <c r="C50" s="87" t="s">
        <v>679</v>
      </c>
      <c r="D50" s="119"/>
      <c r="E50" s="87"/>
      <c r="F50" s="88"/>
      <c r="G50" s="88"/>
      <c r="H50" s="88"/>
      <c r="I50" s="89"/>
    </row>
    <row r="51" spans="1:11" s="182" customFormat="1" ht="41.25">
      <c r="A51" s="175" t="s">
        <v>53</v>
      </c>
      <c r="B51" s="176" t="s">
        <v>367</v>
      </c>
      <c r="C51" s="177" t="s">
        <v>368</v>
      </c>
      <c r="D51" s="178" t="s">
        <v>61</v>
      </c>
      <c r="E51" s="179">
        <v>2.6</v>
      </c>
      <c r="F51" s="180">
        <f>TRUNC('MEMÓRIA onerado'!F193,2)</f>
        <v>295.16</v>
      </c>
      <c r="G51" s="180">
        <f aca="true" t="shared" si="9" ref="G51:G60">TRUNC(F51*1.2247,2)</f>
        <v>361.48</v>
      </c>
      <c r="H51" s="180">
        <f aca="true" t="shared" si="10" ref="H51:H60">TRUNC(F51*E51,2)</f>
        <v>767.41</v>
      </c>
      <c r="I51" s="181">
        <f aca="true" t="shared" si="11" ref="I51:I60">TRUNC(E51*G51,2)</f>
        <v>939.84</v>
      </c>
      <c r="J51" s="182">
        <v>2.6</v>
      </c>
      <c r="K51" s="183"/>
    </row>
    <row r="52" spans="1:11" s="182" customFormat="1" ht="41.25">
      <c r="A52" s="175" t="s">
        <v>31</v>
      </c>
      <c r="B52" s="176" t="s">
        <v>375</v>
      </c>
      <c r="C52" s="177" t="s">
        <v>376</v>
      </c>
      <c r="D52" s="178" t="s">
        <v>62</v>
      </c>
      <c r="E52" s="179">
        <v>0.72</v>
      </c>
      <c r="F52" s="180">
        <f>TRUNC('MEMÓRIA onerado'!F200,2)</f>
        <v>512.21</v>
      </c>
      <c r="G52" s="180">
        <f t="shared" si="9"/>
        <v>627.3</v>
      </c>
      <c r="H52" s="180">
        <f t="shared" si="10"/>
        <v>368.79</v>
      </c>
      <c r="I52" s="181">
        <f t="shared" si="11"/>
        <v>451.65</v>
      </c>
      <c r="J52" s="182">
        <v>0.72</v>
      </c>
      <c r="K52" s="183"/>
    </row>
    <row r="53" spans="1:11" s="182" customFormat="1" ht="41.25">
      <c r="A53" s="175" t="s">
        <v>32</v>
      </c>
      <c r="B53" s="184" t="s">
        <v>284</v>
      </c>
      <c r="C53" s="177" t="s">
        <v>387</v>
      </c>
      <c r="D53" s="178" t="s">
        <v>68</v>
      </c>
      <c r="E53" s="179">
        <v>1.2</v>
      </c>
      <c r="F53" s="180">
        <f>TRUNC('MEMÓRIA onerado'!F207,2)</f>
        <v>72.43</v>
      </c>
      <c r="G53" s="180">
        <f t="shared" si="9"/>
        <v>88.7</v>
      </c>
      <c r="H53" s="180">
        <f t="shared" si="10"/>
        <v>86.91</v>
      </c>
      <c r="I53" s="181">
        <f t="shared" si="11"/>
        <v>106.44</v>
      </c>
      <c r="J53" s="182">
        <v>1.2</v>
      </c>
      <c r="K53" s="183"/>
    </row>
    <row r="54" spans="1:11" s="182" customFormat="1" ht="41.25">
      <c r="A54" s="175" t="s">
        <v>33</v>
      </c>
      <c r="B54" s="184" t="s">
        <v>284</v>
      </c>
      <c r="C54" s="177" t="s">
        <v>388</v>
      </c>
      <c r="D54" s="178" t="s">
        <v>68</v>
      </c>
      <c r="E54" s="179">
        <v>1.2</v>
      </c>
      <c r="F54" s="180">
        <f>TRUNC('MEMÓRIA onerado'!F216,2)</f>
        <v>36.22</v>
      </c>
      <c r="G54" s="180">
        <f t="shared" si="9"/>
        <v>44.35</v>
      </c>
      <c r="H54" s="180">
        <f t="shared" si="10"/>
        <v>43.46</v>
      </c>
      <c r="I54" s="181">
        <f t="shared" si="11"/>
        <v>53.22</v>
      </c>
      <c r="J54" s="182">
        <v>1.2</v>
      </c>
      <c r="K54" s="183"/>
    </row>
    <row r="55" spans="1:11" s="182" customFormat="1" ht="41.25">
      <c r="A55" s="175" t="s">
        <v>34</v>
      </c>
      <c r="B55" s="176" t="s">
        <v>389</v>
      </c>
      <c r="C55" s="177" t="s">
        <v>390</v>
      </c>
      <c r="D55" s="178" t="s">
        <v>68</v>
      </c>
      <c r="E55" s="179">
        <v>1</v>
      </c>
      <c r="F55" s="180">
        <f>TRUNC('MEMÓRIA onerado'!F225,2)</f>
        <v>570.31</v>
      </c>
      <c r="G55" s="180">
        <f t="shared" si="9"/>
        <v>698.45</v>
      </c>
      <c r="H55" s="180">
        <f t="shared" si="10"/>
        <v>570.31</v>
      </c>
      <c r="I55" s="181">
        <f t="shared" si="11"/>
        <v>698.45</v>
      </c>
      <c r="J55" s="182">
        <v>1</v>
      </c>
      <c r="K55" s="183"/>
    </row>
    <row r="56" spans="1:11" s="182" customFormat="1" ht="13.5">
      <c r="A56" s="175" t="s">
        <v>35</v>
      </c>
      <c r="B56" s="176" t="s">
        <v>397</v>
      </c>
      <c r="C56" s="177" t="s">
        <v>402</v>
      </c>
      <c r="D56" s="178" t="s">
        <v>61</v>
      </c>
      <c r="E56" s="179">
        <v>8</v>
      </c>
      <c r="F56" s="180">
        <f>TRUNC('MEMÓRIA onerado'!F232,2)</f>
        <v>21.55</v>
      </c>
      <c r="G56" s="180">
        <f t="shared" si="9"/>
        <v>26.39</v>
      </c>
      <c r="H56" s="180">
        <f t="shared" si="10"/>
        <v>172.4</v>
      </c>
      <c r="I56" s="181">
        <f t="shared" si="11"/>
        <v>211.12</v>
      </c>
      <c r="J56" s="182">
        <v>8</v>
      </c>
      <c r="K56" s="183"/>
    </row>
    <row r="57" spans="1:11" s="182" customFormat="1" ht="13.5">
      <c r="A57" s="175" t="s">
        <v>79</v>
      </c>
      <c r="B57" s="176" t="s">
        <v>398</v>
      </c>
      <c r="C57" s="177" t="s">
        <v>405</v>
      </c>
      <c r="D57" s="178" t="s">
        <v>61</v>
      </c>
      <c r="E57" s="179">
        <v>10</v>
      </c>
      <c r="F57" s="180">
        <f>TRUNC('MEMÓRIA onerado'!F235,2)</f>
        <v>40.06</v>
      </c>
      <c r="G57" s="180">
        <f t="shared" si="9"/>
        <v>49.06</v>
      </c>
      <c r="H57" s="180">
        <f t="shared" si="10"/>
        <v>400.6</v>
      </c>
      <c r="I57" s="181">
        <f t="shared" si="11"/>
        <v>490.6</v>
      </c>
      <c r="J57" s="182">
        <v>10</v>
      </c>
      <c r="K57" s="183"/>
    </row>
    <row r="58" spans="1:11" s="182" customFormat="1" ht="13.5">
      <c r="A58" s="175" t="s">
        <v>80</v>
      </c>
      <c r="B58" s="176" t="s">
        <v>399</v>
      </c>
      <c r="C58" s="177" t="s">
        <v>408</v>
      </c>
      <c r="D58" s="178" t="s">
        <v>68</v>
      </c>
      <c r="E58" s="179">
        <v>1</v>
      </c>
      <c r="F58" s="180">
        <f>TRUNC('MEMÓRIA onerado'!F238,2)</f>
        <v>113.8</v>
      </c>
      <c r="G58" s="180">
        <f t="shared" si="9"/>
        <v>139.37</v>
      </c>
      <c r="H58" s="180">
        <f t="shared" si="10"/>
        <v>113.8</v>
      </c>
      <c r="I58" s="181">
        <f t="shared" si="11"/>
        <v>139.37</v>
      </c>
      <c r="J58" s="182">
        <v>1</v>
      </c>
      <c r="K58" s="183"/>
    </row>
    <row r="59" spans="1:11" s="182" customFormat="1" ht="13.5">
      <c r="A59" s="175" t="s">
        <v>81</v>
      </c>
      <c r="B59" s="176" t="s">
        <v>400</v>
      </c>
      <c r="C59" s="177" t="s">
        <v>411</v>
      </c>
      <c r="D59" s="178" t="s">
        <v>68</v>
      </c>
      <c r="E59" s="179">
        <v>2</v>
      </c>
      <c r="F59" s="180">
        <f>TRUNC('MEMÓRIA onerado'!F241,2)</f>
        <v>31.23</v>
      </c>
      <c r="G59" s="180">
        <f t="shared" si="9"/>
        <v>38.24</v>
      </c>
      <c r="H59" s="180">
        <f t="shared" si="10"/>
        <v>62.46</v>
      </c>
      <c r="I59" s="181">
        <f t="shared" si="11"/>
        <v>76.48</v>
      </c>
      <c r="J59" s="182">
        <v>2</v>
      </c>
      <c r="K59" s="183"/>
    </row>
    <row r="60" spans="1:11" s="182" customFormat="1" ht="41.25">
      <c r="A60" s="175" t="s">
        <v>82</v>
      </c>
      <c r="B60" s="176" t="s">
        <v>401</v>
      </c>
      <c r="C60" s="177" t="s">
        <v>414</v>
      </c>
      <c r="D60" s="178" t="s">
        <v>68</v>
      </c>
      <c r="E60" s="179">
        <v>1</v>
      </c>
      <c r="F60" s="180">
        <f>TRUNC('MEMÓRIA onerado'!F244,2)</f>
        <v>190.58</v>
      </c>
      <c r="G60" s="180">
        <f t="shared" si="9"/>
        <v>233.4</v>
      </c>
      <c r="H60" s="180">
        <f t="shared" si="10"/>
        <v>190.58</v>
      </c>
      <c r="I60" s="181">
        <f t="shared" si="11"/>
        <v>233.4</v>
      </c>
      <c r="J60" s="182">
        <v>1</v>
      </c>
      <c r="K60" s="183"/>
    </row>
    <row r="61" spans="1:9" s="41" customFormat="1" ht="13.5">
      <c r="A61" s="106" t="s">
        <v>111</v>
      </c>
      <c r="B61" s="100"/>
      <c r="C61" s="76" t="s">
        <v>83</v>
      </c>
      <c r="D61" s="125"/>
      <c r="E61" s="77"/>
      <c r="F61" s="78"/>
      <c r="G61" s="78"/>
      <c r="H61" s="79">
        <f>H51+H52+H53+H54+H55+H56+H57+H58+H59+H60</f>
        <v>2776.7200000000003</v>
      </c>
      <c r="I61" s="79">
        <f>I51+I52+I53+I54+I55+I56+I57+I58+I59+I60</f>
        <v>3400.57</v>
      </c>
    </row>
    <row r="62" spans="1:9" ht="13.5">
      <c r="A62" s="99" t="s">
        <v>54</v>
      </c>
      <c r="B62" s="111"/>
      <c r="C62" s="87" t="s">
        <v>421</v>
      </c>
      <c r="D62" s="119"/>
      <c r="E62" s="87"/>
      <c r="F62" s="88"/>
      <c r="G62" s="88"/>
      <c r="H62" s="88"/>
      <c r="I62" s="89"/>
    </row>
    <row r="63" spans="1:11" s="182" customFormat="1" ht="41.25">
      <c r="A63" s="175" t="s">
        <v>55</v>
      </c>
      <c r="B63" s="176" t="s">
        <v>422</v>
      </c>
      <c r="C63" s="177" t="s">
        <v>424</v>
      </c>
      <c r="D63" s="178" t="s">
        <v>68</v>
      </c>
      <c r="E63" s="179">
        <v>36</v>
      </c>
      <c r="F63" s="180">
        <f>TRUNC('MEMÓRIA onerado'!F252,2)</f>
        <v>267.55</v>
      </c>
      <c r="G63" s="180">
        <f aca="true" t="shared" si="12" ref="G63:G85">TRUNC(F63*1.2247,2)</f>
        <v>327.66</v>
      </c>
      <c r="H63" s="180">
        <f aca="true" t="shared" si="13" ref="H63:H85">TRUNC(F63*E63,2)</f>
        <v>9631.8</v>
      </c>
      <c r="I63" s="181">
        <f aca="true" t="shared" si="14" ref="I63:I85">TRUNC(E63*G63,2)</f>
        <v>11795.76</v>
      </c>
      <c r="J63" s="182">
        <v>36</v>
      </c>
      <c r="K63" s="183"/>
    </row>
    <row r="64" spans="1:11" s="182" customFormat="1" ht="41.25">
      <c r="A64" s="175" t="s">
        <v>56</v>
      </c>
      <c r="B64" s="176" t="s">
        <v>423</v>
      </c>
      <c r="C64" s="177" t="s">
        <v>425</v>
      </c>
      <c r="D64" s="178" t="s">
        <v>68</v>
      </c>
      <c r="E64" s="179">
        <v>15</v>
      </c>
      <c r="F64" s="180">
        <f>TRUNC('MEMÓRIA onerado'!F265,2)</f>
        <v>42.3</v>
      </c>
      <c r="G64" s="180">
        <f t="shared" si="12"/>
        <v>51.8</v>
      </c>
      <c r="H64" s="180">
        <f t="shared" si="13"/>
        <v>634.5</v>
      </c>
      <c r="I64" s="181">
        <f t="shared" si="14"/>
        <v>777</v>
      </c>
      <c r="J64" s="182">
        <v>15</v>
      </c>
      <c r="K64" s="183"/>
    </row>
    <row r="65" spans="1:11" s="182" customFormat="1" ht="54.75">
      <c r="A65" s="175" t="s">
        <v>57</v>
      </c>
      <c r="B65" s="184" t="s">
        <v>279</v>
      </c>
      <c r="C65" s="177" t="s">
        <v>440</v>
      </c>
      <c r="D65" s="178" t="s">
        <v>68</v>
      </c>
      <c r="E65" s="179">
        <v>9</v>
      </c>
      <c r="F65" s="180">
        <f>TRUNC('MEMÓRIA onerado'!F277,2)</f>
        <v>353.82</v>
      </c>
      <c r="G65" s="180">
        <f t="shared" si="12"/>
        <v>433.32</v>
      </c>
      <c r="H65" s="180">
        <f t="shared" si="13"/>
        <v>3184.38</v>
      </c>
      <c r="I65" s="181">
        <f t="shared" si="14"/>
        <v>3899.88</v>
      </c>
      <c r="J65" s="182">
        <v>9</v>
      </c>
      <c r="K65" s="183"/>
    </row>
    <row r="66" spans="1:11" s="182" customFormat="1" ht="27">
      <c r="A66" s="175" t="s">
        <v>58</v>
      </c>
      <c r="B66" s="176" t="s">
        <v>628</v>
      </c>
      <c r="C66" s="177" t="s">
        <v>445</v>
      </c>
      <c r="D66" s="178" t="s">
        <v>68</v>
      </c>
      <c r="E66" s="179">
        <v>15</v>
      </c>
      <c r="F66" s="180">
        <f>TRUNC('MEMÓRIA onerado'!F282,2)</f>
        <v>11.48</v>
      </c>
      <c r="G66" s="180">
        <f t="shared" si="12"/>
        <v>14.05</v>
      </c>
      <c r="H66" s="180">
        <f t="shared" si="13"/>
        <v>172.2</v>
      </c>
      <c r="I66" s="181">
        <f t="shared" si="14"/>
        <v>210.75</v>
      </c>
      <c r="J66" s="182">
        <v>15</v>
      </c>
      <c r="K66" s="183"/>
    </row>
    <row r="67" spans="1:11" s="182" customFormat="1" ht="13.5">
      <c r="A67" s="175" t="s">
        <v>550</v>
      </c>
      <c r="B67" s="184" t="s">
        <v>279</v>
      </c>
      <c r="C67" s="177" t="s">
        <v>446</v>
      </c>
      <c r="D67" s="178" t="s">
        <v>68</v>
      </c>
      <c r="E67" s="179">
        <v>4</v>
      </c>
      <c r="F67" s="180">
        <f>TRUNC('MEMÓRIA onerado'!F288,2)</f>
        <v>107.1</v>
      </c>
      <c r="G67" s="180">
        <f t="shared" si="12"/>
        <v>131.16</v>
      </c>
      <c r="H67" s="180">
        <f t="shared" si="13"/>
        <v>428.4</v>
      </c>
      <c r="I67" s="181">
        <f t="shared" si="14"/>
        <v>524.64</v>
      </c>
      <c r="J67" s="182">
        <v>4</v>
      </c>
      <c r="K67" s="183"/>
    </row>
    <row r="68" spans="1:11" s="182" customFormat="1" ht="13.5">
      <c r="A68" s="175" t="s">
        <v>551</v>
      </c>
      <c r="B68" s="184" t="s">
        <v>279</v>
      </c>
      <c r="C68" s="177" t="s">
        <v>450</v>
      </c>
      <c r="D68" s="178" t="s">
        <v>68</v>
      </c>
      <c r="E68" s="179">
        <v>1</v>
      </c>
      <c r="F68" s="180">
        <f>'MEMÓRIA onerado'!F293</f>
        <v>396.09</v>
      </c>
      <c r="G68" s="180">
        <f t="shared" si="12"/>
        <v>485.09</v>
      </c>
      <c r="H68" s="180">
        <f t="shared" si="13"/>
        <v>396.09</v>
      </c>
      <c r="I68" s="181">
        <f t="shared" si="14"/>
        <v>485.09</v>
      </c>
      <c r="J68" s="182">
        <v>1</v>
      </c>
      <c r="K68" s="183"/>
    </row>
    <row r="69" spans="1:11" s="182" customFormat="1" ht="13.5">
      <c r="A69" s="175" t="s">
        <v>553</v>
      </c>
      <c r="B69" s="184" t="s">
        <v>279</v>
      </c>
      <c r="C69" s="177" t="s">
        <v>454</v>
      </c>
      <c r="D69" s="178" t="s">
        <v>68</v>
      </c>
      <c r="E69" s="179">
        <v>1</v>
      </c>
      <c r="F69" s="180">
        <f>'MEMÓRIA onerado'!F298</f>
        <v>19</v>
      </c>
      <c r="G69" s="180">
        <f t="shared" si="12"/>
        <v>23.26</v>
      </c>
      <c r="H69" s="180">
        <f t="shared" si="13"/>
        <v>19</v>
      </c>
      <c r="I69" s="181">
        <f t="shared" si="14"/>
        <v>23.26</v>
      </c>
      <c r="J69" s="182">
        <v>1</v>
      </c>
      <c r="K69" s="183"/>
    </row>
    <row r="70" spans="1:11" s="182" customFormat="1" ht="13.5">
      <c r="A70" s="175" t="s">
        <v>552</v>
      </c>
      <c r="B70" s="184" t="s">
        <v>279</v>
      </c>
      <c r="C70" s="177" t="s">
        <v>458</v>
      </c>
      <c r="D70" s="178" t="s">
        <v>68</v>
      </c>
      <c r="E70" s="179">
        <v>9</v>
      </c>
      <c r="F70" s="180">
        <f>'MEMÓRIA onerado'!F303</f>
        <v>36.33</v>
      </c>
      <c r="G70" s="180">
        <f t="shared" si="12"/>
        <v>44.49</v>
      </c>
      <c r="H70" s="180">
        <f t="shared" si="13"/>
        <v>326.97</v>
      </c>
      <c r="I70" s="181">
        <f t="shared" si="14"/>
        <v>400.41</v>
      </c>
      <c r="J70" s="182">
        <v>9</v>
      </c>
      <c r="K70" s="183"/>
    </row>
    <row r="71" spans="1:11" s="182" customFormat="1" ht="27">
      <c r="A71" s="175" t="s">
        <v>554</v>
      </c>
      <c r="B71" s="176" t="s">
        <v>462</v>
      </c>
      <c r="C71" s="177" t="s">
        <v>463</v>
      </c>
      <c r="D71" s="178" t="s">
        <v>68</v>
      </c>
      <c r="E71" s="179">
        <v>9</v>
      </c>
      <c r="F71" s="180">
        <f>TRUNC('MEMÓRIA onerado'!F308,2)</f>
        <v>25.71</v>
      </c>
      <c r="G71" s="180">
        <f t="shared" si="12"/>
        <v>31.48</v>
      </c>
      <c r="H71" s="180">
        <f t="shared" si="13"/>
        <v>231.39</v>
      </c>
      <c r="I71" s="181">
        <f t="shared" si="14"/>
        <v>283.32</v>
      </c>
      <c r="J71" s="182">
        <v>9</v>
      </c>
      <c r="K71" s="183"/>
    </row>
    <row r="72" spans="1:11" s="182" customFormat="1" ht="27">
      <c r="A72" s="175" t="s">
        <v>555</v>
      </c>
      <c r="B72" s="176" t="s">
        <v>468</v>
      </c>
      <c r="C72" s="177" t="s">
        <v>469</v>
      </c>
      <c r="D72" s="178" t="s">
        <v>68</v>
      </c>
      <c r="E72" s="179">
        <v>1</v>
      </c>
      <c r="F72" s="180">
        <f>TRUNC('MEMÓRIA onerado'!F312,2)</f>
        <v>40.6</v>
      </c>
      <c r="G72" s="180">
        <f t="shared" si="12"/>
        <v>49.72</v>
      </c>
      <c r="H72" s="180">
        <f t="shared" si="13"/>
        <v>40.6</v>
      </c>
      <c r="I72" s="181">
        <f t="shared" si="14"/>
        <v>49.72</v>
      </c>
      <c r="J72" s="182">
        <v>1</v>
      </c>
      <c r="K72" s="183"/>
    </row>
    <row r="73" spans="1:11" s="182" customFormat="1" ht="27">
      <c r="A73" s="175" t="s">
        <v>556</v>
      </c>
      <c r="B73" s="176" t="s">
        <v>472</v>
      </c>
      <c r="C73" s="177" t="s">
        <v>473</v>
      </c>
      <c r="D73" s="178" t="s">
        <v>68</v>
      </c>
      <c r="E73" s="179">
        <v>53</v>
      </c>
      <c r="F73" s="180">
        <f>TRUNC('MEMÓRIA onerado'!F316,2)</f>
        <v>31.04</v>
      </c>
      <c r="G73" s="180">
        <f t="shared" si="12"/>
        <v>38.01</v>
      </c>
      <c r="H73" s="180">
        <f t="shared" si="13"/>
        <v>1645.12</v>
      </c>
      <c r="I73" s="181">
        <f t="shared" si="14"/>
        <v>2014.53</v>
      </c>
      <c r="J73" s="182">
        <v>53</v>
      </c>
      <c r="K73" s="183"/>
    </row>
    <row r="74" spans="1:11" s="182" customFormat="1" ht="27">
      <c r="A74" s="175" t="s">
        <v>557</v>
      </c>
      <c r="B74" s="176" t="s">
        <v>476</v>
      </c>
      <c r="C74" s="177" t="s">
        <v>477</v>
      </c>
      <c r="D74" s="178" t="s">
        <v>68</v>
      </c>
      <c r="E74" s="179">
        <v>2</v>
      </c>
      <c r="F74" s="180">
        <f>TRUNC('MEMÓRIA onerado'!F320,2)</f>
        <v>51.18</v>
      </c>
      <c r="G74" s="180">
        <f t="shared" si="12"/>
        <v>62.68</v>
      </c>
      <c r="H74" s="180">
        <f t="shared" si="13"/>
        <v>102.36</v>
      </c>
      <c r="I74" s="181">
        <f t="shared" si="14"/>
        <v>125.36</v>
      </c>
      <c r="J74" s="182">
        <v>2</v>
      </c>
      <c r="K74" s="183"/>
    </row>
    <row r="75" spans="1:11" s="182" customFormat="1" ht="27">
      <c r="A75" s="175" t="s">
        <v>558</v>
      </c>
      <c r="B75" s="176" t="s">
        <v>480</v>
      </c>
      <c r="C75" s="177" t="s">
        <v>481</v>
      </c>
      <c r="D75" s="178" t="s">
        <v>68</v>
      </c>
      <c r="E75" s="179">
        <v>15</v>
      </c>
      <c r="F75" s="180">
        <f>TRUNC('MEMÓRIA onerado'!F324,2)</f>
        <v>113.01</v>
      </c>
      <c r="G75" s="180">
        <f t="shared" si="12"/>
        <v>138.4</v>
      </c>
      <c r="H75" s="180">
        <f t="shared" si="13"/>
        <v>1695.15</v>
      </c>
      <c r="I75" s="181">
        <f t="shared" si="14"/>
        <v>2076</v>
      </c>
      <c r="J75" s="182">
        <v>15</v>
      </c>
      <c r="K75" s="183"/>
    </row>
    <row r="76" spans="1:11" s="182" customFormat="1" ht="41.25">
      <c r="A76" s="175" t="s">
        <v>559</v>
      </c>
      <c r="B76" s="176" t="s">
        <v>484</v>
      </c>
      <c r="C76" s="177" t="s">
        <v>485</v>
      </c>
      <c r="D76" s="178" t="s">
        <v>68</v>
      </c>
      <c r="E76" s="179">
        <v>36</v>
      </c>
      <c r="F76" s="180">
        <f>TRUNC('MEMÓRIA onerado'!F328,2)</f>
        <v>92.93</v>
      </c>
      <c r="G76" s="180">
        <f t="shared" si="12"/>
        <v>113.81</v>
      </c>
      <c r="H76" s="180">
        <f t="shared" si="13"/>
        <v>3345.48</v>
      </c>
      <c r="I76" s="181">
        <f t="shared" si="14"/>
        <v>4097.16</v>
      </c>
      <c r="J76" s="182">
        <v>36</v>
      </c>
      <c r="K76" s="183"/>
    </row>
    <row r="77" spans="1:11" s="182" customFormat="1" ht="27">
      <c r="A77" s="175" t="s">
        <v>560</v>
      </c>
      <c r="B77" s="176" t="s">
        <v>496</v>
      </c>
      <c r="C77" s="177" t="s">
        <v>497</v>
      </c>
      <c r="D77" s="178" t="s">
        <v>68</v>
      </c>
      <c r="E77" s="179">
        <v>144</v>
      </c>
      <c r="F77" s="180">
        <f>TRUNC('MEMÓRIA onerado'!F337,2)</f>
        <v>16</v>
      </c>
      <c r="G77" s="180">
        <f t="shared" si="12"/>
        <v>19.59</v>
      </c>
      <c r="H77" s="180">
        <f t="shared" si="13"/>
        <v>2304</v>
      </c>
      <c r="I77" s="181">
        <f t="shared" si="14"/>
        <v>2820.96</v>
      </c>
      <c r="J77" s="182">
        <v>144</v>
      </c>
      <c r="K77" s="183"/>
    </row>
    <row r="78" spans="1:11" s="182" customFormat="1" ht="27">
      <c r="A78" s="175" t="s">
        <v>561</v>
      </c>
      <c r="B78" s="176" t="s">
        <v>504</v>
      </c>
      <c r="C78" s="177" t="s">
        <v>505</v>
      </c>
      <c r="D78" s="178" t="s">
        <v>61</v>
      </c>
      <c r="E78" s="179">
        <v>1800</v>
      </c>
      <c r="F78" s="180">
        <f>TRUNC('MEMÓRIA onerado'!F343,2)</f>
        <v>4.45</v>
      </c>
      <c r="G78" s="180">
        <f t="shared" si="12"/>
        <v>5.44</v>
      </c>
      <c r="H78" s="180">
        <f t="shared" si="13"/>
        <v>8010</v>
      </c>
      <c r="I78" s="181">
        <f t="shared" si="14"/>
        <v>9792</v>
      </c>
      <c r="J78" s="182">
        <v>1800</v>
      </c>
      <c r="K78" s="183"/>
    </row>
    <row r="79" spans="1:11" s="182" customFormat="1" ht="27">
      <c r="A79" s="175" t="s">
        <v>562</v>
      </c>
      <c r="B79" s="176" t="s">
        <v>510</v>
      </c>
      <c r="C79" s="177" t="s">
        <v>511</v>
      </c>
      <c r="D79" s="178" t="s">
        <v>61</v>
      </c>
      <c r="E79" s="179">
        <v>755</v>
      </c>
      <c r="F79" s="180">
        <f>TRUNC('MEMÓRIA onerado'!F349,2)</f>
        <v>7.19</v>
      </c>
      <c r="G79" s="180">
        <f t="shared" si="12"/>
        <v>8.8</v>
      </c>
      <c r="H79" s="180">
        <f t="shared" si="13"/>
        <v>5428.45</v>
      </c>
      <c r="I79" s="181">
        <f t="shared" si="14"/>
        <v>6644</v>
      </c>
      <c r="J79" s="182">
        <v>755</v>
      </c>
      <c r="K79" s="183"/>
    </row>
    <row r="80" spans="1:11" s="182" customFormat="1" ht="27">
      <c r="A80" s="175" t="s">
        <v>563</v>
      </c>
      <c r="B80" s="176" t="s">
        <v>514</v>
      </c>
      <c r="C80" s="177" t="s">
        <v>515</v>
      </c>
      <c r="D80" s="178" t="s">
        <v>61</v>
      </c>
      <c r="E80" s="179">
        <v>35</v>
      </c>
      <c r="F80" s="180">
        <f>TRUNC('MEMÓRIA onerado'!F355,2)</f>
        <v>10.62</v>
      </c>
      <c r="G80" s="180">
        <f t="shared" si="12"/>
        <v>13</v>
      </c>
      <c r="H80" s="180">
        <f t="shared" si="13"/>
        <v>371.7</v>
      </c>
      <c r="I80" s="181">
        <f t="shared" si="14"/>
        <v>455</v>
      </c>
      <c r="J80" s="182">
        <v>35</v>
      </c>
      <c r="K80" s="183"/>
    </row>
    <row r="81" spans="1:11" s="182" customFormat="1" ht="27">
      <c r="A81" s="175" t="s">
        <v>564</v>
      </c>
      <c r="B81" s="176" t="s">
        <v>520</v>
      </c>
      <c r="C81" s="177" t="s">
        <v>521</v>
      </c>
      <c r="D81" s="178" t="s">
        <v>61</v>
      </c>
      <c r="E81" s="179">
        <v>5</v>
      </c>
      <c r="F81" s="180">
        <f>TRUNC('MEMÓRIA onerado'!F361,2)</f>
        <v>15.05</v>
      </c>
      <c r="G81" s="180">
        <f t="shared" si="12"/>
        <v>18.43</v>
      </c>
      <c r="H81" s="180">
        <f t="shared" si="13"/>
        <v>75.25</v>
      </c>
      <c r="I81" s="181">
        <f t="shared" si="14"/>
        <v>92.15</v>
      </c>
      <c r="J81" s="182">
        <v>5</v>
      </c>
      <c r="K81" s="183"/>
    </row>
    <row r="82" spans="1:11" s="182" customFormat="1" ht="27">
      <c r="A82" s="175" t="s">
        <v>565</v>
      </c>
      <c r="B82" s="176" t="s">
        <v>524</v>
      </c>
      <c r="C82" s="177" t="s">
        <v>525</v>
      </c>
      <c r="D82" s="178" t="s">
        <v>61</v>
      </c>
      <c r="E82" s="179">
        <v>185</v>
      </c>
      <c r="F82" s="180">
        <f>TRUNC('MEMÓRIA onerado'!F367,2)</f>
        <v>11.82</v>
      </c>
      <c r="G82" s="180">
        <f t="shared" si="12"/>
        <v>14.47</v>
      </c>
      <c r="H82" s="180">
        <f t="shared" si="13"/>
        <v>2186.7</v>
      </c>
      <c r="I82" s="181">
        <f t="shared" si="14"/>
        <v>2676.95</v>
      </c>
      <c r="J82" s="182">
        <v>185</v>
      </c>
      <c r="K82" s="183"/>
    </row>
    <row r="83" spans="1:11" s="182" customFormat="1" ht="27">
      <c r="A83" s="175" t="s">
        <v>566</v>
      </c>
      <c r="B83" s="176" t="s">
        <v>528</v>
      </c>
      <c r="C83" s="177" t="s">
        <v>529</v>
      </c>
      <c r="D83" s="178" t="s">
        <v>61</v>
      </c>
      <c r="E83" s="179">
        <v>5</v>
      </c>
      <c r="F83" s="180">
        <f>TRUNC('MEMÓRIA onerado'!F373,2)</f>
        <v>15.47</v>
      </c>
      <c r="G83" s="180">
        <f t="shared" si="12"/>
        <v>18.94</v>
      </c>
      <c r="H83" s="180">
        <f t="shared" si="13"/>
        <v>77.35</v>
      </c>
      <c r="I83" s="181">
        <f t="shared" si="14"/>
        <v>94.7</v>
      </c>
      <c r="J83" s="182">
        <v>5</v>
      </c>
      <c r="K83" s="183"/>
    </row>
    <row r="84" spans="1:11" s="182" customFormat="1" ht="41.25">
      <c r="A84" s="175" t="s">
        <v>567</v>
      </c>
      <c r="B84" s="176" t="s">
        <v>532</v>
      </c>
      <c r="C84" s="177" t="s">
        <v>533</v>
      </c>
      <c r="D84" s="178" t="s">
        <v>61</v>
      </c>
      <c r="E84" s="179">
        <v>50</v>
      </c>
      <c r="F84" s="180">
        <f>TRUNC('MEMÓRIA onerado'!F379,2)</f>
        <v>95.81</v>
      </c>
      <c r="G84" s="180">
        <f t="shared" si="12"/>
        <v>117.33</v>
      </c>
      <c r="H84" s="180">
        <f t="shared" si="13"/>
        <v>4790.5</v>
      </c>
      <c r="I84" s="181">
        <f t="shared" si="14"/>
        <v>5866.5</v>
      </c>
      <c r="J84" s="182">
        <v>50</v>
      </c>
      <c r="K84" s="183"/>
    </row>
    <row r="85" spans="1:11" s="182" customFormat="1" ht="27">
      <c r="A85" s="175" t="s">
        <v>568</v>
      </c>
      <c r="B85" s="176" t="s">
        <v>544</v>
      </c>
      <c r="C85" s="177" t="s">
        <v>545</v>
      </c>
      <c r="D85" s="178" t="s">
        <v>68</v>
      </c>
      <c r="E85" s="179">
        <v>4</v>
      </c>
      <c r="F85" s="180">
        <f>TRUNC('MEMÓRIA onerado'!F390,2)</f>
        <v>46.72</v>
      </c>
      <c r="G85" s="180">
        <f t="shared" si="12"/>
        <v>57.21</v>
      </c>
      <c r="H85" s="180">
        <f t="shared" si="13"/>
        <v>186.88</v>
      </c>
      <c r="I85" s="181">
        <f t="shared" si="14"/>
        <v>228.84</v>
      </c>
      <c r="J85" s="182">
        <v>4</v>
      </c>
      <c r="K85" s="183"/>
    </row>
    <row r="86" spans="1:9" s="41" customFormat="1" ht="13.5">
      <c r="A86" s="106" t="s">
        <v>111</v>
      </c>
      <c r="B86" s="100"/>
      <c r="C86" s="76" t="s">
        <v>569</v>
      </c>
      <c r="D86" s="125"/>
      <c r="E86" s="77"/>
      <c r="F86" s="78"/>
      <c r="G86" s="78"/>
      <c r="H86" s="79">
        <f>H63+H64+H65+H66+H67+H68+H69+H70+H71+H72+H73+H74+H75+H76+H77+H78+H79+H80+H81+H82+H83+H84+H85</f>
        <v>45284.26999999999</v>
      </c>
      <c r="I86" s="79">
        <f>I63+I64+I65+I66+I67+I68+I69+I70+I71+I72+I73+I74+I75+I76+I77+I78+I79+I80+I81+I82+I83+I84+I85</f>
        <v>55433.97999999999</v>
      </c>
    </row>
    <row r="87" spans="1:9" ht="13.5">
      <c r="A87" s="80" t="s">
        <v>29</v>
      </c>
      <c r="B87" s="111"/>
      <c r="C87" s="91" t="s">
        <v>30</v>
      </c>
      <c r="D87" s="126"/>
      <c r="E87" s="91"/>
      <c r="F87" s="91"/>
      <c r="G87" s="91"/>
      <c r="H87" s="91"/>
      <c r="I87" s="91"/>
    </row>
    <row r="88" spans="1:11" s="182" customFormat="1" ht="27">
      <c r="A88" s="175" t="s">
        <v>52</v>
      </c>
      <c r="B88" s="176" t="s">
        <v>548</v>
      </c>
      <c r="C88" s="177" t="s">
        <v>549</v>
      </c>
      <c r="D88" s="178" t="s">
        <v>62</v>
      </c>
      <c r="E88" s="179">
        <v>278.74</v>
      </c>
      <c r="F88" s="180">
        <f>TRUNC('MEMÓRIA onerado'!F397,2)</f>
        <v>15.1</v>
      </c>
      <c r="G88" s="180">
        <f>TRUNC(F88*1.2247,2)</f>
        <v>18.49</v>
      </c>
      <c r="H88" s="180">
        <f>TRUNC(F88*E88,2)</f>
        <v>4208.97</v>
      </c>
      <c r="I88" s="181">
        <f>TRUNC(E88*G88,2)</f>
        <v>5153.9</v>
      </c>
      <c r="J88" s="182">
        <v>278.74</v>
      </c>
      <c r="K88" s="183"/>
    </row>
    <row r="89" spans="1:9" s="41" customFormat="1" ht="13.5">
      <c r="A89" s="106" t="s">
        <v>111</v>
      </c>
      <c r="B89" s="100"/>
      <c r="C89" s="76" t="s">
        <v>669</v>
      </c>
      <c r="D89" s="125"/>
      <c r="E89" s="77"/>
      <c r="F89" s="78"/>
      <c r="G89" s="78"/>
      <c r="H89" s="79">
        <f>H88</f>
        <v>4208.97</v>
      </c>
      <c r="I89" s="79">
        <f>I88</f>
        <v>5153.9</v>
      </c>
    </row>
    <row r="90" spans="1:9" s="41" customFormat="1" ht="13.5">
      <c r="A90" s="106" t="s">
        <v>111</v>
      </c>
      <c r="B90" s="100"/>
      <c r="C90" s="76" t="s">
        <v>66</v>
      </c>
      <c r="D90" s="125"/>
      <c r="E90" s="77"/>
      <c r="F90" s="78"/>
      <c r="G90" s="78"/>
      <c r="H90" s="79">
        <f>H89+H86+H61+H49+H41+H29+H25+H22</f>
        <v>136146.74000000002</v>
      </c>
      <c r="I90" s="79">
        <f>I89+I86+I61+I49+I41+I29+I25+I22</f>
        <v>166703.68</v>
      </c>
    </row>
  </sheetData>
  <sheetProtection/>
  <mergeCells count="9">
    <mergeCell ref="C14:I14"/>
    <mergeCell ref="A1:F1"/>
    <mergeCell ref="A2:F2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portrait" paperSize="9" scale="45" r:id="rId2"/>
  <headerFooter alignWithMargins="0">
    <oddFooter>&amp;C&amp;A&amp;RPágina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BreakPreview" zoomScale="75" zoomScaleNormal="75" zoomScaleSheetLayoutView="75" zoomScalePageLayoutView="0" workbookViewId="0" topLeftCell="A1">
      <selection activeCell="B18" sqref="B18"/>
    </sheetView>
  </sheetViews>
  <sheetFormatPr defaultColWidth="9.140625" defaultRowHeight="12.75"/>
  <cols>
    <col min="2" max="2" width="62.140625" style="0" bestFit="1" customWidth="1"/>
    <col min="3" max="3" width="12.7109375" style="0" bestFit="1" customWidth="1"/>
    <col min="4" max="4" width="10.57421875" style="0" bestFit="1" customWidth="1"/>
    <col min="5" max="5" width="11.421875" style="0" bestFit="1" customWidth="1"/>
    <col min="6" max="6" width="10.57421875" style="0" bestFit="1" customWidth="1"/>
    <col min="7" max="7" width="11.421875" style="0" bestFit="1" customWidth="1"/>
    <col min="8" max="8" width="10.57421875" style="0" bestFit="1" customWidth="1"/>
    <col min="9" max="9" width="15.7109375" style="0" bestFit="1" customWidth="1"/>
    <col min="10" max="10" width="14.8515625" style="0" bestFit="1" customWidth="1"/>
    <col min="11" max="11" width="11.7109375" style="0" bestFit="1" customWidth="1"/>
    <col min="12" max="12" width="14.57421875" style="0" bestFit="1" customWidth="1"/>
    <col min="13" max="13" width="11.57421875" style="0" bestFit="1" customWidth="1"/>
  </cols>
  <sheetData>
    <row r="1" spans="1:10" ht="23.25">
      <c r="A1" s="30"/>
      <c r="B1" s="31"/>
      <c r="C1" s="22"/>
      <c r="D1" s="22"/>
      <c r="E1" s="22"/>
      <c r="F1" s="22"/>
      <c r="G1" s="22"/>
      <c r="H1" s="22"/>
      <c r="I1" s="23"/>
      <c r="J1" s="151"/>
    </row>
    <row r="2" spans="1:9" ht="20.25">
      <c r="A2" s="32"/>
      <c r="B2" s="24"/>
      <c r="C2" s="24"/>
      <c r="D2" s="24"/>
      <c r="E2" s="24"/>
      <c r="F2" s="24"/>
      <c r="G2" s="24"/>
      <c r="H2" s="24"/>
      <c r="I2" s="21"/>
    </row>
    <row r="3" spans="1:9" ht="18">
      <c r="A3" s="152"/>
      <c r="B3" s="26"/>
      <c r="C3" s="26"/>
      <c r="D3" s="26"/>
      <c r="E3" s="26"/>
      <c r="F3" s="26"/>
      <c r="G3" s="26"/>
      <c r="H3" s="26"/>
      <c r="I3" s="13"/>
    </row>
    <row r="4" spans="1:9" ht="15">
      <c r="A4" s="152"/>
      <c r="B4" s="2"/>
      <c r="C4" s="2"/>
      <c r="D4" s="2"/>
      <c r="E4" s="2"/>
      <c r="F4" s="2"/>
      <c r="G4" s="2"/>
      <c r="H4" s="2"/>
      <c r="I4" s="5"/>
    </row>
    <row r="5" spans="1:9" ht="15">
      <c r="A5" s="152"/>
      <c r="B5" s="6"/>
      <c r="C5" s="6"/>
      <c r="D5" s="6"/>
      <c r="E5" s="6"/>
      <c r="F5" s="6"/>
      <c r="G5" s="6"/>
      <c r="H5" s="6"/>
      <c r="I5" s="5"/>
    </row>
    <row r="6" spans="1:9" ht="15">
      <c r="A6" s="19"/>
      <c r="B6" s="20"/>
      <c r="C6" s="20"/>
      <c r="D6" s="20"/>
      <c r="E6" s="20"/>
      <c r="F6" s="20"/>
      <c r="G6" s="20"/>
      <c r="H6" s="20"/>
      <c r="I6" s="5"/>
    </row>
    <row r="7" spans="1:9" ht="15">
      <c r="A7" s="25" t="s">
        <v>3</v>
      </c>
      <c r="B7" s="27"/>
      <c r="C7" s="27"/>
      <c r="D7" s="27"/>
      <c r="E7" s="27"/>
      <c r="F7" s="27"/>
      <c r="G7" s="27"/>
      <c r="H7" s="27"/>
      <c r="I7" s="5"/>
    </row>
    <row r="8" spans="1:9" ht="15">
      <c r="A8" s="43" t="s">
        <v>670</v>
      </c>
      <c r="B8" s="3"/>
      <c r="C8" s="3"/>
      <c r="D8" s="3"/>
      <c r="E8" s="3"/>
      <c r="F8" s="3"/>
      <c r="G8" s="3"/>
      <c r="H8" s="3"/>
      <c r="I8" s="6"/>
    </row>
    <row r="9" spans="1:9" ht="15">
      <c r="A9" s="43" t="s">
        <v>671</v>
      </c>
      <c r="B9" s="172"/>
      <c r="C9" s="172"/>
      <c r="D9" s="172"/>
      <c r="E9" s="172"/>
      <c r="F9" s="172"/>
      <c r="G9" s="172"/>
      <c r="H9" s="172"/>
      <c r="I9" s="6"/>
    </row>
    <row r="10" spans="1:9" ht="15">
      <c r="A10" s="43" t="s">
        <v>676</v>
      </c>
      <c r="B10" s="172"/>
      <c r="C10" s="172"/>
      <c r="D10" s="172"/>
      <c r="E10" s="28"/>
      <c r="F10" s="28"/>
      <c r="G10" s="28"/>
      <c r="H10" s="28"/>
      <c r="I10" s="5"/>
    </row>
    <row r="11" spans="1:29" ht="15">
      <c r="A11" s="216" t="s">
        <v>59</v>
      </c>
      <c r="B11" s="216" t="s">
        <v>51</v>
      </c>
      <c r="C11" s="227" t="s">
        <v>22</v>
      </c>
      <c r="D11" s="228"/>
      <c r="E11" s="229" t="s">
        <v>7</v>
      </c>
      <c r="F11" s="230"/>
      <c r="G11" s="229" t="s">
        <v>8</v>
      </c>
      <c r="H11" s="230"/>
      <c r="I11" s="216" t="s">
        <v>70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5">
      <c r="A12" s="216"/>
      <c r="B12" s="216"/>
      <c r="C12" s="15" t="s">
        <v>49</v>
      </c>
      <c r="D12" s="173" t="s">
        <v>48</v>
      </c>
      <c r="E12" s="14" t="s">
        <v>49</v>
      </c>
      <c r="F12" s="14" t="s">
        <v>48</v>
      </c>
      <c r="G12" s="14" t="s">
        <v>49</v>
      </c>
      <c r="H12" s="14" t="s">
        <v>48</v>
      </c>
      <c r="I12" s="216"/>
      <c r="J12" s="4"/>
      <c r="K12" s="4"/>
      <c r="L12" s="12"/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5">
      <c r="A13" s="10" t="s">
        <v>71</v>
      </c>
      <c r="B13" s="200" t="s">
        <v>72</v>
      </c>
      <c r="C13" s="9">
        <f aca="true" t="shared" si="0" ref="C13:C20">D13*I13</f>
        <v>3288.6545999999994</v>
      </c>
      <c r="D13" s="206">
        <v>0.33</v>
      </c>
      <c r="E13" s="9">
        <f aca="true" t="shared" si="1" ref="E13:E20">F13*I13</f>
        <v>3288.6545999999994</v>
      </c>
      <c r="F13" s="163">
        <v>0.33</v>
      </c>
      <c r="G13" s="9">
        <f aca="true" t="shared" si="2" ref="G13:G20">H13*I13</f>
        <v>3388.3107999999993</v>
      </c>
      <c r="H13" s="163">
        <v>0.34</v>
      </c>
      <c r="I13" s="16">
        <v>9965.619999999997</v>
      </c>
      <c r="J13" s="7"/>
      <c r="K13" s="8"/>
      <c r="L13" s="8"/>
      <c r="M13" s="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5">
      <c r="A14" s="11" t="s">
        <v>74</v>
      </c>
      <c r="B14" s="201" t="s">
        <v>224</v>
      </c>
      <c r="C14" s="9">
        <f t="shared" si="0"/>
        <v>2141.36</v>
      </c>
      <c r="D14" s="206">
        <v>1</v>
      </c>
      <c r="E14" s="9">
        <f t="shared" si="1"/>
        <v>0</v>
      </c>
      <c r="F14" s="163">
        <v>0</v>
      </c>
      <c r="G14" s="9">
        <f t="shared" si="2"/>
        <v>0</v>
      </c>
      <c r="H14" s="163">
        <v>0</v>
      </c>
      <c r="I14" s="16">
        <v>2141.36</v>
      </c>
      <c r="J14" s="7"/>
      <c r="K14" s="8"/>
      <c r="L14" s="8"/>
      <c r="M14" s="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">
      <c r="A15" s="11" t="s">
        <v>76</v>
      </c>
      <c r="B15" s="202" t="s">
        <v>233</v>
      </c>
      <c r="C15" s="9">
        <f t="shared" si="0"/>
        <v>11784.410000000002</v>
      </c>
      <c r="D15" s="206">
        <v>0.5</v>
      </c>
      <c r="E15" s="9">
        <f t="shared" si="1"/>
        <v>11784.410000000002</v>
      </c>
      <c r="F15" s="163">
        <v>0.5</v>
      </c>
      <c r="G15" s="9">
        <f t="shared" si="2"/>
        <v>0</v>
      </c>
      <c r="H15" s="163">
        <v>0</v>
      </c>
      <c r="I15" s="16">
        <v>23568.820000000003</v>
      </c>
      <c r="J15" s="7"/>
      <c r="K15" s="8"/>
      <c r="L15" s="8"/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">
      <c r="A16" s="11" t="s">
        <v>78</v>
      </c>
      <c r="B16" s="202" t="s">
        <v>1</v>
      </c>
      <c r="C16" s="9">
        <f t="shared" si="0"/>
        <v>0</v>
      </c>
      <c r="D16" s="206">
        <v>0</v>
      </c>
      <c r="E16" s="9">
        <f t="shared" si="1"/>
        <v>6579.434000000001</v>
      </c>
      <c r="F16" s="163">
        <v>0.2</v>
      </c>
      <c r="G16" s="9">
        <f t="shared" si="2"/>
        <v>26317.736000000004</v>
      </c>
      <c r="H16" s="163">
        <v>0.8</v>
      </c>
      <c r="I16" s="16">
        <v>32897.170000000006</v>
      </c>
      <c r="J16" s="7"/>
      <c r="K16" s="8"/>
      <c r="L16" s="8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">
      <c r="A17" s="11" t="s">
        <v>20</v>
      </c>
      <c r="B17" s="203" t="s">
        <v>678</v>
      </c>
      <c r="C17" s="9">
        <f t="shared" si="0"/>
        <v>0</v>
      </c>
      <c r="D17" s="206">
        <v>0</v>
      </c>
      <c r="E17" s="9">
        <f t="shared" si="1"/>
        <v>34142.259999999995</v>
      </c>
      <c r="F17" s="163">
        <v>1</v>
      </c>
      <c r="G17" s="9">
        <f t="shared" si="2"/>
        <v>0</v>
      </c>
      <c r="H17" s="163">
        <v>0</v>
      </c>
      <c r="I17" s="16">
        <v>34142.259999999995</v>
      </c>
      <c r="J17" s="7"/>
      <c r="K17" s="8"/>
      <c r="L17" s="8"/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">
      <c r="A18" s="11" t="s">
        <v>21</v>
      </c>
      <c r="B18" s="204" t="s">
        <v>679</v>
      </c>
      <c r="C18" s="9">
        <f t="shared" si="0"/>
        <v>3400.57</v>
      </c>
      <c r="D18" s="206">
        <v>1</v>
      </c>
      <c r="E18" s="9">
        <f t="shared" si="1"/>
        <v>0</v>
      </c>
      <c r="F18" s="163">
        <v>0</v>
      </c>
      <c r="G18" s="9">
        <f t="shared" si="2"/>
        <v>0</v>
      </c>
      <c r="H18" s="163">
        <v>0</v>
      </c>
      <c r="I18" s="16">
        <v>3400.57</v>
      </c>
      <c r="J18" s="7"/>
      <c r="K18" s="8"/>
      <c r="L18" s="8"/>
      <c r="M18" s="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5">
      <c r="A19" s="11" t="s">
        <v>54</v>
      </c>
      <c r="B19" s="204" t="s">
        <v>421</v>
      </c>
      <c r="C19" s="9">
        <f t="shared" si="0"/>
        <v>0</v>
      </c>
      <c r="D19" s="206">
        <v>0</v>
      </c>
      <c r="E19" s="9">
        <f t="shared" si="1"/>
        <v>16630.193999999996</v>
      </c>
      <c r="F19" s="163">
        <v>0.3</v>
      </c>
      <c r="G19" s="9">
        <f t="shared" si="2"/>
        <v>38803.78599999999</v>
      </c>
      <c r="H19" s="163">
        <v>0.7</v>
      </c>
      <c r="I19" s="16">
        <v>55433.97999999999</v>
      </c>
      <c r="J19" s="7"/>
      <c r="K19" s="8"/>
      <c r="L19" s="8"/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5">
      <c r="A20" s="11" t="s">
        <v>29</v>
      </c>
      <c r="B20" s="205" t="s">
        <v>30</v>
      </c>
      <c r="C20" s="9">
        <f t="shared" si="0"/>
        <v>0</v>
      </c>
      <c r="D20" s="206">
        <v>0</v>
      </c>
      <c r="E20" s="9">
        <f t="shared" si="1"/>
        <v>0</v>
      </c>
      <c r="F20" s="163">
        <v>0</v>
      </c>
      <c r="G20" s="9">
        <f t="shared" si="2"/>
        <v>5153.9</v>
      </c>
      <c r="H20" s="163">
        <v>1</v>
      </c>
      <c r="I20" s="16">
        <v>5153.9</v>
      </c>
      <c r="J20" s="7"/>
      <c r="K20" s="8"/>
      <c r="L20" s="8"/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5">
      <c r="A21" s="17"/>
      <c r="B21" s="18"/>
      <c r="C21" s="18"/>
      <c r="D21" s="18"/>
      <c r="E21" s="18"/>
      <c r="F21" s="18"/>
      <c r="G21" s="18"/>
      <c r="H21" s="18"/>
      <c r="I21" s="16">
        <f>SUM(I13:I20)</f>
        <v>166703.68</v>
      </c>
      <c r="J21" s="29"/>
      <c r="K21" s="8"/>
      <c r="L21" s="8"/>
      <c r="M21" s="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5">
      <c r="A22" s="231" t="s">
        <v>45</v>
      </c>
      <c r="B22" s="231"/>
      <c r="C22" s="219">
        <f>SUM(C13:C20)</f>
        <v>20614.9946</v>
      </c>
      <c r="D22" s="220"/>
      <c r="E22" s="219">
        <f>SUM(E13:E20)</f>
        <v>72424.95259999999</v>
      </c>
      <c r="F22" s="220"/>
      <c r="G22" s="219">
        <f>SUM(G13:G20)</f>
        <v>73663.7328</v>
      </c>
      <c r="H22" s="220"/>
      <c r="I22" s="16">
        <f>SUM(C22:H22)</f>
        <v>166703.68</v>
      </c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">
      <c r="A23" s="224" t="s">
        <v>37</v>
      </c>
      <c r="B23" s="224"/>
      <c r="C23" s="225">
        <f>C22</f>
        <v>20614.9946</v>
      </c>
      <c r="D23" s="226"/>
      <c r="E23" s="225">
        <f>C23+E22</f>
        <v>93039.9472</v>
      </c>
      <c r="F23" s="226"/>
      <c r="G23" s="225">
        <f>E23+G22</f>
        <v>166703.68</v>
      </c>
      <c r="H23" s="226"/>
      <c r="I23" s="16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>
      <c r="A24" s="223" t="s">
        <v>38</v>
      </c>
      <c r="B24" s="223"/>
      <c r="C24" s="221">
        <f>C22/I21</f>
        <v>0.12366250463097157</v>
      </c>
      <c r="D24" s="222"/>
      <c r="E24" s="221">
        <f>E22/I21</f>
        <v>0.43445323222618715</v>
      </c>
      <c r="F24" s="222"/>
      <c r="G24" s="221">
        <f>G22/I21</f>
        <v>0.44188426314284124</v>
      </c>
      <c r="H24" s="222"/>
      <c r="I24" s="2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>
      <c r="A25" s="223" t="s">
        <v>39</v>
      </c>
      <c r="B25" s="223"/>
      <c r="C25" s="221">
        <f>C24</f>
        <v>0.12366250463097157</v>
      </c>
      <c r="D25" s="222"/>
      <c r="E25" s="221">
        <f>C25+E24</f>
        <v>0.5581157368571588</v>
      </c>
      <c r="F25" s="222"/>
      <c r="G25" s="221">
        <f>E25+G24</f>
        <v>1</v>
      </c>
      <c r="H25" s="222"/>
      <c r="I25" s="21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ht="12.75">
      <c r="I26" s="1"/>
    </row>
  </sheetData>
  <sheetProtection/>
  <mergeCells count="23">
    <mergeCell ref="A11:A12"/>
    <mergeCell ref="B11:B12"/>
    <mergeCell ref="C11:D11"/>
    <mergeCell ref="G11:H11"/>
    <mergeCell ref="G22:H22"/>
    <mergeCell ref="E23:F23"/>
    <mergeCell ref="E11:F11"/>
    <mergeCell ref="A22:B22"/>
    <mergeCell ref="C23:D23"/>
    <mergeCell ref="A25:B25"/>
    <mergeCell ref="A23:B23"/>
    <mergeCell ref="A24:B24"/>
    <mergeCell ref="G23:H23"/>
    <mergeCell ref="G24:H24"/>
    <mergeCell ref="G25:H25"/>
    <mergeCell ref="E24:F24"/>
    <mergeCell ref="E25:F25"/>
    <mergeCell ref="I11:I12"/>
    <mergeCell ref="I24:I25"/>
    <mergeCell ref="C22:D22"/>
    <mergeCell ref="C25:D25"/>
    <mergeCell ref="C24:D24"/>
    <mergeCell ref="E22:F22"/>
  </mergeCells>
  <printOptions horizontalCentered="1" verticalCentered="1"/>
  <pageMargins left="0.3937007874015748" right="0.1968503937007874" top="0.1968503937007874" bottom="0.3937007874015748" header="0" footer="0.11811023622047245"/>
  <pageSetup horizontalDpi="300" verticalDpi="300" orientation="landscape" paperSize="9" scale="65" r:id="rId2"/>
  <headerFooter alignWithMargins="0">
    <oddFooter>&amp;C&amp;A&amp;RPágina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1"/>
  <sheetViews>
    <sheetView view="pageBreakPreview" zoomScale="80" zoomScaleNormal="75" zoomScaleSheetLayoutView="80" zoomScalePageLayoutView="0" workbookViewId="0" topLeftCell="A391">
      <selection activeCell="B282" sqref="B282"/>
    </sheetView>
  </sheetViews>
  <sheetFormatPr defaultColWidth="9.140625" defaultRowHeight="12.75"/>
  <cols>
    <col min="1" max="1" width="6.8515625" style="116" customWidth="1"/>
    <col min="2" max="2" width="20.140625" style="115" bestFit="1" customWidth="1"/>
    <col min="3" max="3" width="94.7109375" style="96" customWidth="1"/>
    <col min="4" max="4" width="10.7109375" style="128" customWidth="1"/>
    <col min="5" max="5" width="14.8515625" style="96" customWidth="1"/>
    <col min="6" max="6" width="12.7109375" style="96" bestFit="1" customWidth="1"/>
    <col min="7" max="7" width="12.140625" style="96" bestFit="1" customWidth="1"/>
    <col min="8" max="8" width="14.8515625" style="96" bestFit="1" customWidth="1"/>
    <col min="9" max="9" width="19.00390625" style="97" customWidth="1"/>
    <col min="10" max="10" width="14.28125" style="34" bestFit="1" customWidth="1"/>
    <col min="11" max="11" width="10.28125" style="34" bestFit="1" customWidth="1"/>
    <col min="12" max="12" width="45.7109375" style="34" customWidth="1"/>
    <col min="13" max="16384" width="9.140625" style="34" customWidth="1"/>
  </cols>
  <sheetData>
    <row r="1" spans="1:9" ht="15">
      <c r="A1" s="208"/>
      <c r="B1" s="209"/>
      <c r="C1" s="209"/>
      <c r="D1" s="209"/>
      <c r="E1" s="209"/>
      <c r="F1" s="209"/>
      <c r="G1" s="144"/>
      <c r="H1" s="144"/>
      <c r="I1" s="33"/>
    </row>
    <row r="2" spans="1:9" ht="15">
      <c r="A2" s="210"/>
      <c r="B2" s="211"/>
      <c r="C2" s="211"/>
      <c r="D2" s="211"/>
      <c r="E2" s="211"/>
      <c r="F2" s="211"/>
      <c r="G2" s="145"/>
      <c r="H2" s="145"/>
      <c r="I2" s="35"/>
    </row>
    <row r="3" spans="1:9" ht="15">
      <c r="A3" s="198"/>
      <c r="B3" s="199"/>
      <c r="C3" s="199"/>
      <c r="D3" s="153" t="s">
        <v>118</v>
      </c>
      <c r="E3" s="38"/>
      <c r="F3" s="37"/>
      <c r="G3" s="37"/>
      <c r="H3" s="37"/>
      <c r="I3" s="33"/>
    </row>
    <row r="4" spans="1:9" ht="14.25">
      <c r="A4" s="103"/>
      <c r="B4" s="107"/>
      <c r="C4" s="41"/>
      <c r="D4" s="129" t="s">
        <v>141</v>
      </c>
      <c r="E4" s="39"/>
      <c r="F4" s="40">
        <v>44698</v>
      </c>
      <c r="G4" s="40"/>
      <c r="H4" s="40"/>
      <c r="I4" s="35"/>
    </row>
    <row r="5" spans="2:9" ht="15">
      <c r="B5" s="112"/>
      <c r="C5" s="35"/>
      <c r="D5" s="130" t="s">
        <v>4</v>
      </c>
      <c r="E5" s="39"/>
      <c r="F5" s="42" t="s">
        <v>673</v>
      </c>
      <c r="G5" s="42"/>
      <c r="H5" s="42"/>
      <c r="I5" s="35"/>
    </row>
    <row r="6" spans="1:9" ht="14.25">
      <c r="A6" s="117" t="s">
        <v>86</v>
      </c>
      <c r="B6" s="107"/>
      <c r="C6" s="35"/>
      <c r="D6" s="130" t="s">
        <v>5</v>
      </c>
      <c r="E6" s="39"/>
      <c r="F6" s="42" t="s">
        <v>673</v>
      </c>
      <c r="G6" s="42"/>
      <c r="H6" s="42"/>
      <c r="I6" s="35"/>
    </row>
    <row r="7" spans="2:9" ht="15">
      <c r="B7" s="112"/>
      <c r="C7" s="35"/>
      <c r="D7" s="130" t="s">
        <v>6</v>
      </c>
      <c r="E7" s="39"/>
      <c r="F7" s="42" t="s">
        <v>674</v>
      </c>
      <c r="G7" s="42"/>
      <c r="H7" s="42"/>
      <c r="I7" s="35"/>
    </row>
    <row r="8" spans="1:9" ht="13.5">
      <c r="A8" s="43" t="s">
        <v>670</v>
      </c>
      <c r="B8" s="107"/>
      <c r="C8" s="35"/>
      <c r="D8" s="130" t="s">
        <v>675</v>
      </c>
      <c r="E8" s="39"/>
      <c r="F8" s="42" t="s">
        <v>116</v>
      </c>
      <c r="G8" s="42"/>
      <c r="H8" s="42"/>
      <c r="I8" s="35"/>
    </row>
    <row r="9" spans="1:9" ht="13.5">
      <c r="A9" s="43" t="s">
        <v>671</v>
      </c>
      <c r="B9" s="107"/>
      <c r="C9" s="35"/>
      <c r="D9" s="131" t="s">
        <v>46</v>
      </c>
      <c r="E9" s="45"/>
      <c r="F9" s="44" t="s">
        <v>117</v>
      </c>
      <c r="G9" s="44"/>
      <c r="H9" s="44"/>
      <c r="I9" s="36"/>
    </row>
    <row r="10" spans="1:9" ht="13.5">
      <c r="A10" s="43" t="s">
        <v>672</v>
      </c>
      <c r="B10" s="107"/>
      <c r="C10" s="41"/>
      <c r="D10" s="164"/>
      <c r="E10" s="38"/>
      <c r="F10" s="37"/>
      <c r="G10" s="37"/>
      <c r="H10" s="37"/>
      <c r="I10" s="33"/>
    </row>
    <row r="11" spans="1:9" s="4" customFormat="1" ht="15">
      <c r="A11" s="165"/>
      <c r="B11" s="166"/>
      <c r="C11" s="167" t="s">
        <v>163</v>
      </c>
      <c r="D11" s="168"/>
      <c r="E11" s="169"/>
      <c r="F11" s="170"/>
      <c r="G11" s="170"/>
      <c r="H11" s="170"/>
      <c r="I11" s="171"/>
    </row>
    <row r="12" spans="1:9" ht="12.75" customHeight="1">
      <c r="A12" s="212" t="s">
        <v>59</v>
      </c>
      <c r="B12" s="213" t="s">
        <v>60</v>
      </c>
      <c r="C12" s="213" t="s">
        <v>67</v>
      </c>
      <c r="D12" s="212" t="s">
        <v>68</v>
      </c>
      <c r="E12" s="214" t="s">
        <v>69</v>
      </c>
      <c r="F12" s="215" t="s">
        <v>47</v>
      </c>
      <c r="G12" s="215"/>
      <c r="H12" s="215"/>
      <c r="I12" s="215"/>
    </row>
    <row r="13" spans="1:9" ht="12.75" customHeight="1">
      <c r="A13" s="212"/>
      <c r="B13" s="213"/>
      <c r="C13" s="213"/>
      <c r="D13" s="212"/>
      <c r="E13" s="214"/>
      <c r="F13" s="47" t="s">
        <v>112</v>
      </c>
      <c r="G13" s="47" t="s">
        <v>113</v>
      </c>
      <c r="H13" s="47" t="s">
        <v>114</v>
      </c>
      <c r="I13" s="46" t="s">
        <v>115</v>
      </c>
    </row>
    <row r="14" spans="1:9" ht="14.25" customHeight="1">
      <c r="A14" s="118" t="s">
        <v>111</v>
      </c>
      <c r="B14" s="109"/>
      <c r="C14" s="207" t="s">
        <v>72</v>
      </c>
      <c r="D14" s="207"/>
      <c r="E14" s="207"/>
      <c r="F14" s="207"/>
      <c r="G14" s="207"/>
      <c r="H14" s="207"/>
      <c r="I14" s="207"/>
    </row>
    <row r="15" spans="1:11" s="195" customFormat="1" ht="41.25">
      <c r="A15" s="188" t="s">
        <v>12</v>
      </c>
      <c r="B15" s="189" t="s">
        <v>96</v>
      </c>
      <c r="C15" s="190" t="s">
        <v>189</v>
      </c>
      <c r="D15" s="191" t="s">
        <v>62</v>
      </c>
      <c r="E15" s="192">
        <v>8</v>
      </c>
      <c r="F15" s="193">
        <f>TRUNC(G21,2)</f>
        <v>200.27</v>
      </c>
      <c r="G15" s="193">
        <f>TRUNC(F15*1.2882,2)</f>
        <v>257.98</v>
      </c>
      <c r="H15" s="193">
        <f>TRUNC(F15*E15,2)</f>
        <v>1602.16</v>
      </c>
      <c r="I15" s="194">
        <f>TRUNC(E15*G15,2)</f>
        <v>2063.84</v>
      </c>
      <c r="K15" s="196"/>
    </row>
    <row r="16" spans="1:11" s="98" customFormat="1" ht="27">
      <c r="A16" s="158"/>
      <c r="B16" s="86" t="s">
        <v>88</v>
      </c>
      <c r="C16" s="52" t="s">
        <v>87</v>
      </c>
      <c r="D16" s="160" t="s">
        <v>62</v>
      </c>
      <c r="E16" s="53">
        <v>1</v>
      </c>
      <c r="F16" s="54">
        <f>TRUNC(61.36,2)</f>
        <v>61.36</v>
      </c>
      <c r="G16" s="54">
        <f>TRUNC(E16*F16,2)</f>
        <v>61.36</v>
      </c>
      <c r="H16" s="54"/>
      <c r="I16" s="55"/>
      <c r="K16" s="70"/>
    </row>
    <row r="17" spans="1:11" s="98" customFormat="1" ht="27">
      <c r="A17" s="158"/>
      <c r="B17" s="86" t="s">
        <v>64</v>
      </c>
      <c r="C17" s="52" t="s">
        <v>166</v>
      </c>
      <c r="D17" s="160" t="s">
        <v>85</v>
      </c>
      <c r="E17" s="53">
        <v>0.3</v>
      </c>
      <c r="F17" s="54">
        <f>TRUNC(18.8,2)</f>
        <v>18.8</v>
      </c>
      <c r="G17" s="54">
        <f>TRUNC(E17*F17,2)</f>
        <v>5.64</v>
      </c>
      <c r="H17" s="54"/>
      <c r="I17" s="55"/>
      <c r="K17" s="70"/>
    </row>
    <row r="18" spans="1:11" s="98" customFormat="1" ht="13.5">
      <c r="A18" s="158"/>
      <c r="B18" s="86" t="s">
        <v>63</v>
      </c>
      <c r="C18" s="52" t="s">
        <v>119</v>
      </c>
      <c r="D18" s="160" t="s">
        <v>61</v>
      </c>
      <c r="E18" s="53">
        <v>9.2</v>
      </c>
      <c r="F18" s="54">
        <f>TRUNC(6.5,2)</f>
        <v>6.5</v>
      </c>
      <c r="G18" s="54">
        <f>TRUNC(E18*F18,2)</f>
        <v>59.8</v>
      </c>
      <c r="H18" s="54"/>
      <c r="I18" s="55"/>
      <c r="K18" s="70"/>
    </row>
    <row r="19" spans="1:11" s="98" customFormat="1" ht="27">
      <c r="A19" s="158"/>
      <c r="B19" s="86" t="s">
        <v>97</v>
      </c>
      <c r="C19" s="52" t="s">
        <v>98</v>
      </c>
      <c r="D19" s="160" t="s">
        <v>27</v>
      </c>
      <c r="E19" s="53">
        <v>2.06</v>
      </c>
      <c r="F19" s="54">
        <f>TRUNC(14.34,2)</f>
        <v>14.34</v>
      </c>
      <c r="G19" s="54">
        <f>TRUNC(E19*F19,2)</f>
        <v>29.54</v>
      </c>
      <c r="H19" s="54"/>
      <c r="I19" s="55"/>
      <c r="K19" s="70"/>
    </row>
    <row r="20" spans="1:11" s="98" customFormat="1" ht="27">
      <c r="A20" s="158"/>
      <c r="B20" s="86" t="s">
        <v>99</v>
      </c>
      <c r="C20" s="52" t="s">
        <v>100</v>
      </c>
      <c r="D20" s="160" t="s">
        <v>27</v>
      </c>
      <c r="E20" s="53">
        <v>2.06</v>
      </c>
      <c r="F20" s="54">
        <f>TRUNC(21.33,2)</f>
        <v>21.33</v>
      </c>
      <c r="G20" s="54">
        <f>TRUNC(E20*F20,2)</f>
        <v>43.93</v>
      </c>
      <c r="H20" s="54"/>
      <c r="I20" s="55"/>
      <c r="K20" s="70"/>
    </row>
    <row r="21" spans="1:11" s="98" customFormat="1" ht="13.5">
      <c r="A21" s="158"/>
      <c r="B21" s="86"/>
      <c r="C21" s="52"/>
      <c r="D21" s="160"/>
      <c r="E21" s="53" t="s">
        <v>70</v>
      </c>
      <c r="F21" s="54"/>
      <c r="G21" s="54">
        <f>TRUNC(SUM(G16:G20),2)</f>
        <v>200.27</v>
      </c>
      <c r="H21" s="54"/>
      <c r="I21" s="55"/>
      <c r="K21" s="70"/>
    </row>
    <row r="22" spans="1:11" s="195" customFormat="1" ht="41.25">
      <c r="A22" s="188" t="s">
        <v>13</v>
      </c>
      <c r="B22" s="189" t="s">
        <v>168</v>
      </c>
      <c r="C22" s="190" t="s">
        <v>190</v>
      </c>
      <c r="D22" s="191" t="s">
        <v>62</v>
      </c>
      <c r="E22" s="192">
        <v>9</v>
      </c>
      <c r="F22" s="193">
        <f>TRUNC(G40,2)</f>
        <v>408.73</v>
      </c>
      <c r="G22" s="193">
        <f>TRUNC(F22*1.2882,2)</f>
        <v>526.52</v>
      </c>
      <c r="H22" s="193">
        <f>TRUNC(F22*E22,2)</f>
        <v>3678.57</v>
      </c>
      <c r="I22" s="194">
        <f>TRUNC(E22*G22,2)</f>
        <v>4738.68</v>
      </c>
      <c r="K22" s="196"/>
    </row>
    <row r="23" spans="1:11" s="98" customFormat="1" ht="27">
      <c r="A23" s="158"/>
      <c r="B23" s="86" t="s">
        <v>169</v>
      </c>
      <c r="C23" s="52" t="s">
        <v>170</v>
      </c>
      <c r="D23" s="160" t="s">
        <v>68</v>
      </c>
      <c r="E23" s="53">
        <v>0.06</v>
      </c>
      <c r="F23" s="54">
        <f>TRUNC(10.36,2)</f>
        <v>10.36</v>
      </c>
      <c r="G23" s="54">
        <f aca="true" t="shared" si="0" ref="G23:G39">TRUNC(E23*F23,2)</f>
        <v>0.62</v>
      </c>
      <c r="H23" s="54"/>
      <c r="I23" s="55"/>
      <c r="K23" s="70"/>
    </row>
    <row r="24" spans="1:11" s="98" customFormat="1" ht="13.5">
      <c r="A24" s="158"/>
      <c r="B24" s="86" t="s">
        <v>63</v>
      </c>
      <c r="C24" s="52" t="s">
        <v>119</v>
      </c>
      <c r="D24" s="160" t="s">
        <v>61</v>
      </c>
      <c r="E24" s="53">
        <v>2</v>
      </c>
      <c r="F24" s="54">
        <f>TRUNC(6.5,2)</f>
        <v>6.5</v>
      </c>
      <c r="G24" s="54">
        <f t="shared" si="0"/>
        <v>13</v>
      </c>
      <c r="H24" s="54"/>
      <c r="I24" s="55"/>
      <c r="K24" s="70"/>
    </row>
    <row r="25" spans="1:11" s="98" customFormat="1" ht="27">
      <c r="A25" s="158"/>
      <c r="B25" s="86" t="s">
        <v>64</v>
      </c>
      <c r="C25" s="52" t="s">
        <v>166</v>
      </c>
      <c r="D25" s="160" t="s">
        <v>85</v>
      </c>
      <c r="E25" s="53">
        <v>0.12</v>
      </c>
      <c r="F25" s="54">
        <f>TRUNC(18.8,2)</f>
        <v>18.8</v>
      </c>
      <c r="G25" s="54">
        <f t="shared" si="0"/>
        <v>2.25</v>
      </c>
      <c r="H25" s="54"/>
      <c r="I25" s="55"/>
      <c r="K25" s="70"/>
    </row>
    <row r="26" spans="1:11" s="98" customFormat="1" ht="13.5">
      <c r="A26" s="158"/>
      <c r="B26" s="86" t="s">
        <v>171</v>
      </c>
      <c r="C26" s="52" t="s">
        <v>172</v>
      </c>
      <c r="D26" s="160" t="s">
        <v>68</v>
      </c>
      <c r="E26" s="53">
        <v>0.17170000000000002</v>
      </c>
      <c r="F26" s="54">
        <f>TRUNC(2.12,2)</f>
        <v>2.12</v>
      </c>
      <c r="G26" s="54">
        <f t="shared" si="0"/>
        <v>0.36</v>
      </c>
      <c r="H26" s="54"/>
      <c r="I26" s="55"/>
      <c r="K26" s="70"/>
    </row>
    <row r="27" spans="1:11" s="98" customFormat="1" ht="13.5">
      <c r="A27" s="158"/>
      <c r="B27" s="86" t="s">
        <v>173</v>
      </c>
      <c r="C27" s="52" t="s">
        <v>174</v>
      </c>
      <c r="D27" s="160" t="s">
        <v>62</v>
      </c>
      <c r="E27" s="53">
        <v>0.06</v>
      </c>
      <c r="F27" s="54">
        <f>TRUNC(70.452,2)</f>
        <v>70.45</v>
      </c>
      <c r="G27" s="54">
        <f t="shared" si="0"/>
        <v>4.22</v>
      </c>
      <c r="H27" s="54"/>
      <c r="I27" s="55"/>
      <c r="K27" s="70"/>
    </row>
    <row r="28" spans="1:11" s="98" customFormat="1" ht="13.5">
      <c r="A28" s="158"/>
      <c r="B28" s="86" t="s">
        <v>175</v>
      </c>
      <c r="C28" s="52" t="s">
        <v>191</v>
      </c>
      <c r="D28" s="160" t="s">
        <v>68</v>
      </c>
      <c r="E28" s="53">
        <v>0.0808</v>
      </c>
      <c r="F28" s="54">
        <f>TRUNC(7.31,2)</f>
        <v>7.31</v>
      </c>
      <c r="G28" s="54">
        <f t="shared" si="0"/>
        <v>0.59</v>
      </c>
      <c r="H28" s="54"/>
      <c r="I28" s="55"/>
      <c r="K28" s="70"/>
    </row>
    <row r="29" spans="1:11" s="98" customFormat="1" ht="13.5">
      <c r="A29" s="158"/>
      <c r="B29" s="86" t="s">
        <v>176</v>
      </c>
      <c r="C29" s="52" t="s">
        <v>177</v>
      </c>
      <c r="D29" s="160" t="s">
        <v>61</v>
      </c>
      <c r="E29" s="53">
        <v>0.505</v>
      </c>
      <c r="F29" s="54">
        <f>TRUNC(4.4835,2)</f>
        <v>4.48</v>
      </c>
      <c r="G29" s="54">
        <f t="shared" si="0"/>
        <v>2.26</v>
      </c>
      <c r="H29" s="54"/>
      <c r="I29" s="55"/>
      <c r="K29" s="70"/>
    </row>
    <row r="30" spans="1:11" s="98" customFormat="1" ht="13.5">
      <c r="A30" s="158"/>
      <c r="B30" s="86" t="s">
        <v>178</v>
      </c>
      <c r="C30" s="52" t="s">
        <v>179</v>
      </c>
      <c r="D30" s="160" t="s">
        <v>68</v>
      </c>
      <c r="E30" s="53">
        <v>0.95</v>
      </c>
      <c r="F30" s="54">
        <f>TRUNC(1,2)</f>
        <v>1</v>
      </c>
      <c r="G30" s="54">
        <f t="shared" si="0"/>
        <v>0.95</v>
      </c>
      <c r="H30" s="54"/>
      <c r="I30" s="55"/>
      <c r="K30" s="70"/>
    </row>
    <row r="31" spans="1:11" s="98" customFormat="1" ht="13.5">
      <c r="A31" s="158"/>
      <c r="B31" s="86" t="s">
        <v>180</v>
      </c>
      <c r="C31" s="52" t="s">
        <v>192</v>
      </c>
      <c r="D31" s="160" t="s">
        <v>68</v>
      </c>
      <c r="E31" s="53">
        <v>0.17</v>
      </c>
      <c r="F31" s="54">
        <f>TRUNC(27.7,2)</f>
        <v>27.7</v>
      </c>
      <c r="G31" s="54">
        <f t="shared" si="0"/>
        <v>4.7</v>
      </c>
      <c r="H31" s="54"/>
      <c r="I31" s="55"/>
      <c r="K31" s="70"/>
    </row>
    <row r="32" spans="1:11" s="98" customFormat="1" ht="13.5">
      <c r="A32" s="158"/>
      <c r="B32" s="86" t="s">
        <v>181</v>
      </c>
      <c r="C32" s="52" t="s">
        <v>182</v>
      </c>
      <c r="D32" s="160" t="s">
        <v>68</v>
      </c>
      <c r="E32" s="53">
        <v>0.08</v>
      </c>
      <c r="F32" s="54">
        <f>TRUNC(6.21,2)</f>
        <v>6.21</v>
      </c>
      <c r="G32" s="54">
        <f t="shared" si="0"/>
        <v>0.49</v>
      </c>
      <c r="H32" s="54"/>
      <c r="I32" s="55"/>
      <c r="K32" s="70"/>
    </row>
    <row r="33" spans="1:11" s="98" customFormat="1" ht="13.5">
      <c r="A33" s="158"/>
      <c r="B33" s="86" t="s">
        <v>183</v>
      </c>
      <c r="C33" s="52" t="s">
        <v>184</v>
      </c>
      <c r="D33" s="160" t="s">
        <v>68</v>
      </c>
      <c r="E33" s="53">
        <v>0.0808</v>
      </c>
      <c r="F33" s="54">
        <f>TRUNC(3.13,2)</f>
        <v>3.13</v>
      </c>
      <c r="G33" s="54">
        <f t="shared" si="0"/>
        <v>0.25</v>
      </c>
      <c r="H33" s="54"/>
      <c r="I33" s="55"/>
      <c r="K33" s="70"/>
    </row>
    <row r="34" spans="1:11" s="98" customFormat="1" ht="27">
      <c r="A34" s="158"/>
      <c r="B34" s="86" t="s">
        <v>185</v>
      </c>
      <c r="C34" s="52" t="s">
        <v>186</v>
      </c>
      <c r="D34" s="160" t="s">
        <v>68</v>
      </c>
      <c r="E34" s="53">
        <v>0.275</v>
      </c>
      <c r="F34" s="54">
        <f>TRUNC(66.13,2)</f>
        <v>66.13</v>
      </c>
      <c r="G34" s="54">
        <f t="shared" si="0"/>
        <v>18.18</v>
      </c>
      <c r="H34" s="54"/>
      <c r="I34" s="55"/>
      <c r="K34" s="70"/>
    </row>
    <row r="35" spans="1:11" s="98" customFormat="1" ht="13.5">
      <c r="A35" s="158"/>
      <c r="B35" s="86" t="s">
        <v>84</v>
      </c>
      <c r="C35" s="52" t="s">
        <v>90</v>
      </c>
      <c r="D35" s="160" t="s">
        <v>68</v>
      </c>
      <c r="E35" s="53">
        <v>0.0202</v>
      </c>
      <c r="F35" s="54">
        <f>TRUNC(6.08,2)</f>
        <v>6.08</v>
      </c>
      <c r="G35" s="54">
        <f t="shared" si="0"/>
        <v>0.12</v>
      </c>
      <c r="H35" s="54"/>
      <c r="I35" s="55"/>
      <c r="K35" s="70"/>
    </row>
    <row r="36" spans="1:11" s="98" customFormat="1" ht="27">
      <c r="A36" s="158"/>
      <c r="B36" s="86" t="s">
        <v>99</v>
      </c>
      <c r="C36" s="52" t="s">
        <v>100</v>
      </c>
      <c r="D36" s="160" t="s">
        <v>27</v>
      </c>
      <c r="E36" s="53">
        <v>8.137</v>
      </c>
      <c r="F36" s="54">
        <f>TRUNC(21.33,2)</f>
        <v>21.33</v>
      </c>
      <c r="G36" s="54">
        <f t="shared" si="0"/>
        <v>173.56</v>
      </c>
      <c r="H36" s="54"/>
      <c r="I36" s="55"/>
      <c r="K36" s="70"/>
    </row>
    <row r="37" spans="1:11" s="98" customFormat="1" ht="27">
      <c r="A37" s="158"/>
      <c r="B37" s="86" t="s">
        <v>105</v>
      </c>
      <c r="C37" s="52" t="s">
        <v>106</v>
      </c>
      <c r="D37" s="160" t="s">
        <v>27</v>
      </c>
      <c r="E37" s="53">
        <v>0.41200000000000003</v>
      </c>
      <c r="F37" s="54">
        <f>TRUNC(19.81,2)</f>
        <v>19.81</v>
      </c>
      <c r="G37" s="54">
        <f t="shared" si="0"/>
        <v>8.16</v>
      </c>
      <c r="H37" s="54"/>
      <c r="I37" s="55"/>
      <c r="K37" s="70"/>
    </row>
    <row r="38" spans="1:11" s="98" customFormat="1" ht="27">
      <c r="A38" s="158"/>
      <c r="B38" s="86" t="s">
        <v>97</v>
      </c>
      <c r="C38" s="52" t="s">
        <v>98</v>
      </c>
      <c r="D38" s="160" t="s">
        <v>27</v>
      </c>
      <c r="E38" s="53">
        <v>8.549000000000001</v>
      </c>
      <c r="F38" s="54">
        <f>TRUNC(14.34,2)</f>
        <v>14.34</v>
      </c>
      <c r="G38" s="54">
        <f t="shared" si="0"/>
        <v>122.59</v>
      </c>
      <c r="H38" s="54"/>
      <c r="I38" s="55"/>
      <c r="K38" s="70"/>
    </row>
    <row r="39" spans="1:11" s="98" customFormat="1" ht="13.5">
      <c r="A39" s="158"/>
      <c r="B39" s="86" t="s">
        <v>187</v>
      </c>
      <c r="C39" s="52" t="s">
        <v>188</v>
      </c>
      <c r="D39" s="160" t="s">
        <v>62</v>
      </c>
      <c r="E39" s="53">
        <v>1.65</v>
      </c>
      <c r="F39" s="54">
        <f>TRUNC(34.2004,2)</f>
        <v>34.2</v>
      </c>
      <c r="G39" s="54">
        <f t="shared" si="0"/>
        <v>56.43</v>
      </c>
      <c r="H39" s="54"/>
      <c r="I39" s="55"/>
      <c r="K39" s="70"/>
    </row>
    <row r="40" spans="1:11" s="98" customFormat="1" ht="13.5">
      <c r="A40" s="158"/>
      <c r="B40" s="86"/>
      <c r="C40" s="52"/>
      <c r="D40" s="160"/>
      <c r="E40" s="53" t="s">
        <v>70</v>
      </c>
      <c r="F40" s="54"/>
      <c r="G40" s="54">
        <f>TRUNC(SUM(G23:G39),2)</f>
        <v>408.73</v>
      </c>
      <c r="H40" s="54"/>
      <c r="I40" s="55"/>
      <c r="K40" s="70"/>
    </row>
    <row r="41" spans="1:11" s="195" customFormat="1" ht="13.5">
      <c r="A41" s="188" t="s">
        <v>36</v>
      </c>
      <c r="B41" s="189" t="s">
        <v>570</v>
      </c>
      <c r="C41" s="190" t="s">
        <v>219</v>
      </c>
      <c r="D41" s="191" t="s">
        <v>62</v>
      </c>
      <c r="E41" s="192">
        <v>188.12</v>
      </c>
      <c r="F41" s="193">
        <f>TRUNC(G43,2)</f>
        <v>5.16</v>
      </c>
      <c r="G41" s="193">
        <f>TRUNC(F41*1.2882,2)</f>
        <v>6.64</v>
      </c>
      <c r="H41" s="193">
        <f>TRUNC(F41*E41,2)</f>
        <v>970.69</v>
      </c>
      <c r="I41" s="194">
        <f>TRUNC(E41*G41,2)</f>
        <v>1249.11</v>
      </c>
      <c r="K41" s="196"/>
    </row>
    <row r="42" spans="1:11" s="98" customFormat="1" ht="27">
      <c r="A42" s="158"/>
      <c r="B42" s="86" t="s">
        <v>97</v>
      </c>
      <c r="C42" s="52" t="s">
        <v>98</v>
      </c>
      <c r="D42" s="160" t="s">
        <v>27</v>
      </c>
      <c r="E42" s="53">
        <v>0.3605</v>
      </c>
      <c r="F42" s="54">
        <f>TRUNC(14.34,2)</f>
        <v>14.34</v>
      </c>
      <c r="G42" s="54">
        <f>TRUNC(E42*F42,2)</f>
        <v>5.16</v>
      </c>
      <c r="H42" s="54"/>
      <c r="I42" s="55"/>
      <c r="K42" s="70"/>
    </row>
    <row r="43" spans="1:11" s="98" customFormat="1" ht="13.5">
      <c r="A43" s="158"/>
      <c r="B43" s="86"/>
      <c r="C43" s="52"/>
      <c r="D43" s="160"/>
      <c r="E43" s="53" t="s">
        <v>70</v>
      </c>
      <c r="F43" s="54"/>
      <c r="G43" s="54">
        <f>TRUNC(SUM(G42:G42),2)</f>
        <v>5.16</v>
      </c>
      <c r="H43" s="54"/>
      <c r="I43" s="55"/>
      <c r="K43" s="70"/>
    </row>
    <row r="44" spans="1:11" s="195" customFormat="1" ht="27">
      <c r="A44" s="188" t="s">
        <v>10</v>
      </c>
      <c r="B44" s="189" t="s">
        <v>571</v>
      </c>
      <c r="C44" s="190" t="s">
        <v>221</v>
      </c>
      <c r="D44" s="191" t="s">
        <v>26</v>
      </c>
      <c r="E44" s="192">
        <v>8.11</v>
      </c>
      <c r="F44" s="193">
        <f>TRUNC(G46,2)</f>
        <v>36.23</v>
      </c>
      <c r="G44" s="193">
        <f>TRUNC(F44*1.2882,2)</f>
        <v>46.67</v>
      </c>
      <c r="H44" s="193">
        <f>TRUNC(F44*E44,2)</f>
        <v>293.82</v>
      </c>
      <c r="I44" s="194">
        <f>TRUNC(E44*G44,2)</f>
        <v>378.49</v>
      </c>
      <c r="K44" s="196">
        <v>2.3</v>
      </c>
    </row>
    <row r="45" spans="1:11" s="98" customFormat="1" ht="27">
      <c r="A45" s="158"/>
      <c r="B45" s="86" t="s">
        <v>97</v>
      </c>
      <c r="C45" s="52" t="s">
        <v>98</v>
      </c>
      <c r="D45" s="160" t="s">
        <v>27</v>
      </c>
      <c r="E45" s="53">
        <v>2.5269000000000004</v>
      </c>
      <c r="F45" s="54">
        <f>TRUNC(14.34,2)</f>
        <v>14.34</v>
      </c>
      <c r="G45" s="54">
        <f>TRUNC(E45*F45,2)</f>
        <v>36.23</v>
      </c>
      <c r="H45" s="54"/>
      <c r="I45" s="55"/>
      <c r="K45" s="70"/>
    </row>
    <row r="46" spans="1:11" s="98" customFormat="1" ht="13.5">
      <c r="A46" s="158"/>
      <c r="B46" s="86"/>
      <c r="C46" s="52"/>
      <c r="D46" s="160"/>
      <c r="E46" s="53" t="s">
        <v>70</v>
      </c>
      <c r="F46" s="54"/>
      <c r="G46" s="54">
        <f>TRUNC(SUM(G45:G45),2)</f>
        <v>36.23</v>
      </c>
      <c r="H46" s="54"/>
      <c r="I46" s="55"/>
      <c r="K46" s="70"/>
    </row>
    <row r="47" spans="1:11" s="195" customFormat="1" ht="41.25">
      <c r="A47" s="188" t="s">
        <v>9</v>
      </c>
      <c r="B47" s="189" t="s">
        <v>110</v>
      </c>
      <c r="C47" s="190" t="s">
        <v>195</v>
      </c>
      <c r="D47" s="191" t="s">
        <v>68</v>
      </c>
      <c r="E47" s="192">
        <v>2</v>
      </c>
      <c r="F47" s="193">
        <f>TRUNC(G50,2)</f>
        <v>258.86</v>
      </c>
      <c r="G47" s="193">
        <f>TRUNC(F47*1.2882,2)</f>
        <v>333.46</v>
      </c>
      <c r="H47" s="193">
        <f>TRUNC(F47*E47,2)</f>
        <v>517.72</v>
      </c>
      <c r="I47" s="194">
        <f>TRUNC(E47*G47,2)</f>
        <v>666.92</v>
      </c>
      <c r="K47" s="196">
        <v>2.45</v>
      </c>
    </row>
    <row r="48" spans="1:11" s="98" customFormat="1" ht="27">
      <c r="A48" s="158"/>
      <c r="B48" s="86" t="s">
        <v>97</v>
      </c>
      <c r="C48" s="52" t="s">
        <v>98</v>
      </c>
      <c r="D48" s="160" t="s">
        <v>27</v>
      </c>
      <c r="E48" s="53">
        <v>0.618</v>
      </c>
      <c r="F48" s="54">
        <f>TRUNC(14.34,2)</f>
        <v>14.34</v>
      </c>
      <c r="G48" s="54">
        <f>TRUNC(E48*F48,2)</f>
        <v>8.86</v>
      </c>
      <c r="H48" s="54"/>
      <c r="I48" s="55"/>
      <c r="K48" s="70"/>
    </row>
    <row r="49" spans="1:11" s="98" customFormat="1" ht="27">
      <c r="A49" s="158"/>
      <c r="B49" s="86" t="s">
        <v>94</v>
      </c>
      <c r="C49" s="52" t="s">
        <v>140</v>
      </c>
      <c r="D49" s="160" t="s">
        <v>68</v>
      </c>
      <c r="E49" s="53">
        <v>1</v>
      </c>
      <c r="F49" s="54">
        <f>TRUNC(250,2)</f>
        <v>250</v>
      </c>
      <c r="G49" s="54">
        <f>TRUNC(E49*F49,2)</f>
        <v>250</v>
      </c>
      <c r="H49" s="54"/>
      <c r="I49" s="55"/>
      <c r="K49" s="70"/>
    </row>
    <row r="50" spans="1:11" s="98" customFormat="1" ht="13.5">
      <c r="A50" s="158"/>
      <c r="B50" s="86"/>
      <c r="C50" s="52"/>
      <c r="D50" s="160"/>
      <c r="E50" s="53" t="s">
        <v>70</v>
      </c>
      <c r="F50" s="54"/>
      <c r="G50" s="54">
        <f>TRUNC(SUM(G48:G49),2)</f>
        <v>258.86</v>
      </c>
      <c r="H50" s="54"/>
      <c r="I50" s="55"/>
      <c r="K50" s="70"/>
    </row>
    <row r="51" spans="1:11" s="195" customFormat="1" ht="13.5">
      <c r="A51" s="188" t="s">
        <v>138</v>
      </c>
      <c r="B51" s="189" t="s">
        <v>572</v>
      </c>
      <c r="C51" s="190" t="s">
        <v>223</v>
      </c>
      <c r="D51" s="191" t="s">
        <v>62</v>
      </c>
      <c r="E51" s="192">
        <v>29.53</v>
      </c>
      <c r="F51" s="193">
        <f>TRUNC(G53,2)</f>
        <v>7.38</v>
      </c>
      <c r="G51" s="193">
        <f>TRUNC(F51*1.2882,2)</f>
        <v>9.5</v>
      </c>
      <c r="H51" s="193">
        <f>TRUNC(F51*E51,2)</f>
        <v>217.93</v>
      </c>
      <c r="I51" s="194">
        <f>TRUNC(E51*G51,2)</f>
        <v>280.53</v>
      </c>
      <c r="K51" s="196"/>
    </row>
    <row r="52" spans="1:11" s="98" customFormat="1" ht="27">
      <c r="A52" s="158"/>
      <c r="B52" s="86" t="s">
        <v>97</v>
      </c>
      <c r="C52" s="52" t="s">
        <v>98</v>
      </c>
      <c r="D52" s="160" t="s">
        <v>27</v>
      </c>
      <c r="E52" s="53">
        <v>0.515</v>
      </c>
      <c r="F52" s="54">
        <f>TRUNC(14.34,2)</f>
        <v>14.34</v>
      </c>
      <c r="G52" s="54">
        <f>TRUNC(E52*F52,2)</f>
        <v>7.38</v>
      </c>
      <c r="H52" s="54"/>
      <c r="I52" s="55"/>
      <c r="K52" s="70"/>
    </row>
    <row r="53" spans="1:11" s="98" customFormat="1" ht="13.5">
      <c r="A53" s="158"/>
      <c r="B53" s="86"/>
      <c r="C53" s="52"/>
      <c r="D53" s="160"/>
      <c r="E53" s="53" t="s">
        <v>70</v>
      </c>
      <c r="F53" s="54"/>
      <c r="G53" s="54">
        <f>TRUNC(SUM(G52:G52),2)</f>
        <v>7.38</v>
      </c>
      <c r="H53" s="54"/>
      <c r="I53" s="55"/>
      <c r="K53" s="70"/>
    </row>
    <row r="54" spans="1:11" s="195" customFormat="1" ht="13.5">
      <c r="A54" s="188" t="s">
        <v>139</v>
      </c>
      <c r="B54" s="189" t="s">
        <v>575</v>
      </c>
      <c r="C54" s="190" t="s">
        <v>574</v>
      </c>
      <c r="D54" s="191" t="s">
        <v>62</v>
      </c>
      <c r="E54" s="192">
        <v>9.35</v>
      </c>
      <c r="F54" s="193">
        <f>TRUNC(G57,2)</f>
        <v>10.55</v>
      </c>
      <c r="G54" s="193">
        <f>TRUNC(F54*1.2882,2)</f>
        <v>13.59</v>
      </c>
      <c r="H54" s="193">
        <f>TRUNC(F54*E54,2)</f>
        <v>98.64</v>
      </c>
      <c r="I54" s="194">
        <f>TRUNC(E54*G54,2)</f>
        <v>127.06</v>
      </c>
      <c r="K54" s="196"/>
    </row>
    <row r="55" spans="1:11" s="98" customFormat="1" ht="13.5">
      <c r="A55" s="158"/>
      <c r="B55" s="86" t="s">
        <v>200</v>
      </c>
      <c r="C55" s="52" t="s">
        <v>201</v>
      </c>
      <c r="D55" s="160" t="s">
        <v>27</v>
      </c>
      <c r="E55" s="53">
        <v>0.309</v>
      </c>
      <c r="F55" s="54">
        <f>TRUNC(19.81,2)</f>
        <v>19.81</v>
      </c>
      <c r="G55" s="54">
        <f>TRUNC(E55*F55,2)</f>
        <v>6.12</v>
      </c>
      <c r="H55" s="54"/>
      <c r="I55" s="55"/>
      <c r="K55" s="70"/>
    </row>
    <row r="56" spans="1:11" s="98" customFormat="1" ht="27">
      <c r="A56" s="158"/>
      <c r="B56" s="86" t="s">
        <v>97</v>
      </c>
      <c r="C56" s="52" t="s">
        <v>98</v>
      </c>
      <c r="D56" s="160" t="s">
        <v>27</v>
      </c>
      <c r="E56" s="53">
        <v>0.309</v>
      </c>
      <c r="F56" s="54">
        <f>TRUNC(14.34,2)</f>
        <v>14.34</v>
      </c>
      <c r="G56" s="54">
        <f>TRUNC(E56*F56,2)</f>
        <v>4.43</v>
      </c>
      <c r="H56" s="54"/>
      <c r="I56" s="55"/>
      <c r="K56" s="70"/>
    </row>
    <row r="57" spans="1:11" s="98" customFormat="1" ht="13.5">
      <c r="A57" s="158"/>
      <c r="B57" s="86"/>
      <c r="C57" s="52"/>
      <c r="D57" s="160"/>
      <c r="E57" s="53" t="s">
        <v>70</v>
      </c>
      <c r="F57" s="54"/>
      <c r="G57" s="54">
        <f>TRUNC(SUM(G55:G56),2)</f>
        <v>10.55</v>
      </c>
      <c r="H57" s="54"/>
      <c r="I57" s="55"/>
      <c r="K57" s="70"/>
    </row>
    <row r="58" spans="1:9" s="41" customFormat="1" ht="13.5">
      <c r="A58" s="106" t="s">
        <v>111</v>
      </c>
      <c r="B58" s="100"/>
      <c r="C58" s="76" t="s">
        <v>73</v>
      </c>
      <c r="D58" s="125"/>
      <c r="E58" s="77"/>
      <c r="F58" s="78"/>
      <c r="G58" s="78"/>
      <c r="H58" s="79">
        <f>H15+H22+H41+H44+H47+H51+H54</f>
        <v>7379.530000000001</v>
      </c>
      <c r="I58" s="79">
        <f>I15+I22+I41+I44+I47+I51+I54</f>
        <v>9504.630000000001</v>
      </c>
    </row>
    <row r="59" spans="1:16" s="41" customFormat="1" ht="13.5">
      <c r="A59" s="133" t="s">
        <v>74</v>
      </c>
      <c r="B59" s="185"/>
      <c r="C59" s="186" t="s">
        <v>224</v>
      </c>
      <c r="D59" s="187"/>
      <c r="E59" s="186"/>
      <c r="F59" s="186"/>
      <c r="G59" s="186"/>
      <c r="H59" s="186"/>
      <c r="I59" s="186"/>
      <c r="K59" s="61"/>
      <c r="L59" s="62"/>
      <c r="M59" s="56"/>
      <c r="N59" s="63"/>
      <c r="O59" s="58"/>
      <c r="P59" s="58"/>
    </row>
    <row r="60" spans="1:11" s="195" customFormat="1" ht="41.25">
      <c r="A60" s="188" t="s">
        <v>14</v>
      </c>
      <c r="B60" s="189" t="s">
        <v>576</v>
      </c>
      <c r="C60" s="190" t="s">
        <v>226</v>
      </c>
      <c r="D60" s="191" t="s">
        <v>62</v>
      </c>
      <c r="E60" s="192">
        <v>54.46</v>
      </c>
      <c r="F60" s="193">
        <f>TRUNC(G66,2)</f>
        <v>30.47</v>
      </c>
      <c r="G60" s="193">
        <f>TRUNC(F60*1.2882,2)</f>
        <v>39.25</v>
      </c>
      <c r="H60" s="193">
        <f>TRUNC(F60*E60,2)</f>
        <v>1659.39</v>
      </c>
      <c r="I60" s="194">
        <f>TRUNC(E60*G60,2)</f>
        <v>2137.55</v>
      </c>
      <c r="K60" s="196"/>
    </row>
    <row r="61" spans="1:11" s="98" customFormat="1" ht="13.5">
      <c r="A61" s="158"/>
      <c r="B61" s="86" t="s">
        <v>577</v>
      </c>
      <c r="C61" s="52" t="s">
        <v>228</v>
      </c>
      <c r="D61" s="160" t="s">
        <v>153</v>
      </c>
      <c r="E61" s="53">
        <v>0.21</v>
      </c>
      <c r="F61" s="54">
        <f>TRUNC(13.49,2)</f>
        <v>13.49</v>
      </c>
      <c r="G61" s="54">
        <f>TRUNC(E61*F61,2)</f>
        <v>2.83</v>
      </c>
      <c r="H61" s="54"/>
      <c r="I61" s="55"/>
      <c r="K61" s="70"/>
    </row>
    <row r="62" spans="1:11" s="98" customFormat="1" ht="13.5">
      <c r="A62" s="158"/>
      <c r="B62" s="86" t="s">
        <v>578</v>
      </c>
      <c r="C62" s="52" t="s">
        <v>230</v>
      </c>
      <c r="D62" s="160" t="s">
        <v>85</v>
      </c>
      <c r="E62" s="53">
        <v>0.5</v>
      </c>
      <c r="F62" s="54">
        <f>TRUNC(0.6,2)</f>
        <v>0.6</v>
      </c>
      <c r="G62" s="54">
        <f>TRUNC(E62*F62,2)</f>
        <v>0.3</v>
      </c>
      <c r="H62" s="54"/>
      <c r="I62" s="55"/>
      <c r="K62" s="70"/>
    </row>
    <row r="63" spans="1:11" s="98" customFormat="1" ht="13.5">
      <c r="A63" s="158"/>
      <c r="B63" s="86" t="s">
        <v>121</v>
      </c>
      <c r="C63" s="52" t="s">
        <v>122</v>
      </c>
      <c r="D63" s="160" t="s">
        <v>27</v>
      </c>
      <c r="E63" s="53">
        <v>0.107</v>
      </c>
      <c r="F63" s="54">
        <f>TRUNC(21.54,2)</f>
        <v>21.54</v>
      </c>
      <c r="G63" s="54">
        <f>TRUNC(E63*F63,2)</f>
        <v>2.3</v>
      </c>
      <c r="H63" s="54"/>
      <c r="I63" s="55"/>
      <c r="K63" s="70"/>
    </row>
    <row r="64" spans="1:11" s="98" customFormat="1" ht="13.5">
      <c r="A64" s="158"/>
      <c r="B64" s="86" t="s">
        <v>127</v>
      </c>
      <c r="C64" s="52" t="s">
        <v>126</v>
      </c>
      <c r="D64" s="160" t="s">
        <v>27</v>
      </c>
      <c r="E64" s="53">
        <v>0.214</v>
      </c>
      <c r="F64" s="54">
        <f>TRUNC(27.15,2)</f>
        <v>27.15</v>
      </c>
      <c r="G64" s="54">
        <f>TRUNC(E64*F64,2)</f>
        <v>5.81</v>
      </c>
      <c r="H64" s="54"/>
      <c r="I64" s="55"/>
      <c r="K64" s="70"/>
    </row>
    <row r="65" spans="1:11" s="98" customFormat="1" ht="27">
      <c r="A65" s="158"/>
      <c r="B65" s="86" t="s">
        <v>579</v>
      </c>
      <c r="C65" s="52" t="s">
        <v>580</v>
      </c>
      <c r="D65" s="160" t="s">
        <v>26</v>
      </c>
      <c r="E65" s="53">
        <v>0.031</v>
      </c>
      <c r="F65" s="54">
        <f>TRUNC(620.33,2)</f>
        <v>620.33</v>
      </c>
      <c r="G65" s="54">
        <f>TRUNC(E65*F65,2)</f>
        <v>19.23</v>
      </c>
      <c r="H65" s="54"/>
      <c r="I65" s="55"/>
      <c r="K65" s="70"/>
    </row>
    <row r="66" spans="1:11" s="98" customFormat="1" ht="13.5">
      <c r="A66" s="158"/>
      <c r="B66" s="86"/>
      <c r="C66" s="52"/>
      <c r="D66" s="160"/>
      <c r="E66" s="53" t="s">
        <v>70</v>
      </c>
      <c r="F66" s="54"/>
      <c r="G66" s="54">
        <f>TRUNC(SUM(G61:G65),2)</f>
        <v>30.47</v>
      </c>
      <c r="H66" s="54"/>
      <c r="I66" s="55"/>
      <c r="K66" s="70"/>
    </row>
    <row r="67" spans="1:16" s="41" customFormat="1" ht="13.5">
      <c r="A67" s="135" t="s">
        <v>111</v>
      </c>
      <c r="B67" s="134"/>
      <c r="C67" s="136" t="s">
        <v>75</v>
      </c>
      <c r="D67" s="140"/>
      <c r="E67" s="137"/>
      <c r="F67" s="138"/>
      <c r="G67" s="138"/>
      <c r="H67" s="139">
        <f>H60</f>
        <v>1659.39</v>
      </c>
      <c r="I67" s="139">
        <f>I60</f>
        <v>2137.55</v>
      </c>
      <c r="K67" s="61"/>
      <c r="L67" s="62"/>
      <c r="M67" s="56"/>
      <c r="N67" s="63"/>
      <c r="O67" s="58"/>
      <c r="P67" s="58"/>
    </row>
    <row r="68" spans="1:16" s="41" customFormat="1" ht="13.5">
      <c r="A68" s="80" t="s">
        <v>76</v>
      </c>
      <c r="B68" s="110"/>
      <c r="C68" s="71" t="s">
        <v>233</v>
      </c>
      <c r="D68" s="124"/>
      <c r="E68" s="71"/>
      <c r="F68" s="71"/>
      <c r="G68" s="71"/>
      <c r="H68" s="71"/>
      <c r="I68" s="71"/>
      <c r="K68" s="61"/>
      <c r="L68" s="62"/>
      <c r="M68" s="56"/>
      <c r="N68" s="63"/>
      <c r="O68" s="58"/>
      <c r="P68" s="58"/>
    </row>
    <row r="69" spans="1:11" s="195" customFormat="1" ht="27">
      <c r="A69" s="188" t="s">
        <v>15</v>
      </c>
      <c r="B69" s="189" t="s">
        <v>581</v>
      </c>
      <c r="C69" s="190" t="s">
        <v>235</v>
      </c>
      <c r="D69" s="191" t="s">
        <v>62</v>
      </c>
      <c r="E69" s="192">
        <v>188.12</v>
      </c>
      <c r="F69" s="193">
        <f>TRUNC(G75,2)</f>
        <v>93.21</v>
      </c>
      <c r="G69" s="193">
        <f>TRUNC(F69*1.2882,2)</f>
        <v>120.07</v>
      </c>
      <c r="H69" s="193">
        <f>TRUNC(F69*E69,2)</f>
        <v>17534.66</v>
      </c>
      <c r="I69" s="194">
        <f>TRUNC(E69*G69,2)</f>
        <v>22587.56</v>
      </c>
      <c r="K69" s="196"/>
    </row>
    <row r="70" spans="1:11" s="98" customFormat="1" ht="13.5">
      <c r="A70" s="158"/>
      <c r="B70" s="86" t="s">
        <v>582</v>
      </c>
      <c r="C70" s="52" t="s">
        <v>237</v>
      </c>
      <c r="D70" s="160" t="s">
        <v>85</v>
      </c>
      <c r="E70" s="53">
        <v>0.14</v>
      </c>
      <c r="F70" s="54">
        <f>TRUNC(3.75,2)</f>
        <v>3.75</v>
      </c>
      <c r="G70" s="54">
        <f>TRUNC(E70*F70,2)</f>
        <v>0.52</v>
      </c>
      <c r="H70" s="54"/>
      <c r="I70" s="55"/>
      <c r="K70" s="70"/>
    </row>
    <row r="71" spans="1:11" s="98" customFormat="1" ht="13.5">
      <c r="A71" s="158"/>
      <c r="B71" s="86" t="s">
        <v>583</v>
      </c>
      <c r="C71" s="52" t="s">
        <v>239</v>
      </c>
      <c r="D71" s="160" t="s">
        <v>85</v>
      </c>
      <c r="E71" s="53">
        <v>8.62</v>
      </c>
      <c r="F71" s="54">
        <f>TRUNC(0.64,2)</f>
        <v>0.64</v>
      </c>
      <c r="G71" s="54">
        <f>TRUNC(E71*F71,2)</f>
        <v>5.51</v>
      </c>
      <c r="H71" s="54"/>
      <c r="I71" s="55"/>
      <c r="K71" s="70"/>
    </row>
    <row r="72" spans="1:11" s="98" customFormat="1" ht="27">
      <c r="A72" s="158"/>
      <c r="B72" s="86" t="s">
        <v>584</v>
      </c>
      <c r="C72" s="52" t="s">
        <v>241</v>
      </c>
      <c r="D72" s="160" t="s">
        <v>62</v>
      </c>
      <c r="E72" s="53">
        <v>1.07</v>
      </c>
      <c r="F72" s="54">
        <f>TRUNC(69.78,2)</f>
        <v>69.78</v>
      </c>
      <c r="G72" s="54">
        <f>TRUNC(E72*F72,2)</f>
        <v>74.66</v>
      </c>
      <c r="H72" s="54"/>
      <c r="I72" s="55"/>
      <c r="K72" s="70"/>
    </row>
    <row r="73" spans="1:11" s="98" customFormat="1" ht="13.5">
      <c r="A73" s="158"/>
      <c r="B73" s="86" t="s">
        <v>121</v>
      </c>
      <c r="C73" s="52" t="s">
        <v>122</v>
      </c>
      <c r="D73" s="160" t="s">
        <v>27</v>
      </c>
      <c r="E73" s="53">
        <v>0.17</v>
      </c>
      <c r="F73" s="54">
        <f>TRUNC(21.54,2)</f>
        <v>21.54</v>
      </c>
      <c r="G73" s="54">
        <f>TRUNC(E73*F73,2)</f>
        <v>3.66</v>
      </c>
      <c r="H73" s="54"/>
      <c r="I73" s="55"/>
      <c r="K73" s="70"/>
    </row>
    <row r="74" spans="1:11" s="98" customFormat="1" ht="13.5">
      <c r="A74" s="158"/>
      <c r="B74" s="86" t="s">
        <v>585</v>
      </c>
      <c r="C74" s="52" t="s">
        <v>243</v>
      </c>
      <c r="D74" s="160" t="s">
        <v>27</v>
      </c>
      <c r="E74" s="53">
        <v>0.31</v>
      </c>
      <c r="F74" s="54">
        <f>TRUNC(28.61,2)</f>
        <v>28.61</v>
      </c>
      <c r="G74" s="54">
        <f>TRUNC(E74*F74,2)</f>
        <v>8.86</v>
      </c>
      <c r="H74" s="54"/>
      <c r="I74" s="55"/>
      <c r="K74" s="70"/>
    </row>
    <row r="75" spans="1:11" s="98" customFormat="1" ht="13.5">
      <c r="A75" s="158"/>
      <c r="B75" s="86"/>
      <c r="C75" s="52"/>
      <c r="D75" s="160"/>
      <c r="E75" s="53" t="s">
        <v>70</v>
      </c>
      <c r="F75" s="54"/>
      <c r="G75" s="54">
        <f>TRUNC(SUM(G70:G74),2)</f>
        <v>93.21</v>
      </c>
      <c r="H75" s="54"/>
      <c r="I75" s="55"/>
      <c r="K75" s="70"/>
    </row>
    <row r="76" spans="1:11" s="195" customFormat="1" ht="27">
      <c r="A76" s="188" t="s">
        <v>16</v>
      </c>
      <c r="B76" s="189" t="s">
        <v>586</v>
      </c>
      <c r="C76" s="190" t="s">
        <v>245</v>
      </c>
      <c r="D76" s="191" t="s">
        <v>61</v>
      </c>
      <c r="E76" s="192">
        <v>84</v>
      </c>
      <c r="F76" s="193">
        <f>TRUNC(G82,2)</f>
        <v>16.89</v>
      </c>
      <c r="G76" s="193">
        <f>TRUNC(F76*1.2882,2)</f>
        <v>21.75</v>
      </c>
      <c r="H76" s="193">
        <f>TRUNC(F76*E76,2)</f>
        <v>1418.76</v>
      </c>
      <c r="I76" s="194">
        <f>TRUNC(E76*G76,2)</f>
        <v>1827</v>
      </c>
      <c r="K76" s="196"/>
    </row>
    <row r="77" spans="1:11" s="98" customFormat="1" ht="13.5">
      <c r="A77" s="158"/>
      <c r="B77" s="86" t="s">
        <v>582</v>
      </c>
      <c r="C77" s="52" t="s">
        <v>237</v>
      </c>
      <c r="D77" s="160" t="s">
        <v>85</v>
      </c>
      <c r="E77" s="53">
        <v>0.084</v>
      </c>
      <c r="F77" s="54">
        <f>TRUNC(3.75,2)</f>
        <v>3.75</v>
      </c>
      <c r="G77" s="54">
        <f>TRUNC(E77*F77,2)</f>
        <v>0.31</v>
      </c>
      <c r="H77" s="54"/>
      <c r="I77" s="55"/>
      <c r="K77" s="70"/>
    </row>
    <row r="78" spans="1:11" s="98" customFormat="1" ht="13.5">
      <c r="A78" s="158"/>
      <c r="B78" s="86" t="s">
        <v>583</v>
      </c>
      <c r="C78" s="52" t="s">
        <v>239</v>
      </c>
      <c r="D78" s="160" t="s">
        <v>85</v>
      </c>
      <c r="E78" s="53">
        <v>0.603</v>
      </c>
      <c r="F78" s="54">
        <f>TRUNC(0.64,2)</f>
        <v>0.64</v>
      </c>
      <c r="G78" s="54">
        <f>TRUNC(E78*F78,2)</f>
        <v>0.38</v>
      </c>
      <c r="H78" s="54"/>
      <c r="I78" s="55"/>
      <c r="K78" s="70"/>
    </row>
    <row r="79" spans="1:11" s="98" customFormat="1" ht="27">
      <c r="A79" s="158"/>
      <c r="B79" s="86" t="s">
        <v>584</v>
      </c>
      <c r="C79" s="52" t="s">
        <v>241</v>
      </c>
      <c r="D79" s="160" t="s">
        <v>62</v>
      </c>
      <c r="E79" s="53">
        <v>0.188</v>
      </c>
      <c r="F79" s="54">
        <f>TRUNC(69.78,2)</f>
        <v>69.78</v>
      </c>
      <c r="G79" s="54">
        <f>TRUNC(E79*F79,2)</f>
        <v>13.11</v>
      </c>
      <c r="H79" s="54"/>
      <c r="I79" s="55"/>
      <c r="K79" s="70"/>
    </row>
    <row r="80" spans="1:11" s="98" customFormat="1" ht="13.5">
      <c r="A80" s="158"/>
      <c r="B80" s="86" t="s">
        <v>121</v>
      </c>
      <c r="C80" s="52" t="s">
        <v>122</v>
      </c>
      <c r="D80" s="160" t="s">
        <v>27</v>
      </c>
      <c r="E80" s="53">
        <v>0.031</v>
      </c>
      <c r="F80" s="54">
        <f>TRUNC(21.54,2)</f>
        <v>21.54</v>
      </c>
      <c r="G80" s="54">
        <f>TRUNC(E80*F80,2)</f>
        <v>0.66</v>
      </c>
      <c r="H80" s="54"/>
      <c r="I80" s="55"/>
      <c r="K80" s="70"/>
    </row>
    <row r="81" spans="1:11" s="98" customFormat="1" ht="13.5">
      <c r="A81" s="158"/>
      <c r="B81" s="86" t="s">
        <v>585</v>
      </c>
      <c r="C81" s="52" t="s">
        <v>243</v>
      </c>
      <c r="D81" s="160" t="s">
        <v>27</v>
      </c>
      <c r="E81" s="53">
        <v>0.085</v>
      </c>
      <c r="F81" s="54">
        <f>TRUNC(28.61,2)</f>
        <v>28.61</v>
      </c>
      <c r="G81" s="54">
        <f>TRUNC(E81*F81,2)</f>
        <v>2.43</v>
      </c>
      <c r="H81" s="54"/>
      <c r="I81" s="55"/>
      <c r="K81" s="70"/>
    </row>
    <row r="82" spans="1:11" s="98" customFormat="1" ht="13.5">
      <c r="A82" s="158"/>
      <c r="B82" s="86"/>
      <c r="C82" s="52"/>
      <c r="D82" s="160"/>
      <c r="E82" s="53" t="s">
        <v>70</v>
      </c>
      <c r="F82" s="54"/>
      <c r="G82" s="54">
        <f>TRUNC(SUM(G77:G81),2)</f>
        <v>16.89</v>
      </c>
      <c r="H82" s="54"/>
      <c r="I82" s="55"/>
      <c r="K82" s="70"/>
    </row>
    <row r="83" spans="1:16" s="41" customFormat="1" ht="13.5">
      <c r="A83" s="135" t="s">
        <v>111</v>
      </c>
      <c r="B83" s="134"/>
      <c r="C83" s="136" t="s">
        <v>77</v>
      </c>
      <c r="D83" s="140"/>
      <c r="E83" s="137"/>
      <c r="F83" s="138"/>
      <c r="G83" s="138"/>
      <c r="H83" s="139">
        <f>H69+H76</f>
        <v>18953.42</v>
      </c>
      <c r="I83" s="139">
        <f>I69+I76</f>
        <v>24414.56</v>
      </c>
      <c r="K83" s="61"/>
      <c r="L83" s="62"/>
      <c r="M83" s="56"/>
      <c r="N83" s="63"/>
      <c r="O83" s="58"/>
      <c r="P83" s="58"/>
    </row>
    <row r="84" spans="1:16" s="41" customFormat="1" ht="13.5">
      <c r="A84" s="80" t="s">
        <v>78</v>
      </c>
      <c r="B84" s="110"/>
      <c r="C84" s="71" t="s">
        <v>1</v>
      </c>
      <c r="D84" s="124"/>
      <c r="E84" s="71"/>
      <c r="F84" s="71"/>
      <c r="G84" s="71"/>
      <c r="H84" s="71"/>
      <c r="I84" s="71"/>
      <c r="K84" s="61"/>
      <c r="L84" s="62"/>
      <c r="M84" s="56"/>
      <c r="N84" s="63"/>
      <c r="O84" s="58"/>
      <c r="P84" s="58"/>
    </row>
    <row r="85" spans="1:11" s="195" customFormat="1" ht="13.5">
      <c r="A85" s="188" t="s">
        <v>65</v>
      </c>
      <c r="B85" s="189" t="s">
        <v>120</v>
      </c>
      <c r="C85" s="190" t="s">
        <v>193</v>
      </c>
      <c r="D85" s="191" t="s">
        <v>68</v>
      </c>
      <c r="E85" s="192">
        <v>2</v>
      </c>
      <c r="F85" s="193">
        <f>TRUNC(G88,2)</f>
        <v>20.89</v>
      </c>
      <c r="G85" s="193">
        <f>TRUNC(F85*1.2882,2)</f>
        <v>26.91</v>
      </c>
      <c r="H85" s="193">
        <f>TRUNC(F85*E85,2)</f>
        <v>41.78</v>
      </c>
      <c r="I85" s="194">
        <f>TRUNC(E85*G85,2)</f>
        <v>53.82</v>
      </c>
      <c r="J85" s="195">
        <v>152.27</v>
      </c>
      <c r="K85" s="196"/>
    </row>
    <row r="86" spans="1:11" s="98" customFormat="1" ht="27">
      <c r="A86" s="158"/>
      <c r="B86" s="86" t="s">
        <v>97</v>
      </c>
      <c r="C86" s="52" t="s">
        <v>98</v>
      </c>
      <c r="D86" s="160" t="s">
        <v>27</v>
      </c>
      <c r="E86" s="53">
        <v>1.03</v>
      </c>
      <c r="F86" s="54">
        <f>TRUNC(14.34,2)</f>
        <v>14.34</v>
      </c>
      <c r="G86" s="54">
        <f>TRUNC(E86*F86,2)</f>
        <v>14.77</v>
      </c>
      <c r="H86" s="54"/>
      <c r="I86" s="55"/>
      <c r="K86" s="70"/>
    </row>
    <row r="87" spans="1:11" s="98" customFormat="1" ht="13.5">
      <c r="A87" s="158"/>
      <c r="B87" s="86" t="s">
        <v>101</v>
      </c>
      <c r="C87" s="52" t="s">
        <v>102</v>
      </c>
      <c r="D87" s="160" t="s">
        <v>27</v>
      </c>
      <c r="E87" s="53">
        <v>0.309</v>
      </c>
      <c r="F87" s="54">
        <f>TRUNC(19.81,2)</f>
        <v>19.81</v>
      </c>
      <c r="G87" s="54">
        <f>TRUNC(E87*F87,2)</f>
        <v>6.12</v>
      </c>
      <c r="H87" s="54"/>
      <c r="I87" s="55"/>
      <c r="K87" s="70"/>
    </row>
    <row r="88" spans="1:11" s="98" customFormat="1" ht="13.5">
      <c r="A88" s="158"/>
      <c r="B88" s="86"/>
      <c r="C88" s="52"/>
      <c r="D88" s="160"/>
      <c r="E88" s="53" t="s">
        <v>70</v>
      </c>
      <c r="F88" s="54"/>
      <c r="G88" s="54">
        <f>TRUNC(SUM(G86:G87),2)</f>
        <v>20.89</v>
      </c>
      <c r="H88" s="54"/>
      <c r="I88" s="55"/>
      <c r="K88" s="70"/>
    </row>
    <row r="89" spans="1:11" s="195" customFormat="1" ht="27">
      <c r="A89" s="188" t="s">
        <v>2</v>
      </c>
      <c r="B89" s="189" t="s">
        <v>246</v>
      </c>
      <c r="C89" s="190" t="s">
        <v>247</v>
      </c>
      <c r="D89" s="191" t="s">
        <v>68</v>
      </c>
      <c r="E89" s="192">
        <v>2</v>
      </c>
      <c r="F89" s="193">
        <f>TRUNC(G94,2)</f>
        <v>77.67</v>
      </c>
      <c r="G89" s="193">
        <f>TRUNC(F89*1.2882,2)</f>
        <v>100.05</v>
      </c>
      <c r="H89" s="193">
        <f>TRUNC(F89*E89,2)</f>
        <v>155.34</v>
      </c>
      <c r="I89" s="194">
        <f>TRUNC(E89*G89,2)</f>
        <v>200.1</v>
      </c>
      <c r="K89" s="196"/>
    </row>
    <row r="90" spans="1:11" s="98" customFormat="1" ht="13.5">
      <c r="A90" s="158"/>
      <c r="B90" s="86" t="s">
        <v>248</v>
      </c>
      <c r="C90" s="52" t="s">
        <v>249</v>
      </c>
      <c r="D90" s="160" t="s">
        <v>68</v>
      </c>
      <c r="E90" s="53">
        <v>19.8</v>
      </c>
      <c r="F90" s="54">
        <f>TRUNC(0.09,2)</f>
        <v>0.09</v>
      </c>
      <c r="G90" s="54">
        <f>TRUNC(E90*F90,2)</f>
        <v>1.78</v>
      </c>
      <c r="H90" s="54"/>
      <c r="I90" s="55"/>
      <c r="K90" s="70"/>
    </row>
    <row r="91" spans="1:11" s="98" customFormat="1" ht="13.5">
      <c r="A91" s="158"/>
      <c r="B91" s="86" t="s">
        <v>121</v>
      </c>
      <c r="C91" s="52" t="s">
        <v>122</v>
      </c>
      <c r="D91" s="160" t="s">
        <v>27</v>
      </c>
      <c r="E91" s="53">
        <v>1.207</v>
      </c>
      <c r="F91" s="54">
        <f>TRUNC(21.54,2)</f>
        <v>21.54</v>
      </c>
      <c r="G91" s="54">
        <f>TRUNC(E91*F91,2)</f>
        <v>25.99</v>
      </c>
      <c r="H91" s="54"/>
      <c r="I91" s="55"/>
      <c r="K91" s="70"/>
    </row>
    <row r="92" spans="1:11" s="98" customFormat="1" ht="13.5">
      <c r="A92" s="158"/>
      <c r="B92" s="86" t="s">
        <v>127</v>
      </c>
      <c r="C92" s="52" t="s">
        <v>126</v>
      </c>
      <c r="D92" s="160" t="s">
        <v>27</v>
      </c>
      <c r="E92" s="53">
        <v>0.221</v>
      </c>
      <c r="F92" s="54">
        <f>TRUNC(27.15,2)</f>
        <v>27.15</v>
      </c>
      <c r="G92" s="54">
        <f>TRUNC(E92*F92,2)</f>
        <v>6</v>
      </c>
      <c r="H92" s="54"/>
      <c r="I92" s="55"/>
      <c r="K92" s="70"/>
    </row>
    <row r="93" spans="1:11" s="98" customFormat="1" ht="13.5">
      <c r="A93" s="158"/>
      <c r="B93" s="86" t="s">
        <v>250</v>
      </c>
      <c r="C93" s="52" t="s">
        <v>251</v>
      </c>
      <c r="D93" s="160" t="s">
        <v>27</v>
      </c>
      <c r="E93" s="53">
        <v>1.546</v>
      </c>
      <c r="F93" s="54">
        <f>TRUNC(28.4,2)</f>
        <v>28.4</v>
      </c>
      <c r="G93" s="54">
        <f>TRUNC(E93*F93,2)</f>
        <v>43.9</v>
      </c>
      <c r="H93" s="54"/>
      <c r="I93" s="55"/>
      <c r="K93" s="70"/>
    </row>
    <row r="94" spans="1:11" s="98" customFormat="1" ht="13.5">
      <c r="A94" s="158"/>
      <c r="B94" s="86"/>
      <c r="C94" s="52"/>
      <c r="D94" s="160"/>
      <c r="E94" s="53" t="s">
        <v>70</v>
      </c>
      <c r="F94" s="54"/>
      <c r="G94" s="54">
        <f>TRUNC(SUM(G90:G93),2)</f>
        <v>77.67</v>
      </c>
      <c r="H94" s="54"/>
      <c r="I94" s="55"/>
      <c r="K94" s="70"/>
    </row>
    <row r="95" spans="1:11" s="195" customFormat="1" ht="41.25">
      <c r="A95" s="188" t="s">
        <v>252</v>
      </c>
      <c r="B95" s="189" t="s">
        <v>590</v>
      </c>
      <c r="C95" s="190" t="s">
        <v>254</v>
      </c>
      <c r="D95" s="191" t="s">
        <v>68</v>
      </c>
      <c r="E95" s="192">
        <v>2</v>
      </c>
      <c r="F95" s="193">
        <f>TRUNC(G102,2)</f>
        <v>534.53</v>
      </c>
      <c r="G95" s="193">
        <f>TRUNC(F95*1.2882,2)</f>
        <v>688.58</v>
      </c>
      <c r="H95" s="193">
        <f>TRUNC(F95*E95,2)</f>
        <v>1069.06</v>
      </c>
      <c r="I95" s="194">
        <f>TRUNC(E95*G95,2)</f>
        <v>1377.16</v>
      </c>
      <c r="K95" s="196"/>
    </row>
    <row r="96" spans="1:11" s="98" customFormat="1" ht="13.5">
      <c r="A96" s="158"/>
      <c r="B96" s="86" t="s">
        <v>255</v>
      </c>
      <c r="C96" s="52" t="s">
        <v>256</v>
      </c>
      <c r="D96" s="160" t="s">
        <v>61</v>
      </c>
      <c r="E96" s="53">
        <v>5.3</v>
      </c>
      <c r="F96" s="54">
        <f>TRUNC(35.53,2)</f>
        <v>35.53</v>
      </c>
      <c r="G96" s="54">
        <f aca="true" t="shared" si="1" ref="G96:G101">TRUNC(E96*F96,2)</f>
        <v>188.3</v>
      </c>
      <c r="H96" s="54"/>
      <c r="I96" s="55"/>
      <c r="K96" s="70"/>
    </row>
    <row r="97" spans="1:11" s="98" customFormat="1" ht="13.5">
      <c r="A97" s="158"/>
      <c r="B97" s="86" t="s">
        <v>50</v>
      </c>
      <c r="C97" s="52" t="s">
        <v>95</v>
      </c>
      <c r="D97" s="160" t="s">
        <v>68</v>
      </c>
      <c r="E97" s="53">
        <v>1</v>
      </c>
      <c r="F97" s="54">
        <f>TRUNC(110,2)</f>
        <v>110</v>
      </c>
      <c r="G97" s="54">
        <f t="shared" si="1"/>
        <v>110</v>
      </c>
      <c r="H97" s="54"/>
      <c r="I97" s="55"/>
      <c r="K97" s="70"/>
    </row>
    <row r="98" spans="1:11" s="98" customFormat="1" ht="27">
      <c r="A98" s="158"/>
      <c r="B98" s="86" t="s">
        <v>64</v>
      </c>
      <c r="C98" s="52" t="s">
        <v>166</v>
      </c>
      <c r="D98" s="160" t="s">
        <v>85</v>
      </c>
      <c r="E98" s="53">
        <v>0.1</v>
      </c>
      <c r="F98" s="54">
        <f>TRUNC(18.8,2)</f>
        <v>18.8</v>
      </c>
      <c r="G98" s="54">
        <f t="shared" si="1"/>
        <v>1.88</v>
      </c>
      <c r="H98" s="54"/>
      <c r="I98" s="55"/>
      <c r="K98" s="70"/>
    </row>
    <row r="99" spans="1:11" s="98" customFormat="1" ht="27">
      <c r="A99" s="158"/>
      <c r="B99" s="86" t="s">
        <v>97</v>
      </c>
      <c r="C99" s="52" t="s">
        <v>98</v>
      </c>
      <c r="D99" s="160" t="s">
        <v>27</v>
      </c>
      <c r="E99" s="53">
        <v>6.18</v>
      </c>
      <c r="F99" s="54">
        <f>TRUNC(14.34,2)</f>
        <v>14.34</v>
      </c>
      <c r="G99" s="54">
        <f t="shared" si="1"/>
        <v>88.62</v>
      </c>
      <c r="H99" s="54"/>
      <c r="I99" s="55"/>
      <c r="K99" s="70"/>
    </row>
    <row r="100" spans="1:11" s="98" customFormat="1" ht="27">
      <c r="A100" s="158"/>
      <c r="B100" s="86" t="s">
        <v>99</v>
      </c>
      <c r="C100" s="52" t="s">
        <v>100</v>
      </c>
      <c r="D100" s="160" t="s">
        <v>27</v>
      </c>
      <c r="E100" s="53">
        <v>6.18</v>
      </c>
      <c r="F100" s="54">
        <f>TRUNC(21.33,2)</f>
        <v>21.33</v>
      </c>
      <c r="G100" s="54">
        <f t="shared" si="1"/>
        <v>131.81</v>
      </c>
      <c r="H100" s="54"/>
      <c r="I100" s="55"/>
      <c r="K100" s="70"/>
    </row>
    <row r="101" spans="1:11" s="98" customFormat="1" ht="13.5">
      <c r="A101" s="158"/>
      <c r="B101" s="86" t="s">
        <v>107</v>
      </c>
      <c r="C101" s="52" t="s">
        <v>108</v>
      </c>
      <c r="D101" s="160" t="s">
        <v>68</v>
      </c>
      <c r="E101" s="53">
        <v>6</v>
      </c>
      <c r="F101" s="54">
        <f>TRUNC(2.3249,2)</f>
        <v>2.32</v>
      </c>
      <c r="G101" s="54">
        <f t="shared" si="1"/>
        <v>13.92</v>
      </c>
      <c r="H101" s="54"/>
      <c r="I101" s="55"/>
      <c r="K101" s="70"/>
    </row>
    <row r="102" spans="1:11" s="98" customFormat="1" ht="13.5">
      <c r="A102" s="158"/>
      <c r="B102" s="86"/>
      <c r="C102" s="52"/>
      <c r="D102" s="160"/>
      <c r="E102" s="53" t="s">
        <v>70</v>
      </c>
      <c r="F102" s="54"/>
      <c r="G102" s="54">
        <f>TRUNC(SUM(G96:G101),2)</f>
        <v>534.53</v>
      </c>
      <c r="H102" s="54"/>
      <c r="I102" s="55"/>
      <c r="K102" s="70"/>
    </row>
    <row r="103" spans="1:11" s="195" customFormat="1" ht="69">
      <c r="A103" s="188" t="s">
        <v>305</v>
      </c>
      <c r="B103" s="189" t="s">
        <v>591</v>
      </c>
      <c r="C103" s="190" t="s">
        <v>258</v>
      </c>
      <c r="D103" s="191" t="s">
        <v>68</v>
      </c>
      <c r="E103" s="192">
        <v>2</v>
      </c>
      <c r="F103" s="193">
        <f>TRUNC(G110,2)</f>
        <v>387.22</v>
      </c>
      <c r="G103" s="193">
        <f>TRUNC(F103*1.2882,2)</f>
        <v>498.81</v>
      </c>
      <c r="H103" s="193">
        <f>TRUNC(F103*E103,2)</f>
        <v>774.44</v>
      </c>
      <c r="I103" s="194">
        <f>TRUNC(E103*G103,2)</f>
        <v>997.62</v>
      </c>
      <c r="K103" s="196"/>
    </row>
    <row r="104" spans="1:11" s="98" customFormat="1" ht="27">
      <c r="A104" s="158"/>
      <c r="B104" s="86" t="s">
        <v>259</v>
      </c>
      <c r="C104" s="52" t="s">
        <v>260</v>
      </c>
      <c r="D104" s="160" t="s">
        <v>68</v>
      </c>
      <c r="E104" s="53">
        <v>1</v>
      </c>
      <c r="F104" s="54">
        <f>TRUNC(129.64,2)</f>
        <v>129.64</v>
      </c>
      <c r="G104" s="54">
        <f aca="true" t="shared" si="2" ref="G104:G109">TRUNC(E104*F104,2)</f>
        <v>129.64</v>
      </c>
      <c r="H104" s="54"/>
      <c r="I104" s="55"/>
      <c r="K104" s="70"/>
    </row>
    <row r="105" spans="1:11" s="98" customFormat="1" ht="27">
      <c r="A105" s="158"/>
      <c r="B105" s="86" t="s">
        <v>261</v>
      </c>
      <c r="C105" s="52" t="s">
        <v>262</v>
      </c>
      <c r="D105" s="160" t="s">
        <v>68</v>
      </c>
      <c r="E105" s="53">
        <v>2</v>
      </c>
      <c r="F105" s="54">
        <f>TRUNC(56.55,2)</f>
        <v>56.55</v>
      </c>
      <c r="G105" s="54">
        <f t="shared" si="2"/>
        <v>113.1</v>
      </c>
      <c r="H105" s="54"/>
      <c r="I105" s="55"/>
      <c r="K105" s="70"/>
    </row>
    <row r="106" spans="1:11" s="98" customFormat="1" ht="13.5">
      <c r="A106" s="158"/>
      <c r="B106" s="86" t="s">
        <v>263</v>
      </c>
      <c r="C106" s="52" t="s">
        <v>264</v>
      </c>
      <c r="D106" s="160" t="s">
        <v>61</v>
      </c>
      <c r="E106" s="53">
        <v>2</v>
      </c>
      <c r="F106" s="54">
        <f>TRUNC(11.62,2)</f>
        <v>11.62</v>
      </c>
      <c r="G106" s="54">
        <f t="shared" si="2"/>
        <v>23.24</v>
      </c>
      <c r="H106" s="54"/>
      <c r="I106" s="55"/>
      <c r="K106" s="70"/>
    </row>
    <row r="107" spans="1:11" s="98" customFormat="1" ht="13.5">
      <c r="A107" s="158"/>
      <c r="B107" s="86" t="s">
        <v>265</v>
      </c>
      <c r="C107" s="52" t="s">
        <v>266</v>
      </c>
      <c r="D107" s="160" t="s">
        <v>61</v>
      </c>
      <c r="E107" s="53">
        <v>2</v>
      </c>
      <c r="F107" s="54">
        <f>TRUNC(45.27,2)</f>
        <v>45.27</v>
      </c>
      <c r="G107" s="54">
        <f t="shared" si="2"/>
        <v>90.54</v>
      </c>
      <c r="H107" s="54"/>
      <c r="I107" s="55"/>
      <c r="K107" s="70"/>
    </row>
    <row r="108" spans="1:11" s="98" customFormat="1" ht="13.5">
      <c r="A108" s="158"/>
      <c r="B108" s="86" t="s">
        <v>267</v>
      </c>
      <c r="C108" s="52" t="s">
        <v>268</v>
      </c>
      <c r="D108" s="160" t="s">
        <v>68</v>
      </c>
      <c r="E108" s="53">
        <v>2</v>
      </c>
      <c r="F108" s="54">
        <f>TRUNC(8.96,2)</f>
        <v>8.96</v>
      </c>
      <c r="G108" s="54">
        <f t="shared" si="2"/>
        <v>17.92</v>
      </c>
      <c r="H108" s="54"/>
      <c r="I108" s="55"/>
      <c r="K108" s="70"/>
    </row>
    <row r="109" spans="1:11" s="98" customFormat="1" ht="27">
      <c r="A109" s="158"/>
      <c r="B109" s="86" t="s">
        <v>269</v>
      </c>
      <c r="C109" s="52" t="s">
        <v>270</v>
      </c>
      <c r="D109" s="160" t="s">
        <v>68</v>
      </c>
      <c r="E109" s="53">
        <v>2</v>
      </c>
      <c r="F109" s="54">
        <f>TRUNC(6.39,2)</f>
        <v>6.39</v>
      </c>
      <c r="G109" s="54">
        <f t="shared" si="2"/>
        <v>12.78</v>
      </c>
      <c r="H109" s="54"/>
      <c r="I109" s="55"/>
      <c r="K109" s="70"/>
    </row>
    <row r="110" spans="1:11" s="98" customFormat="1" ht="13.5">
      <c r="A110" s="158"/>
      <c r="B110" s="86"/>
      <c r="C110" s="52"/>
      <c r="D110" s="160"/>
      <c r="E110" s="53" t="s">
        <v>70</v>
      </c>
      <c r="F110" s="54"/>
      <c r="G110" s="54">
        <f>TRUNC(SUM(G104:G109),2)</f>
        <v>387.22</v>
      </c>
      <c r="H110" s="54"/>
      <c r="I110" s="55"/>
      <c r="K110" s="70"/>
    </row>
    <row r="111" spans="1:11" s="195" customFormat="1" ht="41.25">
      <c r="A111" s="188" t="s">
        <v>306</v>
      </c>
      <c r="B111" s="189" t="s">
        <v>109</v>
      </c>
      <c r="C111" s="190" t="s">
        <v>194</v>
      </c>
      <c r="D111" s="191" t="s">
        <v>68</v>
      </c>
      <c r="E111" s="192">
        <v>2</v>
      </c>
      <c r="F111" s="193">
        <f>TRUNC(G119,2)</f>
        <v>595.17</v>
      </c>
      <c r="G111" s="193">
        <f>TRUNC(F111*1.2882,2)</f>
        <v>766.69</v>
      </c>
      <c r="H111" s="193">
        <f>TRUNC(F111*E111,2)</f>
        <v>1190.34</v>
      </c>
      <c r="I111" s="194">
        <f>TRUNC(E111*G111,2)</f>
        <v>1533.38</v>
      </c>
      <c r="K111" s="196"/>
    </row>
    <row r="112" spans="1:11" s="98" customFormat="1" ht="13.5">
      <c r="A112" s="158"/>
      <c r="B112" s="86" t="s">
        <v>25</v>
      </c>
      <c r="C112" s="52" t="s">
        <v>93</v>
      </c>
      <c r="D112" s="160" t="s">
        <v>61</v>
      </c>
      <c r="E112" s="53">
        <v>10.6</v>
      </c>
      <c r="F112" s="54">
        <f>TRUNC(7.78,2)</f>
        <v>7.78</v>
      </c>
      <c r="G112" s="54">
        <f aca="true" t="shared" si="3" ref="G112:G118">TRUNC(E112*F112,2)</f>
        <v>82.46</v>
      </c>
      <c r="H112" s="54"/>
      <c r="I112" s="55"/>
      <c r="K112" s="70"/>
    </row>
    <row r="113" spans="1:11" s="98" customFormat="1" ht="13.5">
      <c r="A113" s="158"/>
      <c r="B113" s="86" t="s">
        <v>42</v>
      </c>
      <c r="C113" s="52" t="s">
        <v>92</v>
      </c>
      <c r="D113" s="160" t="s">
        <v>61</v>
      </c>
      <c r="E113" s="53">
        <v>5.3</v>
      </c>
      <c r="F113" s="54">
        <f>TRUNC(31.2,2)</f>
        <v>31.2</v>
      </c>
      <c r="G113" s="54">
        <f t="shared" si="3"/>
        <v>165.36</v>
      </c>
      <c r="H113" s="54"/>
      <c r="I113" s="55"/>
      <c r="K113" s="70"/>
    </row>
    <row r="114" spans="1:11" s="98" customFormat="1" ht="13.5">
      <c r="A114" s="158"/>
      <c r="B114" s="86" t="s">
        <v>50</v>
      </c>
      <c r="C114" s="52" t="s">
        <v>95</v>
      </c>
      <c r="D114" s="160" t="s">
        <v>68</v>
      </c>
      <c r="E114" s="53">
        <v>1</v>
      </c>
      <c r="F114" s="54">
        <f>TRUNC(110,2)</f>
        <v>110</v>
      </c>
      <c r="G114" s="54">
        <f t="shared" si="3"/>
        <v>110</v>
      </c>
      <c r="H114" s="54"/>
      <c r="I114" s="55"/>
      <c r="K114" s="70"/>
    </row>
    <row r="115" spans="1:11" s="98" customFormat="1" ht="27">
      <c r="A115" s="158"/>
      <c r="B115" s="86" t="s">
        <v>64</v>
      </c>
      <c r="C115" s="52" t="s">
        <v>166</v>
      </c>
      <c r="D115" s="160" t="s">
        <v>85</v>
      </c>
      <c r="E115" s="53">
        <v>0.16</v>
      </c>
      <c r="F115" s="54">
        <f>TRUNC(18.8,2)</f>
        <v>18.8</v>
      </c>
      <c r="G115" s="54">
        <f t="shared" si="3"/>
        <v>3</v>
      </c>
      <c r="H115" s="54"/>
      <c r="I115" s="55"/>
      <c r="K115" s="70"/>
    </row>
    <row r="116" spans="1:11" s="98" customFormat="1" ht="27">
      <c r="A116" s="158"/>
      <c r="B116" s="86" t="s">
        <v>97</v>
      </c>
      <c r="C116" s="52" t="s">
        <v>98</v>
      </c>
      <c r="D116" s="160" t="s">
        <v>27</v>
      </c>
      <c r="E116" s="53">
        <v>6.18</v>
      </c>
      <c r="F116" s="54">
        <f>TRUNC(14.34,2)</f>
        <v>14.34</v>
      </c>
      <c r="G116" s="54">
        <f t="shared" si="3"/>
        <v>88.62</v>
      </c>
      <c r="H116" s="54"/>
      <c r="I116" s="55"/>
      <c r="K116" s="70"/>
    </row>
    <row r="117" spans="1:11" s="98" customFormat="1" ht="27">
      <c r="A117" s="158"/>
      <c r="B117" s="86" t="s">
        <v>99</v>
      </c>
      <c r="C117" s="52" t="s">
        <v>100</v>
      </c>
      <c r="D117" s="160" t="s">
        <v>27</v>
      </c>
      <c r="E117" s="53">
        <v>6.18</v>
      </c>
      <c r="F117" s="54">
        <f>TRUNC(21.33,2)</f>
        <v>21.33</v>
      </c>
      <c r="G117" s="54">
        <f t="shared" si="3"/>
        <v>131.81</v>
      </c>
      <c r="H117" s="54"/>
      <c r="I117" s="55"/>
      <c r="K117" s="70"/>
    </row>
    <row r="118" spans="1:11" s="98" customFormat="1" ht="13.5">
      <c r="A118" s="158"/>
      <c r="B118" s="86" t="s">
        <v>107</v>
      </c>
      <c r="C118" s="52" t="s">
        <v>108</v>
      </c>
      <c r="D118" s="160" t="s">
        <v>68</v>
      </c>
      <c r="E118" s="53">
        <v>6</v>
      </c>
      <c r="F118" s="54">
        <f>TRUNC(2.3249,2)</f>
        <v>2.32</v>
      </c>
      <c r="G118" s="54">
        <f t="shared" si="3"/>
        <v>13.92</v>
      </c>
      <c r="H118" s="54"/>
      <c r="I118" s="55"/>
      <c r="K118" s="70"/>
    </row>
    <row r="119" spans="1:11" s="98" customFormat="1" ht="13.5">
      <c r="A119" s="158"/>
      <c r="B119" s="86"/>
      <c r="C119" s="52"/>
      <c r="D119" s="160"/>
      <c r="E119" s="53" t="s">
        <v>70</v>
      </c>
      <c r="F119" s="54"/>
      <c r="G119" s="54">
        <f>TRUNC(SUM(G112:G118),2)</f>
        <v>595.17</v>
      </c>
      <c r="H119" s="54"/>
      <c r="I119" s="55"/>
      <c r="K119" s="70"/>
    </row>
    <row r="120" spans="1:11" s="195" customFormat="1" ht="27">
      <c r="A120" s="188" t="s">
        <v>307</v>
      </c>
      <c r="B120" s="189" t="s">
        <v>592</v>
      </c>
      <c r="C120" s="190" t="s">
        <v>272</v>
      </c>
      <c r="D120" s="191" t="s">
        <v>62</v>
      </c>
      <c r="E120" s="192">
        <v>6</v>
      </c>
      <c r="F120" s="193">
        <f>TRUNC(G126,2)</f>
        <v>154.72</v>
      </c>
      <c r="G120" s="193">
        <f>TRUNC(F120*1.2882,2)</f>
        <v>199.31</v>
      </c>
      <c r="H120" s="193">
        <f>TRUNC(F120*E120,2)</f>
        <v>928.32</v>
      </c>
      <c r="I120" s="194">
        <f>TRUNC(E120*G120,2)</f>
        <v>1195.86</v>
      </c>
      <c r="J120" s="195">
        <v>228.13</v>
      </c>
      <c r="K120" s="196"/>
    </row>
    <row r="121" spans="1:11" s="98" customFormat="1" ht="13.5">
      <c r="A121" s="158"/>
      <c r="B121" s="86" t="s">
        <v>593</v>
      </c>
      <c r="C121" s="52" t="s">
        <v>274</v>
      </c>
      <c r="D121" s="160" t="s">
        <v>68</v>
      </c>
      <c r="E121" s="53">
        <v>0.565</v>
      </c>
      <c r="F121" s="54">
        <f>TRUNC(18.25,2)</f>
        <v>18.25</v>
      </c>
      <c r="G121" s="54">
        <f>TRUNC(E121*F121,2)</f>
        <v>10.31</v>
      </c>
      <c r="H121" s="54"/>
      <c r="I121" s="55"/>
      <c r="K121" s="70"/>
    </row>
    <row r="122" spans="1:11" s="98" customFormat="1" ht="13.5">
      <c r="A122" s="158"/>
      <c r="B122" s="86" t="s">
        <v>594</v>
      </c>
      <c r="C122" s="52" t="s">
        <v>276</v>
      </c>
      <c r="D122" s="160" t="s">
        <v>85</v>
      </c>
      <c r="E122" s="53">
        <v>0.033</v>
      </c>
      <c r="F122" s="54">
        <f>TRUNC(22.53,2)</f>
        <v>22.53</v>
      </c>
      <c r="G122" s="54">
        <f>TRUNC(E122*F122,2)</f>
        <v>0.74</v>
      </c>
      <c r="H122" s="54"/>
      <c r="I122" s="55"/>
      <c r="K122" s="70"/>
    </row>
    <row r="123" spans="1:11" s="98" customFormat="1" ht="13.5">
      <c r="A123" s="158"/>
      <c r="B123" s="86" t="s">
        <v>595</v>
      </c>
      <c r="C123" s="52" t="s">
        <v>278</v>
      </c>
      <c r="D123" s="160" t="s">
        <v>62</v>
      </c>
      <c r="E123" s="53">
        <v>1</v>
      </c>
      <c r="F123" s="54">
        <f>TRUNC(114.39,2)</f>
        <v>114.39</v>
      </c>
      <c r="G123" s="54">
        <f>TRUNC(E123*F123,2)</f>
        <v>114.39</v>
      </c>
      <c r="H123" s="54"/>
      <c r="I123" s="55"/>
      <c r="K123" s="70"/>
    </row>
    <row r="124" spans="1:11" s="98" customFormat="1" ht="13.5">
      <c r="A124" s="158"/>
      <c r="B124" s="86" t="s">
        <v>167</v>
      </c>
      <c r="C124" s="52" t="s">
        <v>125</v>
      </c>
      <c r="D124" s="160" t="s">
        <v>27</v>
      </c>
      <c r="E124" s="53">
        <v>0.646</v>
      </c>
      <c r="F124" s="54">
        <f>TRUNC(24.41,2)</f>
        <v>24.41</v>
      </c>
      <c r="G124" s="54">
        <f>TRUNC(E124*F124,2)</f>
        <v>15.76</v>
      </c>
      <c r="H124" s="54"/>
      <c r="I124" s="55"/>
      <c r="K124" s="70"/>
    </row>
    <row r="125" spans="1:11" s="98" customFormat="1" ht="13.5">
      <c r="A125" s="158"/>
      <c r="B125" s="86" t="s">
        <v>121</v>
      </c>
      <c r="C125" s="52" t="s">
        <v>122</v>
      </c>
      <c r="D125" s="160" t="s">
        <v>27</v>
      </c>
      <c r="E125" s="53">
        <v>0.628</v>
      </c>
      <c r="F125" s="54">
        <f>TRUNC(21.54,2)</f>
        <v>21.54</v>
      </c>
      <c r="G125" s="54">
        <f>TRUNC(E125*F125,2)</f>
        <v>13.52</v>
      </c>
      <c r="H125" s="54"/>
      <c r="I125" s="55"/>
      <c r="K125" s="70"/>
    </row>
    <row r="126" spans="1:11" s="98" customFormat="1" ht="13.5">
      <c r="A126" s="158"/>
      <c r="B126" s="86"/>
      <c r="C126" s="52"/>
      <c r="D126" s="160"/>
      <c r="E126" s="53" t="s">
        <v>70</v>
      </c>
      <c r="F126" s="54"/>
      <c r="G126" s="54">
        <f>TRUNC(SUM(G121:G125),2)</f>
        <v>154.72</v>
      </c>
      <c r="H126" s="54"/>
      <c r="I126" s="55"/>
      <c r="K126" s="70"/>
    </row>
    <row r="127" spans="1:11" s="195" customFormat="1" ht="27">
      <c r="A127" s="188" t="s">
        <v>308</v>
      </c>
      <c r="B127" s="197" t="s">
        <v>279</v>
      </c>
      <c r="C127" s="190" t="s">
        <v>280</v>
      </c>
      <c r="D127" s="191" t="s">
        <v>68</v>
      </c>
      <c r="E127" s="192">
        <v>1</v>
      </c>
      <c r="F127" s="193">
        <f>TRUNC(G131,2)</f>
        <v>737</v>
      </c>
      <c r="G127" s="193">
        <f>TRUNC(F127*1.2882,2)</f>
        <v>949.4</v>
      </c>
      <c r="H127" s="193">
        <f>TRUNC(F127*E127,2)</f>
        <v>737</v>
      </c>
      <c r="I127" s="194">
        <f>TRUNC(E127*G127,2)</f>
        <v>949.4</v>
      </c>
      <c r="K127" s="196"/>
    </row>
    <row r="128" spans="1:11" s="98" customFormat="1" ht="27">
      <c r="A128" s="158"/>
      <c r="B128" s="174" t="s">
        <v>279</v>
      </c>
      <c r="C128" s="159" t="s">
        <v>281</v>
      </c>
      <c r="D128" s="160" t="s">
        <v>68</v>
      </c>
      <c r="E128" s="54">
        <v>1</v>
      </c>
      <c r="F128" s="54">
        <v>869</v>
      </c>
      <c r="G128" s="54">
        <f>TRUNC(E128*F128,2)</f>
        <v>869</v>
      </c>
      <c r="H128" s="54"/>
      <c r="I128" s="55"/>
      <c r="K128" s="70"/>
    </row>
    <row r="129" spans="1:11" s="98" customFormat="1" ht="27">
      <c r="A129" s="158"/>
      <c r="B129" s="174" t="s">
        <v>279</v>
      </c>
      <c r="C129" s="159" t="s">
        <v>282</v>
      </c>
      <c r="D129" s="160" t="s">
        <v>68</v>
      </c>
      <c r="E129" s="54">
        <v>1</v>
      </c>
      <c r="F129" s="54">
        <v>737</v>
      </c>
      <c r="G129" s="54">
        <f>TRUNC(E129*F129,2)</f>
        <v>737</v>
      </c>
      <c r="H129" s="54"/>
      <c r="I129" s="55"/>
      <c r="K129" s="70"/>
    </row>
    <row r="130" spans="1:11" s="98" customFormat="1" ht="27">
      <c r="A130" s="158"/>
      <c r="B130" s="174" t="s">
        <v>279</v>
      </c>
      <c r="C130" s="159" t="s">
        <v>283</v>
      </c>
      <c r="D130" s="160" t="s">
        <v>68</v>
      </c>
      <c r="E130" s="54">
        <v>1</v>
      </c>
      <c r="F130" s="54">
        <v>648</v>
      </c>
      <c r="G130" s="54">
        <f>TRUNC(E130*F130,2)</f>
        <v>648</v>
      </c>
      <c r="H130" s="54"/>
      <c r="I130" s="55"/>
      <c r="K130" s="70"/>
    </row>
    <row r="131" spans="1:11" s="98" customFormat="1" ht="13.5">
      <c r="A131" s="158"/>
      <c r="B131" s="86"/>
      <c r="C131" s="159"/>
      <c r="D131" s="160"/>
      <c r="E131" s="54" t="s">
        <v>70</v>
      </c>
      <c r="F131" s="54"/>
      <c r="G131" s="54">
        <f>G129</f>
        <v>737</v>
      </c>
      <c r="H131" s="54"/>
      <c r="I131" s="55"/>
      <c r="K131" s="70"/>
    </row>
    <row r="132" spans="1:11" s="195" customFormat="1" ht="41.25">
      <c r="A132" s="188" t="s">
        <v>309</v>
      </c>
      <c r="B132" s="197" t="s">
        <v>284</v>
      </c>
      <c r="C132" s="190" t="s">
        <v>285</v>
      </c>
      <c r="D132" s="191" t="s">
        <v>68</v>
      </c>
      <c r="E132" s="192">
        <v>1</v>
      </c>
      <c r="F132" s="193">
        <f>TRUNC(G141,2)</f>
        <v>2302.16</v>
      </c>
      <c r="G132" s="193">
        <f>TRUNC(F132*1.2882,2)</f>
        <v>2965.64</v>
      </c>
      <c r="H132" s="193">
        <f>TRUNC(F132*E132,2)</f>
        <v>2302.16</v>
      </c>
      <c r="I132" s="194">
        <f>TRUNC(E132*G132,2)</f>
        <v>2965.64</v>
      </c>
      <c r="K132" s="196"/>
    </row>
    <row r="133" spans="1:11" s="98" customFormat="1" ht="27">
      <c r="A133" s="158"/>
      <c r="B133" s="86" t="s">
        <v>596</v>
      </c>
      <c r="C133" s="159" t="s">
        <v>287</v>
      </c>
      <c r="D133" s="160" t="s">
        <v>62</v>
      </c>
      <c r="E133" s="54">
        <v>1.89</v>
      </c>
      <c r="F133" s="54">
        <f>TRUNC(502.64,2)</f>
        <v>502.64</v>
      </c>
      <c r="G133" s="54">
        <f aca="true" t="shared" si="4" ref="G133:G139">TRUNC(E133*F133,2)</f>
        <v>949.98</v>
      </c>
      <c r="H133" s="54"/>
      <c r="I133" s="55"/>
      <c r="K133" s="70"/>
    </row>
    <row r="134" spans="1:11" s="98" customFormat="1" ht="13.5">
      <c r="A134" s="158"/>
      <c r="B134" s="86" t="s">
        <v>288</v>
      </c>
      <c r="C134" s="159" t="s">
        <v>289</v>
      </c>
      <c r="D134" s="160" t="s">
        <v>68</v>
      </c>
      <c r="E134" s="54">
        <v>1</v>
      </c>
      <c r="F134" s="54">
        <v>14.96</v>
      </c>
      <c r="G134" s="54">
        <f t="shared" si="4"/>
        <v>14.96</v>
      </c>
      <c r="H134" s="54"/>
      <c r="I134" s="55"/>
      <c r="K134" s="70"/>
    </row>
    <row r="135" spans="1:11" s="98" customFormat="1" ht="13.5">
      <c r="A135" s="158"/>
      <c r="B135" s="86" t="s">
        <v>290</v>
      </c>
      <c r="C135" s="159" t="s">
        <v>291</v>
      </c>
      <c r="D135" s="160" t="s">
        <v>68</v>
      </c>
      <c r="E135" s="54">
        <v>1</v>
      </c>
      <c r="F135" s="54">
        <v>30.86</v>
      </c>
      <c r="G135" s="54">
        <f t="shared" si="4"/>
        <v>30.86</v>
      </c>
      <c r="H135" s="54"/>
      <c r="I135" s="55"/>
      <c r="K135" s="70"/>
    </row>
    <row r="136" spans="1:11" s="98" customFormat="1" ht="13.5">
      <c r="A136" s="158"/>
      <c r="B136" s="86" t="s">
        <v>292</v>
      </c>
      <c r="C136" s="159" t="s">
        <v>293</v>
      </c>
      <c r="D136" s="160" t="s">
        <v>68</v>
      </c>
      <c r="E136" s="54">
        <v>1</v>
      </c>
      <c r="F136" s="54">
        <v>5.22</v>
      </c>
      <c r="G136" s="54">
        <f t="shared" si="4"/>
        <v>5.22</v>
      </c>
      <c r="H136" s="54"/>
      <c r="I136" s="55"/>
      <c r="K136" s="70"/>
    </row>
    <row r="137" spans="1:11" s="98" customFormat="1" ht="13.5">
      <c r="A137" s="158"/>
      <c r="B137" s="86" t="s">
        <v>294</v>
      </c>
      <c r="C137" s="159" t="s">
        <v>295</v>
      </c>
      <c r="D137" s="160" t="s">
        <v>68</v>
      </c>
      <c r="E137" s="54">
        <v>1</v>
      </c>
      <c r="F137" s="54">
        <v>25.65</v>
      </c>
      <c r="G137" s="54">
        <f t="shared" si="4"/>
        <v>25.65</v>
      </c>
      <c r="H137" s="54"/>
      <c r="I137" s="55"/>
      <c r="K137" s="70"/>
    </row>
    <row r="138" spans="1:11" s="98" customFormat="1" ht="13.5">
      <c r="A138" s="158"/>
      <c r="B138" s="86" t="s">
        <v>296</v>
      </c>
      <c r="C138" s="159" t="s">
        <v>297</v>
      </c>
      <c r="D138" s="160" t="s">
        <v>68</v>
      </c>
      <c r="E138" s="54">
        <v>1</v>
      </c>
      <c r="F138" s="54">
        <v>72.96</v>
      </c>
      <c r="G138" s="54">
        <f t="shared" si="4"/>
        <v>72.96</v>
      </c>
      <c r="H138" s="54"/>
      <c r="I138" s="55"/>
      <c r="K138" s="70"/>
    </row>
    <row r="139" spans="1:11" s="98" customFormat="1" ht="13.5">
      <c r="A139" s="158"/>
      <c r="B139" s="86" t="s">
        <v>298</v>
      </c>
      <c r="C139" s="159" t="s">
        <v>299</v>
      </c>
      <c r="D139" s="160" t="s">
        <v>68</v>
      </c>
      <c r="E139" s="54">
        <v>1</v>
      </c>
      <c r="F139" s="54">
        <v>51.45</v>
      </c>
      <c r="G139" s="54">
        <f t="shared" si="4"/>
        <v>51.45</v>
      </c>
      <c r="H139" s="54"/>
      <c r="I139" s="55"/>
      <c r="K139" s="70"/>
    </row>
    <row r="140" spans="1:11" s="98" customFormat="1" ht="13.5">
      <c r="A140" s="158"/>
      <c r="B140" s="86" t="s">
        <v>300</v>
      </c>
      <c r="C140" s="159" t="s">
        <v>301</v>
      </c>
      <c r="D140" s="160" t="s">
        <v>68</v>
      </c>
      <c r="E140" s="54">
        <v>1</v>
      </c>
      <c r="F140" s="54">
        <v>296.7</v>
      </c>
      <c r="G140" s="54">
        <f>TRUNC(SUM(G133:G139),2)</f>
        <v>1151.08</v>
      </c>
      <c r="H140" s="54"/>
      <c r="I140" s="55"/>
      <c r="K140" s="70"/>
    </row>
    <row r="141" spans="1:11" s="98" customFormat="1" ht="13.5">
      <c r="A141" s="158"/>
      <c r="B141" s="86"/>
      <c r="C141" s="159"/>
      <c r="D141" s="160"/>
      <c r="E141" s="54" t="s">
        <v>70</v>
      </c>
      <c r="F141" s="54"/>
      <c r="G141" s="54">
        <f>SUM(G133:G140)</f>
        <v>2302.16</v>
      </c>
      <c r="H141" s="54"/>
      <c r="I141" s="55"/>
      <c r="K141" s="70"/>
    </row>
    <row r="142" spans="1:11" s="195" customFormat="1" ht="13.5">
      <c r="A142" s="188" t="s">
        <v>310</v>
      </c>
      <c r="B142" s="189" t="s">
        <v>597</v>
      </c>
      <c r="C142" s="190" t="s">
        <v>303</v>
      </c>
      <c r="D142" s="191" t="s">
        <v>62</v>
      </c>
      <c r="E142" s="192">
        <v>3.15</v>
      </c>
      <c r="F142" s="193">
        <f>TRUNC(G145,2)</f>
        <v>15.77</v>
      </c>
      <c r="G142" s="193">
        <f>TRUNC(F142*1.2882,2)</f>
        <v>20.31</v>
      </c>
      <c r="H142" s="193">
        <f>TRUNC(F142*E142,2)</f>
        <v>49.67</v>
      </c>
      <c r="I142" s="194">
        <f>TRUNC(E142*G142,2)</f>
        <v>63.97</v>
      </c>
      <c r="K142" s="196"/>
    </row>
    <row r="143" spans="1:11" s="98" customFormat="1" ht="13.5">
      <c r="A143" s="158"/>
      <c r="B143" s="86" t="s">
        <v>167</v>
      </c>
      <c r="C143" s="159" t="s">
        <v>125</v>
      </c>
      <c r="D143" s="160" t="s">
        <v>27</v>
      </c>
      <c r="E143" s="54">
        <v>0.348</v>
      </c>
      <c r="F143" s="54">
        <f>TRUNC(24.41,2)</f>
        <v>24.41</v>
      </c>
      <c r="G143" s="54">
        <f>TRUNC(E143*F143,2)</f>
        <v>8.49</v>
      </c>
      <c r="H143" s="54"/>
      <c r="I143" s="55"/>
      <c r="K143" s="70"/>
    </row>
    <row r="144" spans="1:11" s="98" customFormat="1" ht="13.5">
      <c r="A144" s="158"/>
      <c r="B144" s="86" t="s">
        <v>121</v>
      </c>
      <c r="C144" s="159" t="s">
        <v>122</v>
      </c>
      <c r="D144" s="160" t="s">
        <v>27</v>
      </c>
      <c r="E144" s="54">
        <v>0.338</v>
      </c>
      <c r="F144" s="54">
        <f>TRUNC(21.54,2)</f>
        <v>21.54</v>
      </c>
      <c r="G144" s="54">
        <f>TRUNC(E144*F144,2)</f>
        <v>7.28</v>
      </c>
      <c r="H144" s="54"/>
      <c r="I144" s="55"/>
      <c r="K144" s="70"/>
    </row>
    <row r="145" spans="1:11" s="98" customFormat="1" ht="13.5">
      <c r="A145" s="158"/>
      <c r="B145" s="86"/>
      <c r="C145" s="159"/>
      <c r="D145" s="160"/>
      <c r="E145" s="54" t="s">
        <v>70</v>
      </c>
      <c r="F145" s="54"/>
      <c r="G145" s="54">
        <f>TRUNC(SUM(G143:G144),2)</f>
        <v>15.77</v>
      </c>
      <c r="H145" s="54"/>
      <c r="I145" s="55"/>
      <c r="K145" s="70"/>
    </row>
    <row r="146" spans="1:11" s="195" customFormat="1" ht="27">
      <c r="A146" s="188" t="s">
        <v>311</v>
      </c>
      <c r="B146" s="197" t="s">
        <v>284</v>
      </c>
      <c r="C146" s="190" t="s">
        <v>598</v>
      </c>
      <c r="D146" s="191" t="s">
        <v>68</v>
      </c>
      <c r="E146" s="192">
        <v>1</v>
      </c>
      <c r="F146" s="193">
        <f>TRUNC(G149,2)</f>
        <v>185.98</v>
      </c>
      <c r="G146" s="193">
        <f>TRUNC(F146*1.2882,2)</f>
        <v>239.57</v>
      </c>
      <c r="H146" s="193">
        <f>TRUNC(F146*E146,2)</f>
        <v>185.98</v>
      </c>
      <c r="I146" s="194">
        <f>TRUNC(E146*G146,2)</f>
        <v>239.57</v>
      </c>
      <c r="K146" s="196"/>
    </row>
    <row r="147" spans="1:11" s="98" customFormat="1" ht="13.5">
      <c r="A147" s="158"/>
      <c r="B147" s="86" t="s">
        <v>167</v>
      </c>
      <c r="C147" s="159" t="s">
        <v>125</v>
      </c>
      <c r="D147" s="160" t="s">
        <v>27</v>
      </c>
      <c r="E147" s="54">
        <v>4.1</v>
      </c>
      <c r="F147" s="54">
        <f>TRUNC(24.41,2)</f>
        <v>24.41</v>
      </c>
      <c r="G147" s="54">
        <f>TRUNC(E147*F147,2)</f>
        <v>100.08</v>
      </c>
      <c r="H147" s="54"/>
      <c r="I147" s="55"/>
      <c r="K147" s="70"/>
    </row>
    <row r="148" spans="1:11" s="98" customFormat="1" ht="13.5">
      <c r="A148" s="158"/>
      <c r="B148" s="86" t="s">
        <v>121</v>
      </c>
      <c r="C148" s="159" t="s">
        <v>122</v>
      </c>
      <c r="D148" s="160" t="s">
        <v>27</v>
      </c>
      <c r="E148" s="54">
        <v>3.988</v>
      </c>
      <c r="F148" s="54">
        <f>TRUNC(21.54,2)</f>
        <v>21.54</v>
      </c>
      <c r="G148" s="54">
        <f>TRUNC(E148*F148,2)</f>
        <v>85.9</v>
      </c>
      <c r="H148" s="54"/>
      <c r="I148" s="55"/>
      <c r="K148" s="70"/>
    </row>
    <row r="149" spans="1:11" s="98" customFormat="1" ht="13.5">
      <c r="A149" s="158"/>
      <c r="B149" s="86"/>
      <c r="C149" s="159"/>
      <c r="D149" s="160"/>
      <c r="E149" s="54" t="s">
        <v>70</v>
      </c>
      <c r="F149" s="54"/>
      <c r="G149" s="54">
        <f>TRUNC(SUM(G147:G148),2)</f>
        <v>185.98</v>
      </c>
      <c r="H149" s="54"/>
      <c r="I149" s="55"/>
      <c r="K149" s="70"/>
    </row>
    <row r="150" spans="1:9" s="41" customFormat="1" ht="13.5">
      <c r="A150" s="106" t="s">
        <v>111</v>
      </c>
      <c r="B150" s="100"/>
      <c r="C150" s="76" t="s">
        <v>19</v>
      </c>
      <c r="D150" s="125"/>
      <c r="E150" s="77"/>
      <c r="F150" s="78"/>
      <c r="G150" s="78"/>
      <c r="H150" s="79">
        <f>H69+H76+H85+H89+H95+H103+H111+H120+H127+H132+H142+H146</f>
        <v>26387.509999999995</v>
      </c>
      <c r="I150" s="79">
        <f>I69+I76+I85+I89+I95+I103+I111+I120+I127+I132+I142+I146</f>
        <v>33991.08</v>
      </c>
    </row>
    <row r="151" spans="1:9" s="41" customFormat="1" ht="13.5">
      <c r="A151" s="80" t="s">
        <v>20</v>
      </c>
      <c r="B151" s="111"/>
      <c r="C151" s="81" t="s">
        <v>678</v>
      </c>
      <c r="D151" s="82"/>
      <c r="E151" s="83"/>
      <c r="F151" s="84"/>
      <c r="G151" s="84"/>
      <c r="H151" s="84"/>
      <c r="I151" s="83"/>
    </row>
    <row r="152" spans="1:11" s="195" customFormat="1" ht="69">
      <c r="A152" s="188" t="s">
        <v>43</v>
      </c>
      <c r="B152" s="189" t="s">
        <v>599</v>
      </c>
      <c r="C152" s="190" t="s">
        <v>313</v>
      </c>
      <c r="D152" s="191" t="s">
        <v>62</v>
      </c>
      <c r="E152" s="192">
        <v>21</v>
      </c>
      <c r="F152" s="193">
        <f>TRUNC(G154,2)</f>
        <v>121.5</v>
      </c>
      <c r="G152" s="193">
        <f>TRUNC(F152*1.2882,2)</f>
        <v>156.51</v>
      </c>
      <c r="H152" s="193">
        <f>TRUNC(F152*E152,2)</f>
        <v>2551.5</v>
      </c>
      <c r="I152" s="194">
        <f>TRUNC(E152*G152,2)</f>
        <v>3286.71</v>
      </c>
      <c r="K152" s="196"/>
    </row>
    <row r="153" spans="1:11" s="98" customFormat="1" ht="27">
      <c r="A153" s="158"/>
      <c r="B153" s="86" t="s">
        <v>314</v>
      </c>
      <c r="C153" s="52" t="s">
        <v>315</v>
      </c>
      <c r="D153" s="160" t="s">
        <v>62</v>
      </c>
      <c r="E153" s="53">
        <v>1</v>
      </c>
      <c r="F153" s="54">
        <f>TRUNC(121.5051,2)</f>
        <v>121.5</v>
      </c>
      <c r="G153" s="54">
        <f>TRUNC(E153*F153,2)</f>
        <v>121.5</v>
      </c>
      <c r="H153" s="54"/>
      <c r="I153" s="55"/>
      <c r="K153" s="70"/>
    </row>
    <row r="154" spans="1:11" s="98" customFormat="1" ht="13.5">
      <c r="A154" s="158"/>
      <c r="B154" s="86"/>
      <c r="C154" s="52"/>
      <c r="D154" s="160"/>
      <c r="E154" s="53" t="s">
        <v>70</v>
      </c>
      <c r="F154" s="54"/>
      <c r="G154" s="54">
        <f>TRUNC(SUM(G153:G153),2)</f>
        <v>121.5</v>
      </c>
      <c r="H154" s="54"/>
      <c r="I154" s="55"/>
      <c r="K154" s="70"/>
    </row>
    <row r="155" spans="1:11" s="195" customFormat="1" ht="27">
      <c r="A155" s="188" t="s">
        <v>44</v>
      </c>
      <c r="B155" s="189" t="s">
        <v>600</v>
      </c>
      <c r="C155" s="190" t="s">
        <v>317</v>
      </c>
      <c r="D155" s="191" t="s">
        <v>62</v>
      </c>
      <c r="E155" s="192">
        <v>21</v>
      </c>
      <c r="F155" s="193">
        <f>TRUNC(G159,2)</f>
        <v>91.55</v>
      </c>
      <c r="G155" s="193">
        <f>TRUNC(F155*1.2882,2)</f>
        <v>117.93</v>
      </c>
      <c r="H155" s="193">
        <f>TRUNC(F155*E155,2)</f>
        <v>1922.55</v>
      </c>
      <c r="I155" s="194">
        <f>TRUNC(E155*G155,2)</f>
        <v>2476.53</v>
      </c>
      <c r="K155" s="196"/>
    </row>
    <row r="156" spans="1:11" s="98" customFormat="1" ht="13.5">
      <c r="A156" s="158"/>
      <c r="B156" s="86" t="s">
        <v>173</v>
      </c>
      <c r="C156" s="52" t="s">
        <v>174</v>
      </c>
      <c r="D156" s="160" t="s">
        <v>62</v>
      </c>
      <c r="E156" s="53">
        <v>1.1</v>
      </c>
      <c r="F156" s="54">
        <f>TRUNC(70.452,2)</f>
        <v>70.45</v>
      </c>
      <c r="G156" s="54">
        <f>TRUNC(E156*F156,2)</f>
        <v>77.49</v>
      </c>
      <c r="H156" s="54"/>
      <c r="I156" s="55"/>
      <c r="K156" s="70"/>
    </row>
    <row r="157" spans="1:11" s="98" customFormat="1" ht="13.5">
      <c r="A157" s="158"/>
      <c r="B157" s="86" t="s">
        <v>200</v>
      </c>
      <c r="C157" s="52" t="s">
        <v>201</v>
      </c>
      <c r="D157" s="160" t="s">
        <v>27</v>
      </c>
      <c r="E157" s="53">
        <v>0.41200000000000003</v>
      </c>
      <c r="F157" s="54">
        <f>TRUNC(19.81,2)</f>
        <v>19.81</v>
      </c>
      <c r="G157" s="54">
        <f>TRUNC(E157*F157,2)</f>
        <v>8.16</v>
      </c>
      <c r="H157" s="54"/>
      <c r="I157" s="55"/>
      <c r="K157" s="70"/>
    </row>
    <row r="158" spans="1:11" s="98" customFormat="1" ht="27">
      <c r="A158" s="158"/>
      <c r="B158" s="86" t="s">
        <v>97</v>
      </c>
      <c r="C158" s="52" t="s">
        <v>98</v>
      </c>
      <c r="D158" s="160" t="s">
        <v>27</v>
      </c>
      <c r="E158" s="53">
        <v>0.41200000000000003</v>
      </c>
      <c r="F158" s="54">
        <f>TRUNC(14.34,2)</f>
        <v>14.34</v>
      </c>
      <c r="G158" s="54">
        <f>TRUNC(E158*F158,2)</f>
        <v>5.9</v>
      </c>
      <c r="H158" s="54"/>
      <c r="I158" s="55"/>
      <c r="K158" s="70"/>
    </row>
    <row r="159" spans="1:11" s="98" customFormat="1" ht="13.5">
      <c r="A159" s="158"/>
      <c r="B159" s="86"/>
      <c r="C159" s="52"/>
      <c r="D159" s="160"/>
      <c r="E159" s="53" t="s">
        <v>70</v>
      </c>
      <c r="F159" s="54"/>
      <c r="G159" s="54">
        <f>TRUNC(SUM(G156:G158),2)</f>
        <v>91.55</v>
      </c>
      <c r="H159" s="54"/>
      <c r="I159" s="55"/>
      <c r="K159" s="70"/>
    </row>
    <row r="160" spans="1:11" s="195" customFormat="1" ht="82.5">
      <c r="A160" s="188" t="s">
        <v>363</v>
      </c>
      <c r="B160" s="189" t="s">
        <v>601</v>
      </c>
      <c r="C160" s="190" t="s">
        <v>321</v>
      </c>
      <c r="D160" s="191" t="s">
        <v>62</v>
      </c>
      <c r="E160" s="192">
        <v>89.13</v>
      </c>
      <c r="F160" s="193">
        <f>TRUNC(G172,2)</f>
        <v>88.69</v>
      </c>
      <c r="G160" s="193">
        <f>TRUNC(F160*1.2882,2)</f>
        <v>114.25</v>
      </c>
      <c r="H160" s="193">
        <f>TRUNC(F160*E160,2)</f>
        <v>7904.93</v>
      </c>
      <c r="I160" s="194">
        <f>TRUNC(E160*G160,2)</f>
        <v>10183.1</v>
      </c>
      <c r="K160" s="196"/>
    </row>
    <row r="161" spans="1:11" s="98" customFormat="1" ht="27">
      <c r="A161" s="158"/>
      <c r="B161" s="86" t="s">
        <v>322</v>
      </c>
      <c r="C161" s="52" t="s">
        <v>323</v>
      </c>
      <c r="D161" s="160" t="s">
        <v>68</v>
      </c>
      <c r="E161" s="53">
        <v>2.5556</v>
      </c>
      <c r="F161" s="54">
        <f>TRUNC(0.58,2)</f>
        <v>0.58</v>
      </c>
      <c r="G161" s="54">
        <f aca="true" t="shared" si="5" ref="G161:G171">TRUNC(E161*F161,2)</f>
        <v>1.48</v>
      </c>
      <c r="H161" s="54"/>
      <c r="I161" s="55"/>
      <c r="K161" s="70"/>
    </row>
    <row r="162" spans="1:11" s="98" customFormat="1" ht="27">
      <c r="A162" s="158"/>
      <c r="B162" s="86" t="s">
        <v>324</v>
      </c>
      <c r="C162" s="52" t="s">
        <v>325</v>
      </c>
      <c r="D162" s="160" t="s">
        <v>68</v>
      </c>
      <c r="E162" s="53">
        <v>20</v>
      </c>
      <c r="F162" s="54">
        <f>TRUNC(0.0462,2)</f>
        <v>0.04</v>
      </c>
      <c r="G162" s="54">
        <f t="shared" si="5"/>
        <v>0.8</v>
      </c>
      <c r="H162" s="54"/>
      <c r="I162" s="55"/>
      <c r="K162" s="70"/>
    </row>
    <row r="163" spans="1:11" s="98" customFormat="1" ht="27">
      <c r="A163" s="158"/>
      <c r="B163" s="86" t="s">
        <v>326</v>
      </c>
      <c r="C163" s="52" t="s">
        <v>327</v>
      </c>
      <c r="D163" s="160" t="s">
        <v>61</v>
      </c>
      <c r="E163" s="53">
        <v>1.75</v>
      </c>
      <c r="F163" s="54">
        <f>TRUNC(9.92,2)</f>
        <v>9.92</v>
      </c>
      <c r="G163" s="54">
        <f t="shared" si="5"/>
        <v>17.36</v>
      </c>
      <c r="H163" s="54"/>
      <c r="I163" s="55"/>
      <c r="K163" s="70"/>
    </row>
    <row r="164" spans="1:11" s="98" customFormat="1" ht="27">
      <c r="A164" s="158"/>
      <c r="B164" s="86" t="s">
        <v>328</v>
      </c>
      <c r="C164" s="52" t="s">
        <v>329</v>
      </c>
      <c r="D164" s="160" t="s">
        <v>61</v>
      </c>
      <c r="E164" s="53">
        <v>0.7</v>
      </c>
      <c r="F164" s="54">
        <f>TRUNC(8.25,2)</f>
        <v>8.25</v>
      </c>
      <c r="G164" s="54">
        <f t="shared" si="5"/>
        <v>5.77</v>
      </c>
      <c r="H164" s="54"/>
      <c r="I164" s="55"/>
      <c r="K164" s="70"/>
    </row>
    <row r="165" spans="1:11" s="98" customFormat="1" ht="27">
      <c r="A165" s="158"/>
      <c r="B165" s="86" t="s">
        <v>330</v>
      </c>
      <c r="C165" s="52" t="s">
        <v>331</v>
      </c>
      <c r="D165" s="160" t="s">
        <v>85</v>
      </c>
      <c r="E165" s="53">
        <v>1.0327</v>
      </c>
      <c r="F165" s="54">
        <f>TRUNC(2.38,2)</f>
        <v>2.38</v>
      </c>
      <c r="G165" s="54">
        <f t="shared" si="5"/>
        <v>2.45</v>
      </c>
      <c r="H165" s="54"/>
      <c r="I165" s="55"/>
      <c r="K165" s="70"/>
    </row>
    <row r="166" spans="1:11" s="98" customFormat="1" ht="13.5">
      <c r="A166" s="158"/>
      <c r="B166" s="86" t="s">
        <v>332</v>
      </c>
      <c r="C166" s="52" t="s">
        <v>333</v>
      </c>
      <c r="D166" s="160" t="s">
        <v>61</v>
      </c>
      <c r="E166" s="53">
        <v>0.7</v>
      </c>
      <c r="F166" s="54">
        <f>TRUNC(2.75,2)</f>
        <v>2.75</v>
      </c>
      <c r="G166" s="54">
        <f t="shared" si="5"/>
        <v>1.92</v>
      </c>
      <c r="H166" s="54"/>
      <c r="I166" s="55"/>
      <c r="K166" s="70"/>
    </row>
    <row r="167" spans="1:11" s="98" customFormat="1" ht="27">
      <c r="A167" s="158"/>
      <c r="B167" s="86" t="s">
        <v>334</v>
      </c>
      <c r="C167" s="52" t="s">
        <v>335</v>
      </c>
      <c r="D167" s="160" t="s">
        <v>61</v>
      </c>
      <c r="E167" s="53">
        <v>2.8</v>
      </c>
      <c r="F167" s="54">
        <f>TRUNC(0.27,2)</f>
        <v>0.27</v>
      </c>
      <c r="G167" s="54">
        <f t="shared" si="5"/>
        <v>0.75</v>
      </c>
      <c r="H167" s="54"/>
      <c r="I167" s="55"/>
      <c r="K167" s="70"/>
    </row>
    <row r="168" spans="1:11" s="98" customFormat="1" ht="27">
      <c r="A168" s="158"/>
      <c r="B168" s="86" t="s">
        <v>336</v>
      </c>
      <c r="C168" s="52" t="s">
        <v>337</v>
      </c>
      <c r="D168" s="160" t="s">
        <v>62</v>
      </c>
      <c r="E168" s="53">
        <v>1.05</v>
      </c>
      <c r="F168" s="54">
        <f>TRUNC(8.97,2)</f>
        <v>8.97</v>
      </c>
      <c r="G168" s="54">
        <f t="shared" si="5"/>
        <v>9.41</v>
      </c>
      <c r="H168" s="54"/>
      <c r="I168" s="55"/>
      <c r="K168" s="70"/>
    </row>
    <row r="169" spans="1:11" s="98" customFormat="1" ht="27">
      <c r="A169" s="158"/>
      <c r="B169" s="86" t="s">
        <v>338</v>
      </c>
      <c r="C169" s="52" t="s">
        <v>339</v>
      </c>
      <c r="D169" s="160" t="s">
        <v>62</v>
      </c>
      <c r="E169" s="53">
        <v>2.1</v>
      </c>
      <c r="F169" s="54">
        <f>TRUNC(15.73,2)</f>
        <v>15.73</v>
      </c>
      <c r="G169" s="54">
        <f t="shared" si="5"/>
        <v>33.03</v>
      </c>
      <c r="H169" s="54"/>
      <c r="I169" s="55"/>
      <c r="K169" s="70"/>
    </row>
    <row r="170" spans="1:11" s="98" customFormat="1" ht="27">
      <c r="A170" s="158"/>
      <c r="B170" s="86" t="s">
        <v>97</v>
      </c>
      <c r="C170" s="52" t="s">
        <v>98</v>
      </c>
      <c r="D170" s="160" t="s">
        <v>27</v>
      </c>
      <c r="E170" s="53">
        <v>0.15779600000000002</v>
      </c>
      <c r="F170" s="54">
        <f>TRUNC(14.34,2)</f>
        <v>14.34</v>
      </c>
      <c r="G170" s="54">
        <f t="shared" si="5"/>
        <v>2.26</v>
      </c>
      <c r="H170" s="54"/>
      <c r="I170" s="55"/>
      <c r="K170" s="70"/>
    </row>
    <row r="171" spans="1:11" s="98" customFormat="1" ht="27">
      <c r="A171" s="158"/>
      <c r="B171" s="86" t="s">
        <v>602</v>
      </c>
      <c r="C171" s="52" t="s">
        <v>603</v>
      </c>
      <c r="D171" s="160" t="s">
        <v>27</v>
      </c>
      <c r="E171" s="53">
        <v>0.631287</v>
      </c>
      <c r="F171" s="54">
        <f>TRUNC(21.33,2)</f>
        <v>21.33</v>
      </c>
      <c r="G171" s="54">
        <f t="shared" si="5"/>
        <v>13.46</v>
      </c>
      <c r="H171" s="54"/>
      <c r="I171" s="55"/>
      <c r="K171" s="70"/>
    </row>
    <row r="172" spans="1:11" s="98" customFormat="1" ht="13.5">
      <c r="A172" s="158"/>
      <c r="B172" s="86"/>
      <c r="C172" s="52"/>
      <c r="D172" s="160"/>
      <c r="E172" s="53" t="s">
        <v>70</v>
      </c>
      <c r="F172" s="54"/>
      <c r="G172" s="54">
        <f>TRUNC(SUM(G161:G171),2)</f>
        <v>88.69</v>
      </c>
      <c r="H172" s="54"/>
      <c r="I172" s="55"/>
      <c r="K172" s="70"/>
    </row>
    <row r="173" spans="1:11" s="195" customFormat="1" ht="13.5">
      <c r="A173" s="188" t="s">
        <v>364</v>
      </c>
      <c r="B173" s="197" t="s">
        <v>279</v>
      </c>
      <c r="C173" s="190" t="s">
        <v>342</v>
      </c>
      <c r="D173" s="191" t="s">
        <v>62</v>
      </c>
      <c r="E173" s="192">
        <v>73.53</v>
      </c>
      <c r="F173" s="193">
        <f>G177</f>
        <v>59.96</v>
      </c>
      <c r="G173" s="193">
        <f>TRUNC(F173*1.2882,2)</f>
        <v>77.24</v>
      </c>
      <c r="H173" s="193">
        <f>TRUNC(F173*E173,2)</f>
        <v>4408.85</v>
      </c>
      <c r="I173" s="194">
        <f>TRUNC(E173*G173,2)</f>
        <v>5679.45</v>
      </c>
      <c r="K173" s="196"/>
    </row>
    <row r="174" spans="1:11" s="98" customFormat="1" ht="13.5">
      <c r="A174" s="158"/>
      <c r="B174" s="174" t="s">
        <v>279</v>
      </c>
      <c r="C174" s="159" t="s">
        <v>344</v>
      </c>
      <c r="D174" s="160" t="s">
        <v>62</v>
      </c>
      <c r="E174" s="54">
        <v>1</v>
      </c>
      <c r="F174" s="54">
        <v>46.38</v>
      </c>
      <c r="G174" s="54">
        <f>TRUNC(E174*F174,2)</f>
        <v>46.38</v>
      </c>
      <c r="H174" s="54"/>
      <c r="I174" s="55"/>
      <c r="K174" s="70"/>
    </row>
    <row r="175" spans="1:11" s="98" customFormat="1" ht="13.5">
      <c r="A175" s="158"/>
      <c r="B175" s="174" t="s">
        <v>279</v>
      </c>
      <c r="C175" s="159" t="s">
        <v>343</v>
      </c>
      <c r="D175" s="160" t="s">
        <v>62</v>
      </c>
      <c r="E175" s="54">
        <v>1</v>
      </c>
      <c r="F175" s="54">
        <v>59.96</v>
      </c>
      <c r="G175" s="54">
        <f>TRUNC(E175*F175,2)</f>
        <v>59.96</v>
      </c>
      <c r="H175" s="54"/>
      <c r="I175" s="55"/>
      <c r="K175" s="70"/>
    </row>
    <row r="176" spans="1:11" s="98" customFormat="1" ht="13.5">
      <c r="A176" s="158"/>
      <c r="B176" s="174" t="s">
        <v>279</v>
      </c>
      <c r="C176" s="159" t="s">
        <v>345</v>
      </c>
      <c r="D176" s="160" t="s">
        <v>62</v>
      </c>
      <c r="E176" s="54">
        <v>1</v>
      </c>
      <c r="F176" s="54">
        <v>94.35</v>
      </c>
      <c r="G176" s="54">
        <f>TRUNC(E176*F176,2)</f>
        <v>94.35</v>
      </c>
      <c r="H176" s="54"/>
      <c r="I176" s="55"/>
      <c r="K176" s="70"/>
    </row>
    <row r="177" spans="1:11" s="98" customFormat="1" ht="13.5">
      <c r="A177" s="158"/>
      <c r="B177" s="86"/>
      <c r="C177" s="159"/>
      <c r="D177" s="160"/>
      <c r="E177" s="54" t="s">
        <v>70</v>
      </c>
      <c r="F177" s="54"/>
      <c r="G177" s="54">
        <f>TRUNC(SUM(G175),2)</f>
        <v>59.96</v>
      </c>
      <c r="H177" s="54"/>
      <c r="I177" s="55"/>
      <c r="K177" s="70"/>
    </row>
    <row r="178" spans="1:11" s="195" customFormat="1" ht="27">
      <c r="A178" s="188" t="s">
        <v>365</v>
      </c>
      <c r="B178" s="189" t="s">
        <v>604</v>
      </c>
      <c r="C178" s="190" t="s">
        <v>347</v>
      </c>
      <c r="D178" s="191" t="s">
        <v>62</v>
      </c>
      <c r="E178" s="192">
        <v>188.12</v>
      </c>
      <c r="F178" s="193">
        <f>TRUNC(G180,2)</f>
        <v>55</v>
      </c>
      <c r="G178" s="193">
        <f>TRUNC(F178*1.2882,2)</f>
        <v>70.85</v>
      </c>
      <c r="H178" s="193">
        <f>TRUNC(F178*E178,2)</f>
        <v>10346.6</v>
      </c>
      <c r="I178" s="194">
        <f>TRUNC(E178*G178,2)</f>
        <v>13328.3</v>
      </c>
      <c r="K178" s="196"/>
    </row>
    <row r="179" spans="1:11" s="98" customFormat="1" ht="27">
      <c r="A179" s="158"/>
      <c r="B179" s="86" t="s">
        <v>348</v>
      </c>
      <c r="C179" s="52" t="s">
        <v>349</v>
      </c>
      <c r="D179" s="160" t="s">
        <v>62</v>
      </c>
      <c r="E179" s="53">
        <v>1</v>
      </c>
      <c r="F179" s="54">
        <f>TRUNC(55,2)</f>
        <v>55</v>
      </c>
      <c r="G179" s="54">
        <f>TRUNC(E179*F179,2)</f>
        <v>55</v>
      </c>
      <c r="H179" s="54"/>
      <c r="I179" s="55"/>
      <c r="K179" s="70"/>
    </row>
    <row r="180" spans="1:11" s="98" customFormat="1" ht="13.5">
      <c r="A180" s="158"/>
      <c r="B180" s="86"/>
      <c r="C180" s="52"/>
      <c r="D180" s="160"/>
      <c r="E180" s="53" t="s">
        <v>70</v>
      </c>
      <c r="F180" s="54"/>
      <c r="G180" s="54">
        <f>TRUNC(SUM(G179:G179),2)</f>
        <v>55</v>
      </c>
      <c r="H180" s="54"/>
      <c r="I180" s="55"/>
      <c r="K180" s="70"/>
    </row>
    <row r="181" spans="1:11" s="195" customFormat="1" ht="13.5">
      <c r="A181" s="188" t="s">
        <v>366</v>
      </c>
      <c r="B181" s="189" t="s">
        <v>605</v>
      </c>
      <c r="C181" s="190" t="s">
        <v>351</v>
      </c>
      <c r="D181" s="191" t="s">
        <v>62</v>
      </c>
      <c r="E181" s="192">
        <v>8.4</v>
      </c>
      <c r="F181" s="193">
        <f>TRUNC(G190,2)</f>
        <v>53.29</v>
      </c>
      <c r="G181" s="193">
        <f>TRUNC(F181*1.2882,2)</f>
        <v>68.64</v>
      </c>
      <c r="H181" s="193">
        <f>TRUNC(F181*E181,2)</f>
        <v>447.63</v>
      </c>
      <c r="I181" s="194">
        <f>TRUNC(E181*G181,2)</f>
        <v>576.57</v>
      </c>
      <c r="K181" s="196"/>
    </row>
    <row r="182" spans="1:11" s="98" customFormat="1" ht="13.5">
      <c r="A182" s="158"/>
      <c r="B182" s="86" t="s">
        <v>606</v>
      </c>
      <c r="C182" s="52" t="s">
        <v>359</v>
      </c>
      <c r="D182" s="160" t="s">
        <v>360</v>
      </c>
      <c r="E182" s="53">
        <v>0.0307</v>
      </c>
      <c r="F182" s="54">
        <f>TRUNC(36.48,2)</f>
        <v>36.48</v>
      </c>
      <c r="G182" s="54">
        <f aca="true" t="shared" si="6" ref="G182:G189">TRUNC(E182*F182,2)</f>
        <v>1.11</v>
      </c>
      <c r="H182" s="54"/>
      <c r="I182" s="55"/>
      <c r="K182" s="70"/>
    </row>
    <row r="183" spans="1:11" s="98" customFormat="1" ht="13.5">
      <c r="A183" s="158"/>
      <c r="B183" s="86" t="s">
        <v>607</v>
      </c>
      <c r="C183" s="52" t="s">
        <v>353</v>
      </c>
      <c r="D183" s="160" t="s">
        <v>85</v>
      </c>
      <c r="E183" s="53">
        <v>0.0078</v>
      </c>
      <c r="F183" s="54">
        <f>TRUNC(14.45,2)</f>
        <v>14.45</v>
      </c>
      <c r="G183" s="54">
        <f t="shared" si="6"/>
        <v>0.11</v>
      </c>
      <c r="H183" s="54"/>
      <c r="I183" s="55"/>
      <c r="K183" s="70"/>
    </row>
    <row r="184" spans="1:11" s="98" customFormat="1" ht="13.5">
      <c r="A184" s="158"/>
      <c r="B184" s="86" t="s">
        <v>608</v>
      </c>
      <c r="C184" s="52" t="s">
        <v>355</v>
      </c>
      <c r="D184" s="160" t="s">
        <v>85</v>
      </c>
      <c r="E184" s="53">
        <v>0.0037</v>
      </c>
      <c r="F184" s="54">
        <f>TRUNC(26.4,2)</f>
        <v>26.4</v>
      </c>
      <c r="G184" s="54">
        <f t="shared" si="6"/>
        <v>0.09</v>
      </c>
      <c r="H184" s="54"/>
      <c r="I184" s="55"/>
      <c r="K184" s="70"/>
    </row>
    <row r="185" spans="1:11" s="98" customFormat="1" ht="13.5">
      <c r="A185" s="158"/>
      <c r="B185" s="86" t="s">
        <v>609</v>
      </c>
      <c r="C185" s="52" t="s">
        <v>357</v>
      </c>
      <c r="D185" s="160" t="s">
        <v>62</v>
      </c>
      <c r="E185" s="53">
        <v>1.074</v>
      </c>
      <c r="F185" s="54">
        <f>TRUNC(9.72,2)</f>
        <v>9.72</v>
      </c>
      <c r="G185" s="54">
        <f t="shared" si="6"/>
        <v>10.43</v>
      </c>
      <c r="H185" s="54"/>
      <c r="I185" s="55"/>
      <c r="K185" s="70"/>
    </row>
    <row r="186" spans="1:11" s="98" customFormat="1" ht="13.5">
      <c r="A186" s="158"/>
      <c r="B186" s="86" t="s">
        <v>208</v>
      </c>
      <c r="C186" s="52" t="s">
        <v>209</v>
      </c>
      <c r="D186" s="160" t="s">
        <v>85</v>
      </c>
      <c r="E186" s="53">
        <v>0.9964</v>
      </c>
      <c r="F186" s="54">
        <f>TRUNC(0.69,2)</f>
        <v>0.69</v>
      </c>
      <c r="G186" s="54">
        <f t="shared" si="6"/>
        <v>0.68</v>
      </c>
      <c r="H186" s="54"/>
      <c r="I186" s="55"/>
      <c r="K186" s="70"/>
    </row>
    <row r="187" spans="1:11" s="98" customFormat="1" ht="13.5">
      <c r="A187" s="158"/>
      <c r="B187" s="86" t="s">
        <v>610</v>
      </c>
      <c r="C187" s="52" t="s">
        <v>362</v>
      </c>
      <c r="D187" s="160" t="s">
        <v>85</v>
      </c>
      <c r="E187" s="53">
        <v>0.025</v>
      </c>
      <c r="F187" s="54">
        <f>TRUNC(34.52,2)</f>
        <v>34.52</v>
      </c>
      <c r="G187" s="54">
        <f t="shared" si="6"/>
        <v>0.86</v>
      </c>
      <c r="H187" s="54"/>
      <c r="I187" s="55"/>
      <c r="K187" s="70"/>
    </row>
    <row r="188" spans="1:11" s="98" customFormat="1" ht="13.5">
      <c r="A188" s="158"/>
      <c r="B188" s="86" t="s">
        <v>121</v>
      </c>
      <c r="C188" s="52" t="s">
        <v>122</v>
      </c>
      <c r="D188" s="160" t="s">
        <v>27</v>
      </c>
      <c r="E188" s="53">
        <v>0.5371</v>
      </c>
      <c r="F188" s="54">
        <f>TRUNC(21.54,2)</f>
        <v>21.54</v>
      </c>
      <c r="G188" s="54">
        <f t="shared" si="6"/>
        <v>11.56</v>
      </c>
      <c r="H188" s="54"/>
      <c r="I188" s="55"/>
      <c r="K188" s="70"/>
    </row>
    <row r="189" spans="1:11" s="98" customFormat="1" ht="13.5">
      <c r="A189" s="158"/>
      <c r="B189" s="86" t="s">
        <v>210</v>
      </c>
      <c r="C189" s="52" t="s">
        <v>211</v>
      </c>
      <c r="D189" s="160" t="s">
        <v>27</v>
      </c>
      <c r="E189" s="53">
        <v>1.0741</v>
      </c>
      <c r="F189" s="54">
        <f>TRUNC(26.49,2)</f>
        <v>26.49</v>
      </c>
      <c r="G189" s="54">
        <f t="shared" si="6"/>
        <v>28.45</v>
      </c>
      <c r="H189" s="54"/>
      <c r="I189" s="55"/>
      <c r="K189" s="70"/>
    </row>
    <row r="190" spans="1:11" s="98" customFormat="1" ht="13.5">
      <c r="A190" s="158"/>
      <c r="B190" s="86"/>
      <c r="C190" s="52"/>
      <c r="D190" s="160"/>
      <c r="E190" s="53" t="s">
        <v>70</v>
      </c>
      <c r="F190" s="54"/>
      <c r="G190" s="54">
        <f>TRUNC(SUM(G182:G189),2)</f>
        <v>53.29</v>
      </c>
      <c r="H190" s="54"/>
      <c r="I190" s="55"/>
      <c r="K190" s="70"/>
    </row>
    <row r="191" spans="1:9" s="41" customFormat="1" ht="13.5">
      <c r="A191" s="106" t="s">
        <v>111</v>
      </c>
      <c r="B191" s="100"/>
      <c r="C191" s="76" t="s">
        <v>41</v>
      </c>
      <c r="D191" s="125"/>
      <c r="E191" s="77"/>
      <c r="F191" s="78"/>
      <c r="G191" s="78"/>
      <c r="H191" s="79">
        <f>H152+H155+H160+H173+H178+H181</f>
        <v>27582.06</v>
      </c>
      <c r="I191" s="79">
        <f>I152+I155+I160+I173+I178+I181</f>
        <v>35530.659999999996</v>
      </c>
    </row>
    <row r="192" spans="1:9" ht="13.5">
      <c r="A192" s="99" t="s">
        <v>21</v>
      </c>
      <c r="B192" s="111"/>
      <c r="C192" s="87" t="s">
        <v>679</v>
      </c>
      <c r="D192" s="119"/>
      <c r="E192" s="87"/>
      <c r="F192" s="88"/>
      <c r="G192" s="88"/>
      <c r="H192" s="88"/>
      <c r="I192" s="89"/>
    </row>
    <row r="193" spans="1:11" s="195" customFormat="1" ht="41.25">
      <c r="A193" s="188" t="s">
        <v>53</v>
      </c>
      <c r="B193" s="189" t="s">
        <v>611</v>
      </c>
      <c r="C193" s="190" t="s">
        <v>368</v>
      </c>
      <c r="D193" s="191" t="s">
        <v>61</v>
      </c>
      <c r="E193" s="192">
        <v>2.6</v>
      </c>
      <c r="F193" s="193">
        <f>TRUNC(G199,2)</f>
        <v>286.36</v>
      </c>
      <c r="G193" s="193">
        <f>TRUNC(F193*1.2882,2)</f>
        <v>368.88</v>
      </c>
      <c r="H193" s="193">
        <f>TRUNC(F193*E193,2)</f>
        <v>744.53</v>
      </c>
      <c r="I193" s="194">
        <f>TRUNC(E193*G193,2)</f>
        <v>959.08</v>
      </c>
      <c r="K193" s="196"/>
    </row>
    <row r="194" spans="1:11" s="98" customFormat="1" ht="13.5">
      <c r="A194" s="158"/>
      <c r="B194" s="86" t="s">
        <v>369</v>
      </c>
      <c r="C194" s="52" t="s">
        <v>370</v>
      </c>
      <c r="D194" s="160" t="s">
        <v>61</v>
      </c>
      <c r="E194" s="53">
        <v>1</v>
      </c>
      <c r="F194" s="54">
        <f>TRUNC(189.75,2)</f>
        <v>189.75</v>
      </c>
      <c r="G194" s="54">
        <f>TRUNC(E194*F194,2)</f>
        <v>189.75</v>
      </c>
      <c r="H194" s="54"/>
      <c r="I194" s="55"/>
      <c r="K194" s="70"/>
    </row>
    <row r="195" spans="1:11" s="98" customFormat="1" ht="27">
      <c r="A195" s="158"/>
      <c r="B195" s="86" t="s">
        <v>97</v>
      </c>
      <c r="C195" s="52" t="s">
        <v>98</v>
      </c>
      <c r="D195" s="160" t="s">
        <v>27</v>
      </c>
      <c r="E195" s="53">
        <v>0.4326</v>
      </c>
      <c r="F195" s="54">
        <f>TRUNC(14.34,2)</f>
        <v>14.34</v>
      </c>
      <c r="G195" s="54">
        <f>TRUNC(E195*F195,2)</f>
        <v>6.2</v>
      </c>
      <c r="H195" s="54"/>
      <c r="I195" s="55"/>
      <c r="K195" s="70"/>
    </row>
    <row r="196" spans="1:11" s="98" customFormat="1" ht="13.5">
      <c r="A196" s="158"/>
      <c r="B196" s="86" t="s">
        <v>101</v>
      </c>
      <c r="C196" s="52" t="s">
        <v>102</v>
      </c>
      <c r="D196" s="160" t="s">
        <v>27</v>
      </c>
      <c r="E196" s="53">
        <v>0.4326</v>
      </c>
      <c r="F196" s="54">
        <f>TRUNC(19.81,2)</f>
        <v>19.81</v>
      </c>
      <c r="G196" s="54">
        <f>TRUNC(E196*F196,2)</f>
        <v>8.56</v>
      </c>
      <c r="H196" s="54"/>
      <c r="I196" s="55"/>
      <c r="K196" s="70"/>
    </row>
    <row r="197" spans="1:11" s="98" customFormat="1" ht="13.5">
      <c r="A197" s="158"/>
      <c r="B197" s="86" t="s">
        <v>612</v>
      </c>
      <c r="C197" s="52" t="s">
        <v>613</v>
      </c>
      <c r="D197" s="160" t="s">
        <v>62</v>
      </c>
      <c r="E197" s="53">
        <v>0.72</v>
      </c>
      <c r="F197" s="54">
        <f>TRUNC(54.9613,2)</f>
        <v>54.96</v>
      </c>
      <c r="G197" s="54">
        <f>TRUNC(E197*F197,2)</f>
        <v>39.57</v>
      </c>
      <c r="H197" s="54"/>
      <c r="I197" s="55"/>
      <c r="K197" s="70"/>
    </row>
    <row r="198" spans="1:11" s="98" customFormat="1" ht="13.5">
      <c r="A198" s="158"/>
      <c r="B198" s="86" t="s">
        <v>614</v>
      </c>
      <c r="C198" s="52" t="s">
        <v>615</v>
      </c>
      <c r="D198" s="160" t="s">
        <v>26</v>
      </c>
      <c r="E198" s="53">
        <v>0.02</v>
      </c>
      <c r="F198" s="54">
        <f>TRUNC(2114.1727,2)</f>
        <v>2114.17</v>
      </c>
      <c r="G198" s="54">
        <f>TRUNC(E198*F198,2)</f>
        <v>42.28</v>
      </c>
      <c r="H198" s="54"/>
      <c r="I198" s="55"/>
      <c r="K198" s="70"/>
    </row>
    <row r="199" spans="1:11" s="98" customFormat="1" ht="13.5">
      <c r="A199" s="158"/>
      <c r="B199" s="86"/>
      <c r="C199" s="52"/>
      <c r="D199" s="160"/>
      <c r="E199" s="53" t="s">
        <v>70</v>
      </c>
      <c r="F199" s="54"/>
      <c r="G199" s="54">
        <f>TRUNC(SUM(G194:G198),2)</f>
        <v>286.36</v>
      </c>
      <c r="H199" s="54"/>
      <c r="I199" s="55"/>
      <c r="K199" s="70"/>
    </row>
    <row r="200" spans="1:11" s="195" customFormat="1" ht="41.25">
      <c r="A200" s="188" t="s">
        <v>31</v>
      </c>
      <c r="B200" s="189" t="s">
        <v>616</v>
      </c>
      <c r="C200" s="190" t="s">
        <v>376</v>
      </c>
      <c r="D200" s="191" t="s">
        <v>62</v>
      </c>
      <c r="E200" s="192">
        <v>0.72</v>
      </c>
      <c r="F200" s="193">
        <f>TRUNC(G206,2)</f>
        <v>499.03</v>
      </c>
      <c r="G200" s="193">
        <f>TRUNC(F200*1.2882,2)</f>
        <v>642.85</v>
      </c>
      <c r="H200" s="193">
        <f>TRUNC(F200*E200,2)</f>
        <v>359.3</v>
      </c>
      <c r="I200" s="194">
        <f>TRUNC(E200*G200,2)</f>
        <v>462.85</v>
      </c>
      <c r="K200" s="196"/>
    </row>
    <row r="201" spans="1:11" s="98" customFormat="1" ht="27">
      <c r="A201" s="158"/>
      <c r="B201" s="86" t="s">
        <v>377</v>
      </c>
      <c r="C201" s="52" t="s">
        <v>378</v>
      </c>
      <c r="D201" s="160" t="s">
        <v>68</v>
      </c>
      <c r="E201" s="53">
        <v>1.3889</v>
      </c>
      <c r="F201" s="54">
        <f>TRUNC(260.67,2)</f>
        <v>260.67</v>
      </c>
      <c r="G201" s="54">
        <f>TRUNC(E201*F201,2)</f>
        <v>362.04</v>
      </c>
      <c r="H201" s="54"/>
      <c r="I201" s="55"/>
      <c r="K201" s="70"/>
    </row>
    <row r="202" spans="1:11" s="98" customFormat="1" ht="27">
      <c r="A202" s="158"/>
      <c r="B202" s="86" t="s">
        <v>97</v>
      </c>
      <c r="C202" s="52" t="s">
        <v>98</v>
      </c>
      <c r="D202" s="160" t="s">
        <v>27</v>
      </c>
      <c r="E202" s="53">
        <v>0.8549</v>
      </c>
      <c r="F202" s="54">
        <f>TRUNC(14.34,2)</f>
        <v>14.34</v>
      </c>
      <c r="G202" s="54">
        <f>TRUNC(E202*F202,2)</f>
        <v>12.25</v>
      </c>
      <c r="H202" s="54"/>
      <c r="I202" s="55"/>
      <c r="K202" s="70"/>
    </row>
    <row r="203" spans="1:11" s="98" customFormat="1" ht="13.5">
      <c r="A203" s="158"/>
      <c r="B203" s="86" t="s">
        <v>101</v>
      </c>
      <c r="C203" s="52" t="s">
        <v>102</v>
      </c>
      <c r="D203" s="160" t="s">
        <v>27</v>
      </c>
      <c r="E203" s="53">
        <v>0.8549</v>
      </c>
      <c r="F203" s="54">
        <f>TRUNC(19.81,2)</f>
        <v>19.81</v>
      </c>
      <c r="G203" s="54">
        <f>TRUNC(E203*F203,2)</f>
        <v>16.93</v>
      </c>
      <c r="H203" s="54"/>
      <c r="I203" s="55"/>
      <c r="K203" s="70"/>
    </row>
    <row r="204" spans="1:11" s="98" customFormat="1" ht="13.5">
      <c r="A204" s="158"/>
      <c r="B204" s="86" t="s">
        <v>612</v>
      </c>
      <c r="C204" s="52" t="s">
        <v>613</v>
      </c>
      <c r="D204" s="160" t="s">
        <v>62</v>
      </c>
      <c r="E204" s="53">
        <v>1</v>
      </c>
      <c r="F204" s="54">
        <f>TRUNC(54.9613,2)</f>
        <v>54.96</v>
      </c>
      <c r="G204" s="54">
        <f>TRUNC(E204*F204,2)</f>
        <v>54.96</v>
      </c>
      <c r="H204" s="54"/>
      <c r="I204" s="55"/>
      <c r="K204" s="70"/>
    </row>
    <row r="205" spans="1:11" s="98" customFormat="1" ht="13.5">
      <c r="A205" s="158"/>
      <c r="B205" s="86" t="s">
        <v>614</v>
      </c>
      <c r="C205" s="52" t="s">
        <v>615</v>
      </c>
      <c r="D205" s="160" t="s">
        <v>26</v>
      </c>
      <c r="E205" s="53">
        <v>0.025</v>
      </c>
      <c r="F205" s="54">
        <f>TRUNC(2114.1727,2)</f>
        <v>2114.17</v>
      </c>
      <c r="G205" s="54">
        <f>TRUNC(E205*F205,2)</f>
        <v>52.85</v>
      </c>
      <c r="H205" s="54"/>
      <c r="I205" s="55"/>
      <c r="K205" s="70"/>
    </row>
    <row r="206" spans="1:11" s="98" customFormat="1" ht="13.5">
      <c r="A206" s="158"/>
      <c r="B206" s="86"/>
      <c r="C206" s="52"/>
      <c r="D206" s="160"/>
      <c r="E206" s="53" t="s">
        <v>70</v>
      </c>
      <c r="F206" s="54"/>
      <c r="G206" s="54">
        <f>TRUNC(SUM(G201:G205),2)</f>
        <v>499.03</v>
      </c>
      <c r="H206" s="54"/>
      <c r="I206" s="55"/>
      <c r="K206" s="70"/>
    </row>
    <row r="207" spans="1:11" s="195" customFormat="1" ht="41.25">
      <c r="A207" s="188" t="s">
        <v>32</v>
      </c>
      <c r="B207" s="197" t="s">
        <v>284</v>
      </c>
      <c r="C207" s="190" t="s">
        <v>387</v>
      </c>
      <c r="D207" s="191" t="s">
        <v>68</v>
      </c>
      <c r="E207" s="192">
        <v>1.2</v>
      </c>
      <c r="F207" s="193">
        <f>TRUNC(G215,2)</f>
        <v>67.81</v>
      </c>
      <c r="G207" s="193">
        <f>TRUNC(F207*1.2882,2)</f>
        <v>87.35</v>
      </c>
      <c r="H207" s="193">
        <f>TRUNC(F207*E207,2)</f>
        <v>81.37</v>
      </c>
      <c r="I207" s="194">
        <f>TRUNC(E207*G207,2)</f>
        <v>104.82</v>
      </c>
      <c r="K207" s="196"/>
    </row>
    <row r="208" spans="1:9" s="101" customFormat="1" ht="13.5">
      <c r="A208" s="68"/>
      <c r="B208" s="104" t="s">
        <v>379</v>
      </c>
      <c r="C208" s="69" t="s">
        <v>380</v>
      </c>
      <c r="D208" s="68" t="s">
        <v>61</v>
      </c>
      <c r="E208" s="90">
        <v>1.4</v>
      </c>
      <c r="F208" s="55">
        <v>25</v>
      </c>
      <c r="G208" s="54">
        <f aca="true" t="shared" si="7" ref="G208:G214">TRUNC(E208*F208,2)</f>
        <v>35</v>
      </c>
      <c r="H208" s="54"/>
      <c r="I208" s="55"/>
    </row>
    <row r="209" spans="1:9" s="101" customFormat="1" ht="13.5">
      <c r="A209" s="68"/>
      <c r="B209" s="104" t="s">
        <v>40</v>
      </c>
      <c r="C209" s="69" t="s">
        <v>89</v>
      </c>
      <c r="D209" s="68" t="s">
        <v>85</v>
      </c>
      <c r="E209" s="90">
        <v>0.35</v>
      </c>
      <c r="F209" s="55">
        <v>1.82</v>
      </c>
      <c r="G209" s="54">
        <f t="shared" si="7"/>
        <v>0.63</v>
      </c>
      <c r="H209" s="54"/>
      <c r="I209" s="55"/>
    </row>
    <row r="210" spans="1:9" s="101" customFormat="1" ht="27">
      <c r="A210" s="68"/>
      <c r="B210" s="104" t="s">
        <v>97</v>
      </c>
      <c r="C210" s="69" t="s">
        <v>98</v>
      </c>
      <c r="D210" s="68" t="s">
        <v>27</v>
      </c>
      <c r="E210" s="90">
        <v>1.02382</v>
      </c>
      <c r="F210" s="55">
        <v>14.34</v>
      </c>
      <c r="G210" s="54">
        <f t="shared" si="7"/>
        <v>14.68</v>
      </c>
      <c r="H210" s="54"/>
      <c r="I210" s="55"/>
    </row>
    <row r="211" spans="1:9" s="101" customFormat="1" ht="27">
      <c r="A211" s="68"/>
      <c r="B211" s="104" t="s">
        <v>103</v>
      </c>
      <c r="C211" s="69" t="s">
        <v>104</v>
      </c>
      <c r="D211" s="68" t="s">
        <v>27</v>
      </c>
      <c r="E211" s="90">
        <v>0.73542</v>
      </c>
      <c r="F211" s="55">
        <v>19.81</v>
      </c>
      <c r="G211" s="54">
        <f t="shared" si="7"/>
        <v>14.56</v>
      </c>
      <c r="H211" s="54"/>
      <c r="I211" s="55"/>
    </row>
    <row r="212" spans="1:9" s="101" customFormat="1" ht="27">
      <c r="A212" s="68"/>
      <c r="B212" s="104" t="s">
        <v>617</v>
      </c>
      <c r="C212" s="69" t="s">
        <v>382</v>
      </c>
      <c r="D212" s="68" t="s">
        <v>62</v>
      </c>
      <c r="E212" s="90">
        <v>0.06999999999999999</v>
      </c>
      <c r="F212" s="55">
        <f>TRUNC(5.490509,2)</f>
        <v>5.49</v>
      </c>
      <c r="G212" s="54">
        <f t="shared" si="7"/>
        <v>0.38</v>
      </c>
      <c r="H212" s="54"/>
      <c r="I212" s="55"/>
    </row>
    <row r="213" spans="1:9" s="101" customFormat="1" ht="13.5">
      <c r="A213" s="68"/>
      <c r="B213" s="104" t="s">
        <v>618</v>
      </c>
      <c r="C213" s="69" t="s">
        <v>384</v>
      </c>
      <c r="D213" s="68" t="s">
        <v>26</v>
      </c>
      <c r="E213" s="90">
        <v>0.0021</v>
      </c>
      <c r="F213" s="55">
        <f>TRUNC(765.4318,2)</f>
        <v>765.43</v>
      </c>
      <c r="G213" s="54">
        <f t="shared" si="7"/>
        <v>1.6</v>
      </c>
      <c r="H213" s="54"/>
      <c r="I213" s="55"/>
    </row>
    <row r="214" spans="1:9" s="101" customFormat="1" ht="13.5">
      <c r="A214" s="68"/>
      <c r="B214" s="104" t="s">
        <v>619</v>
      </c>
      <c r="C214" s="69" t="s">
        <v>386</v>
      </c>
      <c r="D214" s="68" t="s">
        <v>26</v>
      </c>
      <c r="E214" s="90">
        <v>0.0028</v>
      </c>
      <c r="F214" s="55">
        <f>TRUNC(343.79356,2)</f>
        <v>343.79</v>
      </c>
      <c r="G214" s="54">
        <f t="shared" si="7"/>
        <v>0.96</v>
      </c>
      <c r="H214" s="54"/>
      <c r="I214" s="55"/>
    </row>
    <row r="215" spans="1:9" s="101" customFormat="1" ht="13.5">
      <c r="A215" s="68"/>
      <c r="B215" s="104"/>
      <c r="C215" s="69"/>
      <c r="D215" s="68"/>
      <c r="E215" s="90" t="s">
        <v>70</v>
      </c>
      <c r="F215" s="55"/>
      <c r="G215" s="54">
        <f>TRUNC(SUM(G208:G214),2)</f>
        <v>67.81</v>
      </c>
      <c r="H215" s="54"/>
      <c r="I215" s="55"/>
    </row>
    <row r="216" spans="1:11" s="195" customFormat="1" ht="41.25">
      <c r="A216" s="188" t="s">
        <v>33</v>
      </c>
      <c r="B216" s="197" t="s">
        <v>284</v>
      </c>
      <c r="C216" s="190" t="s">
        <v>388</v>
      </c>
      <c r="D216" s="191" t="s">
        <v>68</v>
      </c>
      <c r="E216" s="192">
        <v>1.2</v>
      </c>
      <c r="F216" s="193">
        <f>TRUNC(G224,2)</f>
        <v>49.56</v>
      </c>
      <c r="G216" s="193">
        <f>TRUNC(F216*1.2882,2)</f>
        <v>63.84</v>
      </c>
      <c r="H216" s="193">
        <f>TRUNC(F216*E216,2)</f>
        <v>59.47</v>
      </c>
      <c r="I216" s="194">
        <f>TRUNC(E216*G216,2)</f>
        <v>76.6</v>
      </c>
      <c r="K216" s="196"/>
    </row>
    <row r="217" spans="1:9" s="101" customFormat="1" ht="13.5">
      <c r="A217" s="68"/>
      <c r="B217" s="104" t="s">
        <v>379</v>
      </c>
      <c r="C217" s="69" t="s">
        <v>380</v>
      </c>
      <c r="D217" s="68" t="s">
        <v>61</v>
      </c>
      <c r="E217" s="90">
        <v>0.67</v>
      </c>
      <c r="F217" s="55">
        <v>25</v>
      </c>
      <c r="G217" s="54">
        <f aca="true" t="shared" si="8" ref="G217:G223">TRUNC(E217*F217,2)</f>
        <v>16.75</v>
      </c>
      <c r="H217" s="54"/>
      <c r="I217" s="55"/>
    </row>
    <row r="218" spans="1:9" s="101" customFormat="1" ht="13.5">
      <c r="A218" s="68"/>
      <c r="B218" s="104" t="s">
        <v>40</v>
      </c>
      <c r="C218" s="69" t="s">
        <v>89</v>
      </c>
      <c r="D218" s="68" t="s">
        <v>85</v>
      </c>
      <c r="E218" s="90">
        <v>0.35</v>
      </c>
      <c r="F218" s="55">
        <v>1.82</v>
      </c>
      <c r="G218" s="54">
        <f t="shared" si="8"/>
        <v>0.63</v>
      </c>
      <c r="H218" s="54"/>
      <c r="I218" s="55"/>
    </row>
    <row r="219" spans="1:9" s="101" customFormat="1" ht="27">
      <c r="A219" s="68"/>
      <c r="B219" s="104" t="s">
        <v>97</v>
      </c>
      <c r="C219" s="69" t="s">
        <v>98</v>
      </c>
      <c r="D219" s="68" t="s">
        <v>27</v>
      </c>
      <c r="E219" s="90">
        <v>1.02382</v>
      </c>
      <c r="F219" s="55">
        <v>14.34</v>
      </c>
      <c r="G219" s="54">
        <f t="shared" si="8"/>
        <v>14.68</v>
      </c>
      <c r="H219" s="54"/>
      <c r="I219" s="55"/>
    </row>
    <row r="220" spans="1:9" s="101" customFormat="1" ht="27">
      <c r="A220" s="68"/>
      <c r="B220" s="104" t="s">
        <v>103</v>
      </c>
      <c r="C220" s="69" t="s">
        <v>104</v>
      </c>
      <c r="D220" s="68" t="s">
        <v>27</v>
      </c>
      <c r="E220" s="90">
        <v>0.73542</v>
      </c>
      <c r="F220" s="55">
        <v>19.81</v>
      </c>
      <c r="G220" s="54">
        <f t="shared" si="8"/>
        <v>14.56</v>
      </c>
      <c r="H220" s="54"/>
      <c r="I220" s="55"/>
    </row>
    <row r="221" spans="1:9" s="101" customFormat="1" ht="27">
      <c r="A221" s="68"/>
      <c r="B221" s="104" t="s">
        <v>617</v>
      </c>
      <c r="C221" s="69" t="s">
        <v>382</v>
      </c>
      <c r="D221" s="68" t="s">
        <v>62</v>
      </c>
      <c r="E221" s="90">
        <v>0.06999999999999999</v>
      </c>
      <c r="F221" s="55">
        <f>TRUNC(5.490509,2)</f>
        <v>5.49</v>
      </c>
      <c r="G221" s="54">
        <f t="shared" si="8"/>
        <v>0.38</v>
      </c>
      <c r="H221" s="54"/>
      <c r="I221" s="55"/>
    </row>
    <row r="222" spans="1:9" s="101" customFormat="1" ht="13.5">
      <c r="A222" s="68"/>
      <c r="B222" s="104" t="s">
        <v>618</v>
      </c>
      <c r="C222" s="69" t="s">
        <v>384</v>
      </c>
      <c r="D222" s="68" t="s">
        <v>26</v>
      </c>
      <c r="E222" s="90">
        <v>0.0021</v>
      </c>
      <c r="F222" s="55">
        <f>TRUNC(765.4318,2)</f>
        <v>765.43</v>
      </c>
      <c r="G222" s="54">
        <f t="shared" si="8"/>
        <v>1.6</v>
      </c>
      <c r="H222" s="54"/>
      <c r="I222" s="55"/>
    </row>
    <row r="223" spans="1:9" s="101" customFormat="1" ht="13.5">
      <c r="A223" s="68"/>
      <c r="B223" s="104" t="s">
        <v>619</v>
      </c>
      <c r="C223" s="69" t="s">
        <v>386</v>
      </c>
      <c r="D223" s="68" t="s">
        <v>26</v>
      </c>
      <c r="E223" s="90">
        <v>0.0028</v>
      </c>
      <c r="F223" s="55">
        <f>TRUNC(343.79356,2)</f>
        <v>343.79</v>
      </c>
      <c r="G223" s="54">
        <f t="shared" si="8"/>
        <v>0.96</v>
      </c>
      <c r="H223" s="54"/>
      <c r="I223" s="55"/>
    </row>
    <row r="224" spans="1:9" s="101" customFormat="1" ht="13.5">
      <c r="A224" s="68"/>
      <c r="B224" s="104"/>
      <c r="C224" s="69"/>
      <c r="D224" s="68"/>
      <c r="E224" s="90" t="s">
        <v>70</v>
      </c>
      <c r="F224" s="55"/>
      <c r="G224" s="54">
        <f>TRUNC(SUM(G217:G223),2)</f>
        <v>49.56</v>
      </c>
      <c r="H224" s="54"/>
      <c r="I224" s="55"/>
    </row>
    <row r="225" spans="1:11" s="195" customFormat="1" ht="41.25">
      <c r="A225" s="188" t="s">
        <v>34</v>
      </c>
      <c r="B225" s="189" t="s">
        <v>620</v>
      </c>
      <c r="C225" s="190" t="s">
        <v>390</v>
      </c>
      <c r="D225" s="191" t="s">
        <v>68</v>
      </c>
      <c r="E225" s="192">
        <v>1</v>
      </c>
      <c r="F225" s="193">
        <f>TRUNC(G231,2)</f>
        <v>566.51</v>
      </c>
      <c r="G225" s="193">
        <f>TRUNC(F225*1.2882,2)</f>
        <v>729.77</v>
      </c>
      <c r="H225" s="193">
        <f>TRUNC(F225*E225,2)</f>
        <v>566.51</v>
      </c>
      <c r="I225" s="194">
        <f>TRUNC(E225*G225,2)</f>
        <v>729.77</v>
      </c>
      <c r="K225" s="196"/>
    </row>
    <row r="226" spans="1:11" s="98" customFormat="1" ht="13.5">
      <c r="A226" s="158"/>
      <c r="B226" s="86" t="s">
        <v>391</v>
      </c>
      <c r="C226" s="52" t="s">
        <v>392</v>
      </c>
      <c r="D226" s="160" t="s">
        <v>68</v>
      </c>
      <c r="E226" s="53">
        <v>1</v>
      </c>
      <c r="F226" s="54">
        <f>TRUNC(36.67,2)</f>
        <v>36.67</v>
      </c>
      <c r="G226" s="54">
        <f>TRUNC(E226*F226,2)</f>
        <v>36.67</v>
      </c>
      <c r="H226" s="54"/>
      <c r="I226" s="55"/>
      <c r="K226" s="70"/>
    </row>
    <row r="227" spans="1:11" s="98" customFormat="1" ht="27">
      <c r="A227" s="158"/>
      <c r="B227" s="86" t="s">
        <v>393</v>
      </c>
      <c r="C227" s="52" t="s">
        <v>394</v>
      </c>
      <c r="D227" s="160" t="s">
        <v>68</v>
      </c>
      <c r="E227" s="53">
        <v>1</v>
      </c>
      <c r="F227" s="54">
        <f>TRUNC(411.98,2)</f>
        <v>411.98</v>
      </c>
      <c r="G227" s="54">
        <f>TRUNC(E227*F227,2)</f>
        <v>411.98</v>
      </c>
      <c r="H227" s="54"/>
      <c r="I227" s="55"/>
      <c r="K227" s="70"/>
    </row>
    <row r="228" spans="1:11" s="98" customFormat="1" ht="13.5">
      <c r="A228" s="158"/>
      <c r="B228" s="86" t="s">
        <v>395</v>
      </c>
      <c r="C228" s="52" t="s">
        <v>396</v>
      </c>
      <c r="D228" s="160" t="s">
        <v>68</v>
      </c>
      <c r="E228" s="53">
        <v>1</v>
      </c>
      <c r="F228" s="54">
        <f>TRUNC(93.25,2)</f>
        <v>93.25</v>
      </c>
      <c r="G228" s="54">
        <f>TRUNC(E228*F228,2)</f>
        <v>93.25</v>
      </c>
      <c r="H228" s="54"/>
      <c r="I228" s="55"/>
      <c r="K228" s="70"/>
    </row>
    <row r="229" spans="1:11" s="98" customFormat="1" ht="27">
      <c r="A229" s="158"/>
      <c r="B229" s="86" t="s">
        <v>97</v>
      </c>
      <c r="C229" s="52" t="s">
        <v>98</v>
      </c>
      <c r="D229" s="160" t="s">
        <v>27</v>
      </c>
      <c r="E229" s="53">
        <v>0.721</v>
      </c>
      <c r="F229" s="54">
        <f>TRUNC(14.34,2)</f>
        <v>14.34</v>
      </c>
      <c r="G229" s="54">
        <f>TRUNC(E229*F229,2)</f>
        <v>10.33</v>
      </c>
      <c r="H229" s="54"/>
      <c r="I229" s="55"/>
      <c r="K229" s="70"/>
    </row>
    <row r="230" spans="1:11" s="98" customFormat="1" ht="13.5">
      <c r="A230" s="158"/>
      <c r="B230" s="86" t="s">
        <v>101</v>
      </c>
      <c r="C230" s="52" t="s">
        <v>102</v>
      </c>
      <c r="D230" s="160" t="s">
        <v>27</v>
      </c>
      <c r="E230" s="53">
        <v>0.721</v>
      </c>
      <c r="F230" s="54">
        <f>TRUNC(19.81,2)</f>
        <v>19.81</v>
      </c>
      <c r="G230" s="54">
        <f>TRUNC(E230*F230,2)</f>
        <v>14.28</v>
      </c>
      <c r="H230" s="54"/>
      <c r="I230" s="55"/>
      <c r="K230" s="70"/>
    </row>
    <row r="231" spans="1:11" s="98" customFormat="1" ht="13.5">
      <c r="A231" s="158"/>
      <c r="B231" s="86"/>
      <c r="C231" s="52"/>
      <c r="D231" s="160"/>
      <c r="E231" s="53" t="s">
        <v>70</v>
      </c>
      <c r="F231" s="54"/>
      <c r="G231" s="54">
        <f>TRUNC(SUM(G226:G230),2)</f>
        <v>566.51</v>
      </c>
      <c r="H231" s="54"/>
      <c r="I231" s="55"/>
      <c r="K231" s="70"/>
    </row>
    <row r="232" spans="1:11" s="195" customFormat="1" ht="13.5">
      <c r="A232" s="188" t="s">
        <v>35</v>
      </c>
      <c r="B232" s="189" t="s">
        <v>621</v>
      </c>
      <c r="C232" s="190" t="s">
        <v>402</v>
      </c>
      <c r="D232" s="191" t="s">
        <v>61</v>
      </c>
      <c r="E232" s="192">
        <v>8</v>
      </c>
      <c r="F232" s="193">
        <f>TRUNC(G234,2)</f>
        <v>21.55</v>
      </c>
      <c r="G232" s="193">
        <f>TRUNC(F232*1.2882,2)</f>
        <v>27.76</v>
      </c>
      <c r="H232" s="193">
        <f>TRUNC(F232*E232,2)</f>
        <v>172.4</v>
      </c>
      <c r="I232" s="194">
        <f>TRUNC(E232*G232,2)</f>
        <v>222.08</v>
      </c>
      <c r="K232" s="196"/>
    </row>
    <row r="233" spans="1:11" s="98" customFormat="1" ht="27">
      <c r="A233" s="158"/>
      <c r="B233" s="86" t="s">
        <v>403</v>
      </c>
      <c r="C233" s="52" t="s">
        <v>404</v>
      </c>
      <c r="D233" s="160" t="s">
        <v>68</v>
      </c>
      <c r="E233" s="53">
        <v>0.1667</v>
      </c>
      <c r="F233" s="54">
        <f>TRUNC(129.3,2)</f>
        <v>129.3</v>
      </c>
      <c r="G233" s="54">
        <f>TRUNC(E233*F233,2)</f>
        <v>21.55</v>
      </c>
      <c r="H233" s="54"/>
      <c r="I233" s="55"/>
      <c r="K233" s="70"/>
    </row>
    <row r="234" spans="1:11" s="98" customFormat="1" ht="13.5">
      <c r="A234" s="158"/>
      <c r="B234" s="86"/>
      <c r="C234" s="52"/>
      <c r="D234" s="160"/>
      <c r="E234" s="53" t="s">
        <v>70</v>
      </c>
      <c r="F234" s="54"/>
      <c r="G234" s="54">
        <f>TRUNC(SUM(G233:G233),2)</f>
        <v>21.55</v>
      </c>
      <c r="H234" s="54"/>
      <c r="I234" s="55"/>
      <c r="K234" s="70"/>
    </row>
    <row r="235" spans="1:11" s="195" customFormat="1" ht="13.5">
      <c r="A235" s="188" t="s">
        <v>79</v>
      </c>
      <c r="B235" s="189" t="s">
        <v>622</v>
      </c>
      <c r="C235" s="190" t="s">
        <v>405</v>
      </c>
      <c r="D235" s="191" t="s">
        <v>61</v>
      </c>
      <c r="E235" s="192">
        <v>10</v>
      </c>
      <c r="F235" s="193">
        <f>TRUNC(G237,2)</f>
        <v>40.06</v>
      </c>
      <c r="G235" s="193">
        <f>TRUNC(F235*1.2882,2)</f>
        <v>51.6</v>
      </c>
      <c r="H235" s="193">
        <f>TRUNC(F235*E235,2)</f>
        <v>400.6</v>
      </c>
      <c r="I235" s="194">
        <f>TRUNC(E235*G235,2)</f>
        <v>516</v>
      </c>
      <c r="K235" s="196"/>
    </row>
    <row r="236" spans="1:11" s="98" customFormat="1" ht="27">
      <c r="A236" s="158"/>
      <c r="B236" s="86" t="s">
        <v>406</v>
      </c>
      <c r="C236" s="52" t="s">
        <v>407</v>
      </c>
      <c r="D236" s="160" t="s">
        <v>68</v>
      </c>
      <c r="E236" s="53">
        <v>0.1667</v>
      </c>
      <c r="F236" s="54">
        <f>TRUNC(240.32,2)</f>
        <v>240.32</v>
      </c>
      <c r="G236" s="54">
        <f>TRUNC(E236*F236,2)</f>
        <v>40.06</v>
      </c>
      <c r="H236" s="54"/>
      <c r="I236" s="55"/>
      <c r="K236" s="70"/>
    </row>
    <row r="237" spans="1:11" s="98" customFormat="1" ht="13.5">
      <c r="A237" s="158"/>
      <c r="B237" s="86"/>
      <c r="C237" s="52"/>
      <c r="D237" s="160"/>
      <c r="E237" s="53" t="s">
        <v>70</v>
      </c>
      <c r="F237" s="54"/>
      <c r="G237" s="54">
        <f>TRUNC(SUM(G236:G236),2)</f>
        <v>40.06</v>
      </c>
      <c r="H237" s="54"/>
      <c r="I237" s="55"/>
      <c r="K237" s="70"/>
    </row>
    <row r="238" spans="1:11" s="195" customFormat="1" ht="13.5">
      <c r="A238" s="188" t="s">
        <v>80</v>
      </c>
      <c r="B238" s="189" t="s">
        <v>623</v>
      </c>
      <c r="C238" s="190" t="s">
        <v>408</v>
      </c>
      <c r="D238" s="191" t="s">
        <v>68</v>
      </c>
      <c r="E238" s="192">
        <v>1</v>
      </c>
      <c r="F238" s="193">
        <f>TRUNC(G240,2)</f>
        <v>113.8</v>
      </c>
      <c r="G238" s="193">
        <f>TRUNC(F238*1.2882,2)</f>
        <v>146.59</v>
      </c>
      <c r="H238" s="193">
        <f>TRUNC(F238*E238,2)</f>
        <v>113.8</v>
      </c>
      <c r="I238" s="194">
        <f>TRUNC(E238*G238,2)</f>
        <v>146.59</v>
      </c>
      <c r="K238" s="196"/>
    </row>
    <row r="239" spans="1:11" s="98" customFormat="1" ht="13.5">
      <c r="A239" s="158"/>
      <c r="B239" s="86" t="s">
        <v>409</v>
      </c>
      <c r="C239" s="52" t="s">
        <v>410</v>
      </c>
      <c r="D239" s="160" t="s">
        <v>68</v>
      </c>
      <c r="E239" s="53">
        <v>1</v>
      </c>
      <c r="F239" s="54">
        <f>TRUNC(113.8021,2)</f>
        <v>113.8</v>
      </c>
      <c r="G239" s="54">
        <f>TRUNC(E239*F239,2)</f>
        <v>113.8</v>
      </c>
      <c r="H239" s="54"/>
      <c r="I239" s="55"/>
      <c r="K239" s="70"/>
    </row>
    <row r="240" spans="1:11" s="98" customFormat="1" ht="13.5">
      <c r="A240" s="158"/>
      <c r="B240" s="86"/>
      <c r="C240" s="52"/>
      <c r="D240" s="160"/>
      <c r="E240" s="53" t="s">
        <v>70</v>
      </c>
      <c r="F240" s="54"/>
      <c r="G240" s="54">
        <f>TRUNC(SUM(G239:G239),2)</f>
        <v>113.8</v>
      </c>
      <c r="H240" s="54"/>
      <c r="I240" s="55"/>
      <c r="K240" s="70"/>
    </row>
    <row r="241" spans="1:11" s="195" customFormat="1" ht="13.5">
      <c r="A241" s="188" t="s">
        <v>81</v>
      </c>
      <c r="B241" s="189" t="s">
        <v>624</v>
      </c>
      <c r="C241" s="190" t="s">
        <v>411</v>
      </c>
      <c r="D241" s="191" t="s">
        <v>68</v>
      </c>
      <c r="E241" s="192">
        <v>2</v>
      </c>
      <c r="F241" s="193">
        <f>TRUNC(G243,2)</f>
        <v>31.23</v>
      </c>
      <c r="G241" s="193">
        <f>TRUNC(F241*1.2882,2)</f>
        <v>40.23</v>
      </c>
      <c r="H241" s="193">
        <f>TRUNC(F241*E241,2)</f>
        <v>62.46</v>
      </c>
      <c r="I241" s="194">
        <f>TRUNC(E241*G241,2)</f>
        <v>80.46</v>
      </c>
      <c r="K241" s="196"/>
    </row>
    <row r="242" spans="1:11" s="98" customFormat="1" ht="13.5">
      <c r="A242" s="158"/>
      <c r="B242" s="86" t="s">
        <v>412</v>
      </c>
      <c r="C242" s="52" t="s">
        <v>413</v>
      </c>
      <c r="D242" s="160" t="s">
        <v>68</v>
      </c>
      <c r="E242" s="53">
        <v>1</v>
      </c>
      <c r="F242" s="54">
        <f>TRUNC(31.23,2)</f>
        <v>31.23</v>
      </c>
      <c r="G242" s="54">
        <f>TRUNC(E242*F242,2)</f>
        <v>31.23</v>
      </c>
      <c r="H242" s="54"/>
      <c r="I242" s="55"/>
      <c r="K242" s="70"/>
    </row>
    <row r="243" spans="1:11" s="98" customFormat="1" ht="13.5">
      <c r="A243" s="158"/>
      <c r="B243" s="86"/>
      <c r="C243" s="52"/>
      <c r="D243" s="160"/>
      <c r="E243" s="53" t="s">
        <v>70</v>
      </c>
      <c r="F243" s="54"/>
      <c r="G243" s="54">
        <f>TRUNC(SUM(G242:G242),2)</f>
        <v>31.23</v>
      </c>
      <c r="H243" s="54"/>
      <c r="I243" s="55"/>
      <c r="K243" s="70"/>
    </row>
    <row r="244" spans="1:11" s="195" customFormat="1" ht="41.25">
      <c r="A244" s="188" t="s">
        <v>82</v>
      </c>
      <c r="B244" s="189" t="s">
        <v>625</v>
      </c>
      <c r="C244" s="190" t="s">
        <v>414</v>
      </c>
      <c r="D244" s="191" t="s">
        <v>68</v>
      </c>
      <c r="E244" s="192">
        <v>1</v>
      </c>
      <c r="F244" s="193">
        <f>TRUNC(G249,2)</f>
        <v>179.74</v>
      </c>
      <c r="G244" s="193">
        <f>TRUNC(F244*1.2882,2)</f>
        <v>231.54</v>
      </c>
      <c r="H244" s="193">
        <f>TRUNC(F244*E244,2)</f>
        <v>179.74</v>
      </c>
      <c r="I244" s="194">
        <f>TRUNC(E244*G244,2)</f>
        <v>231.54</v>
      </c>
      <c r="K244" s="196"/>
    </row>
    <row r="245" spans="1:11" s="98" customFormat="1" ht="13.5">
      <c r="A245" s="158"/>
      <c r="B245" s="86" t="s">
        <v>415</v>
      </c>
      <c r="C245" s="52" t="s">
        <v>416</v>
      </c>
      <c r="D245" s="160" t="s">
        <v>68</v>
      </c>
      <c r="E245" s="53">
        <v>1</v>
      </c>
      <c r="F245" s="54">
        <f>TRUNC(109,2)</f>
        <v>109</v>
      </c>
      <c r="G245" s="54">
        <f>TRUNC(E245*F245,2)</f>
        <v>109</v>
      </c>
      <c r="H245" s="54"/>
      <c r="I245" s="55"/>
      <c r="K245" s="70"/>
    </row>
    <row r="246" spans="1:11" s="98" customFormat="1" ht="13.5">
      <c r="A246" s="158"/>
      <c r="B246" s="86" t="s">
        <v>417</v>
      </c>
      <c r="C246" s="52" t="s">
        <v>418</v>
      </c>
      <c r="D246" s="160" t="s">
        <v>85</v>
      </c>
      <c r="E246" s="53">
        <v>0.8</v>
      </c>
      <c r="F246" s="54">
        <f>TRUNC(0.506,2)</f>
        <v>0.5</v>
      </c>
      <c r="G246" s="54">
        <f>TRUNC(E246*F246,2)</f>
        <v>0.4</v>
      </c>
      <c r="H246" s="54"/>
      <c r="I246" s="55"/>
      <c r="K246" s="70"/>
    </row>
    <row r="247" spans="1:11" s="98" customFormat="1" ht="27">
      <c r="A247" s="158"/>
      <c r="B247" s="86" t="s">
        <v>97</v>
      </c>
      <c r="C247" s="52" t="s">
        <v>98</v>
      </c>
      <c r="D247" s="160" t="s">
        <v>27</v>
      </c>
      <c r="E247" s="53">
        <v>2.06</v>
      </c>
      <c r="F247" s="54">
        <f>TRUNC(14.34,2)</f>
        <v>14.34</v>
      </c>
      <c r="G247" s="54">
        <f>TRUNC(E247*F247,2)</f>
        <v>29.54</v>
      </c>
      <c r="H247" s="54"/>
      <c r="I247" s="55"/>
      <c r="K247" s="70"/>
    </row>
    <row r="248" spans="1:11" s="98" customFormat="1" ht="27">
      <c r="A248" s="158"/>
      <c r="B248" s="86" t="s">
        <v>197</v>
      </c>
      <c r="C248" s="52" t="s">
        <v>198</v>
      </c>
      <c r="D248" s="160" t="s">
        <v>27</v>
      </c>
      <c r="E248" s="53">
        <v>2.06</v>
      </c>
      <c r="F248" s="54">
        <f>TRUNC(19.81,2)</f>
        <v>19.81</v>
      </c>
      <c r="G248" s="54">
        <f>TRUNC(E248*F248,2)</f>
        <v>40.8</v>
      </c>
      <c r="H248" s="54"/>
      <c r="I248" s="55"/>
      <c r="K248" s="70"/>
    </row>
    <row r="249" spans="1:11" s="98" customFormat="1" ht="13.5">
      <c r="A249" s="158"/>
      <c r="B249" s="86"/>
      <c r="C249" s="52"/>
      <c r="D249" s="160"/>
      <c r="E249" s="53" t="s">
        <v>70</v>
      </c>
      <c r="F249" s="54"/>
      <c r="G249" s="54">
        <f>TRUNC(SUM(G245:G248),2)</f>
        <v>179.74</v>
      </c>
      <c r="H249" s="54"/>
      <c r="I249" s="55"/>
      <c r="K249" s="70"/>
    </row>
    <row r="250" spans="1:9" s="41" customFormat="1" ht="13.5">
      <c r="A250" s="106" t="s">
        <v>111</v>
      </c>
      <c r="B250" s="100"/>
      <c r="C250" s="76" t="s">
        <v>83</v>
      </c>
      <c r="D250" s="125"/>
      <c r="E250" s="77"/>
      <c r="F250" s="78"/>
      <c r="G250" s="78"/>
      <c r="H250" s="79">
        <f>H193+H200+H207+H216+H225+H232+H235+H238+H241+H244</f>
        <v>2740.1800000000003</v>
      </c>
      <c r="I250" s="79">
        <f>I193+I200+I207+I216+I225+I232+I235+I238+I241+I244</f>
        <v>3529.79</v>
      </c>
    </row>
    <row r="251" spans="1:9" ht="13.5">
      <c r="A251" s="99" t="s">
        <v>54</v>
      </c>
      <c r="B251" s="111"/>
      <c r="C251" s="87" t="s">
        <v>421</v>
      </c>
      <c r="D251" s="119"/>
      <c r="E251" s="87"/>
      <c r="F251" s="88"/>
      <c r="G251" s="88"/>
      <c r="H251" s="88"/>
      <c r="I251" s="89"/>
    </row>
    <row r="252" spans="1:11" s="195" customFormat="1" ht="41.25">
      <c r="A252" s="188" t="s">
        <v>55</v>
      </c>
      <c r="B252" s="189" t="s">
        <v>626</v>
      </c>
      <c r="C252" s="190" t="s">
        <v>424</v>
      </c>
      <c r="D252" s="191" t="s">
        <v>68</v>
      </c>
      <c r="E252" s="192">
        <v>36</v>
      </c>
      <c r="F252" s="193">
        <f>TRUNC(G264,2)</f>
        <v>241.33</v>
      </c>
      <c r="G252" s="193">
        <f>TRUNC(F252*1.2882,2)</f>
        <v>310.88</v>
      </c>
      <c r="H252" s="193">
        <f>TRUNC(F252*E252,2)</f>
        <v>8687.88</v>
      </c>
      <c r="I252" s="194">
        <f>TRUNC(E252*G252,2)</f>
        <v>11191.68</v>
      </c>
      <c r="K252" s="196"/>
    </row>
    <row r="253" spans="1:11" s="98" customFormat="1" ht="13.5">
      <c r="A253" s="158"/>
      <c r="B253" s="86" t="s">
        <v>183</v>
      </c>
      <c r="C253" s="52" t="s">
        <v>184</v>
      </c>
      <c r="D253" s="160" t="s">
        <v>68</v>
      </c>
      <c r="E253" s="53">
        <v>1</v>
      </c>
      <c r="F253" s="54">
        <f>TRUNC(3.13,2)</f>
        <v>3.13</v>
      </c>
      <c r="G253" s="54">
        <f aca="true" t="shared" si="9" ref="G253:G263">TRUNC(E253*F253,2)</f>
        <v>3.13</v>
      </c>
      <c r="H253" s="54"/>
      <c r="I253" s="55"/>
      <c r="K253" s="70"/>
    </row>
    <row r="254" spans="1:11" s="98" customFormat="1" ht="13.5">
      <c r="A254" s="158"/>
      <c r="B254" s="86" t="s">
        <v>0</v>
      </c>
      <c r="C254" s="52" t="s">
        <v>128</v>
      </c>
      <c r="D254" s="160" t="s">
        <v>68</v>
      </c>
      <c r="E254" s="53">
        <v>1</v>
      </c>
      <c r="F254" s="54">
        <f>TRUNC(2.58,2)</f>
        <v>2.58</v>
      </c>
      <c r="G254" s="54">
        <f t="shared" si="9"/>
        <v>2.58</v>
      </c>
      <c r="H254" s="54"/>
      <c r="I254" s="55"/>
      <c r="K254" s="70"/>
    </row>
    <row r="255" spans="1:11" s="98" customFormat="1" ht="13.5">
      <c r="A255" s="158"/>
      <c r="B255" s="86" t="s">
        <v>28</v>
      </c>
      <c r="C255" s="52" t="s">
        <v>129</v>
      </c>
      <c r="D255" s="160" t="s">
        <v>68</v>
      </c>
      <c r="E255" s="53">
        <v>1</v>
      </c>
      <c r="F255" s="54">
        <f>TRUNC(0.98,2)</f>
        <v>0.98</v>
      </c>
      <c r="G255" s="54">
        <f t="shared" si="9"/>
        <v>0.98</v>
      </c>
      <c r="H255" s="54"/>
      <c r="I255" s="55"/>
      <c r="K255" s="70"/>
    </row>
    <row r="256" spans="1:11" s="98" customFormat="1" ht="13.5">
      <c r="A256" s="158"/>
      <c r="B256" s="86" t="s">
        <v>206</v>
      </c>
      <c r="C256" s="52" t="s">
        <v>207</v>
      </c>
      <c r="D256" s="160" t="s">
        <v>68</v>
      </c>
      <c r="E256" s="53">
        <v>6</v>
      </c>
      <c r="F256" s="54">
        <f>TRUNC(2.35,2)</f>
        <v>2.35</v>
      </c>
      <c r="G256" s="54">
        <f t="shared" si="9"/>
        <v>14.1</v>
      </c>
      <c r="H256" s="54"/>
      <c r="I256" s="55"/>
      <c r="K256" s="70"/>
    </row>
    <row r="257" spans="1:11" s="98" customFormat="1" ht="13.5">
      <c r="A257" s="158"/>
      <c r="B257" s="86" t="s">
        <v>24</v>
      </c>
      <c r="C257" s="52" t="s">
        <v>196</v>
      </c>
      <c r="D257" s="160" t="s">
        <v>68</v>
      </c>
      <c r="E257" s="53">
        <v>1</v>
      </c>
      <c r="F257" s="54">
        <f>TRUNC(2.25,2)</f>
        <v>2.25</v>
      </c>
      <c r="G257" s="54">
        <f t="shared" si="9"/>
        <v>2.25</v>
      </c>
      <c r="H257" s="54"/>
      <c r="I257" s="55"/>
      <c r="K257" s="70"/>
    </row>
    <row r="258" spans="1:11" s="98" customFormat="1" ht="13.5">
      <c r="A258" s="158"/>
      <c r="B258" s="86" t="s">
        <v>23</v>
      </c>
      <c r="C258" s="52" t="s">
        <v>130</v>
      </c>
      <c r="D258" s="160" t="s">
        <v>68</v>
      </c>
      <c r="E258" s="53">
        <v>1</v>
      </c>
      <c r="F258" s="54">
        <f>TRUNC(0.78,2)</f>
        <v>0.78</v>
      </c>
      <c r="G258" s="54">
        <f t="shared" si="9"/>
        <v>0.78</v>
      </c>
      <c r="H258" s="54"/>
      <c r="I258" s="55"/>
      <c r="K258" s="70"/>
    </row>
    <row r="259" spans="1:11" s="98" customFormat="1" ht="27">
      <c r="A259" s="158"/>
      <c r="B259" s="86" t="s">
        <v>18</v>
      </c>
      <c r="C259" s="52" t="s">
        <v>131</v>
      </c>
      <c r="D259" s="160" t="s">
        <v>68</v>
      </c>
      <c r="E259" s="53">
        <v>2</v>
      </c>
      <c r="F259" s="54">
        <f>TRUNC(9.84,2)</f>
        <v>9.84</v>
      </c>
      <c r="G259" s="54">
        <f t="shared" si="9"/>
        <v>19.68</v>
      </c>
      <c r="H259" s="54"/>
      <c r="I259" s="55"/>
      <c r="K259" s="70"/>
    </row>
    <row r="260" spans="1:11" s="98" customFormat="1" ht="13.5">
      <c r="A260" s="158"/>
      <c r="B260" s="86" t="s">
        <v>17</v>
      </c>
      <c r="C260" s="52" t="s">
        <v>91</v>
      </c>
      <c r="D260" s="160" t="s">
        <v>61</v>
      </c>
      <c r="E260" s="53">
        <v>12</v>
      </c>
      <c r="F260" s="54">
        <f>TRUNC(1.98,2)</f>
        <v>1.98</v>
      </c>
      <c r="G260" s="54">
        <f t="shared" si="9"/>
        <v>23.76</v>
      </c>
      <c r="H260" s="54"/>
      <c r="I260" s="55"/>
      <c r="K260" s="70"/>
    </row>
    <row r="261" spans="1:11" s="98" customFormat="1" ht="13.5">
      <c r="A261" s="158"/>
      <c r="B261" s="86" t="s">
        <v>11</v>
      </c>
      <c r="C261" s="52" t="s">
        <v>132</v>
      </c>
      <c r="D261" s="160" t="s">
        <v>68</v>
      </c>
      <c r="E261" s="53">
        <v>4</v>
      </c>
      <c r="F261" s="54">
        <f>TRUNC(0.96,2)</f>
        <v>0.96</v>
      </c>
      <c r="G261" s="54">
        <f t="shared" si="9"/>
        <v>3.84</v>
      </c>
      <c r="H261" s="54"/>
      <c r="I261" s="55"/>
      <c r="K261" s="70"/>
    </row>
    <row r="262" spans="1:11" s="98" customFormat="1" ht="27">
      <c r="A262" s="158"/>
      <c r="B262" s="86" t="s">
        <v>97</v>
      </c>
      <c r="C262" s="52" t="s">
        <v>98</v>
      </c>
      <c r="D262" s="160" t="s">
        <v>27</v>
      </c>
      <c r="E262" s="53">
        <v>6.18</v>
      </c>
      <c r="F262" s="54">
        <f>TRUNC(14.34,2)</f>
        <v>14.34</v>
      </c>
      <c r="G262" s="54">
        <f t="shared" si="9"/>
        <v>88.62</v>
      </c>
      <c r="H262" s="54"/>
      <c r="I262" s="55"/>
      <c r="K262" s="70"/>
    </row>
    <row r="263" spans="1:11" s="98" customFormat="1" ht="27">
      <c r="A263" s="158"/>
      <c r="B263" s="86" t="s">
        <v>105</v>
      </c>
      <c r="C263" s="52" t="s">
        <v>106</v>
      </c>
      <c r="D263" s="160" t="s">
        <v>27</v>
      </c>
      <c r="E263" s="53">
        <v>4.12</v>
      </c>
      <c r="F263" s="54">
        <f>TRUNC(19.81,2)</f>
        <v>19.81</v>
      </c>
      <c r="G263" s="54">
        <f t="shared" si="9"/>
        <v>81.61</v>
      </c>
      <c r="H263" s="54"/>
      <c r="I263" s="55"/>
      <c r="K263" s="70"/>
    </row>
    <row r="264" spans="1:11" s="98" customFormat="1" ht="13.5">
      <c r="A264" s="158"/>
      <c r="B264" s="86"/>
      <c r="C264" s="52"/>
      <c r="D264" s="160"/>
      <c r="E264" s="53" t="s">
        <v>70</v>
      </c>
      <c r="F264" s="54"/>
      <c r="G264" s="54">
        <f>TRUNC(SUM(G253:G263),2)</f>
        <v>241.33</v>
      </c>
      <c r="H264" s="54"/>
      <c r="I264" s="55"/>
      <c r="K264" s="70"/>
    </row>
    <row r="265" spans="1:11" s="195" customFormat="1" ht="41.25">
      <c r="A265" s="188" t="s">
        <v>56</v>
      </c>
      <c r="B265" s="189" t="s">
        <v>627</v>
      </c>
      <c r="C265" s="190" t="s">
        <v>425</v>
      </c>
      <c r="D265" s="191" t="s">
        <v>68</v>
      </c>
      <c r="E265" s="192">
        <v>15</v>
      </c>
      <c r="F265" s="193">
        <f>TRUNC(G276,2)</f>
        <v>39.86</v>
      </c>
      <c r="G265" s="193">
        <f>TRUNC(F265*1.2882,2)</f>
        <v>51.34</v>
      </c>
      <c r="H265" s="193">
        <f>TRUNC(F265*E265,2)</f>
        <v>597.9</v>
      </c>
      <c r="I265" s="194">
        <f>TRUNC(E265*G265,2)</f>
        <v>770.1</v>
      </c>
      <c r="K265" s="196"/>
    </row>
    <row r="266" spans="1:11" s="98" customFormat="1" ht="13.5">
      <c r="A266" s="158"/>
      <c r="B266" s="86" t="s">
        <v>426</v>
      </c>
      <c r="C266" s="52" t="s">
        <v>427</v>
      </c>
      <c r="D266" s="160" t="s">
        <v>68</v>
      </c>
      <c r="E266" s="53">
        <v>2</v>
      </c>
      <c r="F266" s="54">
        <f>TRUNC(4.5379,2)</f>
        <v>4.53</v>
      </c>
      <c r="G266" s="54">
        <f aca="true" t="shared" si="10" ref="G266:G275">TRUNC(E266*F266,2)</f>
        <v>9.06</v>
      </c>
      <c r="H266" s="54"/>
      <c r="I266" s="55"/>
      <c r="K266" s="70"/>
    </row>
    <row r="267" spans="1:11" s="98" customFormat="1" ht="13.5">
      <c r="A267" s="158"/>
      <c r="B267" s="86" t="s">
        <v>428</v>
      </c>
      <c r="C267" s="52" t="s">
        <v>429</v>
      </c>
      <c r="D267" s="160" t="s">
        <v>68</v>
      </c>
      <c r="E267" s="53">
        <v>2</v>
      </c>
      <c r="F267" s="54">
        <f>TRUNC(0.2843,2)</f>
        <v>0.28</v>
      </c>
      <c r="G267" s="54">
        <f t="shared" si="10"/>
        <v>0.56</v>
      </c>
      <c r="H267" s="54"/>
      <c r="I267" s="55"/>
      <c r="K267" s="70"/>
    </row>
    <row r="268" spans="1:11" s="98" customFormat="1" ht="13.5">
      <c r="A268" s="158"/>
      <c r="B268" s="86" t="s">
        <v>430</v>
      </c>
      <c r="C268" s="52" t="s">
        <v>431</v>
      </c>
      <c r="D268" s="160" t="s">
        <v>68</v>
      </c>
      <c r="E268" s="53">
        <v>4</v>
      </c>
      <c r="F268" s="54">
        <f>TRUNC(0.0656,2)</f>
        <v>0.06</v>
      </c>
      <c r="G268" s="54">
        <f t="shared" si="10"/>
        <v>0.24</v>
      </c>
      <c r="H268" s="54"/>
      <c r="I268" s="55"/>
      <c r="K268" s="70"/>
    </row>
    <row r="269" spans="1:11" s="98" customFormat="1" ht="13.5">
      <c r="A269" s="158"/>
      <c r="B269" s="86" t="s">
        <v>432</v>
      </c>
      <c r="C269" s="52" t="s">
        <v>433</v>
      </c>
      <c r="D269" s="160" t="s">
        <v>68</v>
      </c>
      <c r="E269" s="53">
        <v>1</v>
      </c>
      <c r="F269" s="54">
        <f>TRUNC(6.3749,2)</f>
        <v>6.37</v>
      </c>
      <c r="G269" s="54">
        <f t="shared" si="10"/>
        <v>6.37</v>
      </c>
      <c r="H269" s="54"/>
      <c r="I269" s="55"/>
      <c r="K269" s="70"/>
    </row>
    <row r="270" spans="1:11" s="98" customFormat="1" ht="13.5">
      <c r="A270" s="158"/>
      <c r="B270" s="86" t="s">
        <v>434</v>
      </c>
      <c r="C270" s="52" t="s">
        <v>435</v>
      </c>
      <c r="D270" s="160" t="s">
        <v>68</v>
      </c>
      <c r="E270" s="53">
        <v>4</v>
      </c>
      <c r="F270" s="54">
        <f>TRUNC(0.0875,2)</f>
        <v>0.08</v>
      </c>
      <c r="G270" s="54">
        <f t="shared" si="10"/>
        <v>0.32</v>
      </c>
      <c r="H270" s="54"/>
      <c r="I270" s="55"/>
      <c r="K270" s="70"/>
    </row>
    <row r="271" spans="1:11" s="98" customFormat="1" ht="13.5">
      <c r="A271" s="158"/>
      <c r="B271" s="86" t="s">
        <v>436</v>
      </c>
      <c r="C271" s="52" t="s">
        <v>437</v>
      </c>
      <c r="D271" s="160" t="s">
        <v>61</v>
      </c>
      <c r="E271" s="53">
        <v>1</v>
      </c>
      <c r="F271" s="54">
        <f>TRUNC(1.0941,2)</f>
        <v>1.09</v>
      </c>
      <c r="G271" s="54">
        <f t="shared" si="10"/>
        <v>1.09</v>
      </c>
      <c r="H271" s="54"/>
      <c r="I271" s="55"/>
      <c r="K271" s="70"/>
    </row>
    <row r="272" spans="1:11" s="98" customFormat="1" ht="13.5">
      <c r="A272" s="158"/>
      <c r="B272" s="86" t="s">
        <v>438</v>
      </c>
      <c r="C272" s="52" t="s">
        <v>439</v>
      </c>
      <c r="D272" s="160" t="s">
        <v>68</v>
      </c>
      <c r="E272" s="53">
        <v>4</v>
      </c>
      <c r="F272" s="54">
        <f>TRUNC(0.08,2)</f>
        <v>0.08</v>
      </c>
      <c r="G272" s="54">
        <f t="shared" si="10"/>
        <v>0.32</v>
      </c>
      <c r="H272" s="54"/>
      <c r="I272" s="55"/>
      <c r="K272" s="70"/>
    </row>
    <row r="273" spans="1:11" s="98" customFormat="1" ht="13.5">
      <c r="A273" s="158"/>
      <c r="B273" s="86" t="s">
        <v>214</v>
      </c>
      <c r="C273" s="52" t="s">
        <v>215</v>
      </c>
      <c r="D273" s="160" t="s">
        <v>68</v>
      </c>
      <c r="E273" s="53">
        <v>1</v>
      </c>
      <c r="F273" s="54">
        <f>TRUNC(6.08,2)</f>
        <v>6.08</v>
      </c>
      <c r="G273" s="54">
        <f t="shared" si="10"/>
        <v>6.08</v>
      </c>
      <c r="H273" s="54"/>
      <c r="I273" s="55"/>
      <c r="K273" s="70"/>
    </row>
    <row r="274" spans="1:11" s="98" customFormat="1" ht="27">
      <c r="A274" s="158"/>
      <c r="B274" s="86" t="s">
        <v>97</v>
      </c>
      <c r="C274" s="52" t="s">
        <v>98</v>
      </c>
      <c r="D274" s="160" t="s">
        <v>27</v>
      </c>
      <c r="E274" s="53">
        <v>0.4635</v>
      </c>
      <c r="F274" s="54">
        <f>TRUNC(14.34,2)</f>
        <v>14.34</v>
      </c>
      <c r="G274" s="54">
        <f t="shared" si="10"/>
        <v>6.64</v>
      </c>
      <c r="H274" s="54"/>
      <c r="I274" s="55"/>
      <c r="K274" s="70"/>
    </row>
    <row r="275" spans="1:11" s="98" customFormat="1" ht="27">
      <c r="A275" s="158"/>
      <c r="B275" s="86" t="s">
        <v>105</v>
      </c>
      <c r="C275" s="52" t="s">
        <v>106</v>
      </c>
      <c r="D275" s="160" t="s">
        <v>27</v>
      </c>
      <c r="E275" s="53">
        <v>0.4635</v>
      </c>
      <c r="F275" s="54">
        <f>TRUNC(19.81,2)</f>
        <v>19.81</v>
      </c>
      <c r="G275" s="54">
        <f t="shared" si="10"/>
        <v>9.18</v>
      </c>
      <c r="H275" s="54"/>
      <c r="I275" s="55"/>
      <c r="K275" s="70"/>
    </row>
    <row r="276" spans="1:11" s="98" customFormat="1" ht="13.5">
      <c r="A276" s="158"/>
      <c r="B276" s="86"/>
      <c r="C276" s="52"/>
      <c r="D276" s="160"/>
      <c r="E276" s="53" t="s">
        <v>70</v>
      </c>
      <c r="F276" s="54"/>
      <c r="G276" s="54">
        <f>TRUNC(SUM(G266:G275),2)</f>
        <v>39.86</v>
      </c>
      <c r="H276" s="54"/>
      <c r="I276" s="55"/>
      <c r="K276" s="70"/>
    </row>
    <row r="277" spans="1:11" s="195" customFormat="1" ht="54.75">
      <c r="A277" s="188" t="s">
        <v>57</v>
      </c>
      <c r="B277" s="197" t="s">
        <v>279</v>
      </c>
      <c r="C277" s="190" t="s">
        <v>440</v>
      </c>
      <c r="D277" s="191" t="s">
        <v>68</v>
      </c>
      <c r="E277" s="192">
        <v>9</v>
      </c>
      <c r="F277" s="193">
        <f>TRUNC(G281,2)</f>
        <v>353.82</v>
      </c>
      <c r="G277" s="193">
        <f>TRUNC(F277*1.2882,2)</f>
        <v>455.79</v>
      </c>
      <c r="H277" s="193">
        <f>TRUNC(F277*E277,2)</f>
        <v>3184.38</v>
      </c>
      <c r="I277" s="194">
        <f>TRUNC(E277*G277,2)</f>
        <v>4102.11</v>
      </c>
      <c r="K277" s="196"/>
    </row>
    <row r="278" spans="1:9" s="101" customFormat="1" ht="54.75">
      <c r="A278" s="68"/>
      <c r="B278" s="161" t="s">
        <v>279</v>
      </c>
      <c r="C278" s="69" t="s">
        <v>441</v>
      </c>
      <c r="D278" s="68" t="s">
        <v>68</v>
      </c>
      <c r="E278" s="90">
        <v>1</v>
      </c>
      <c r="F278" s="55">
        <v>353.82</v>
      </c>
      <c r="G278" s="54">
        <f>TRUNC(E278*F278,2)</f>
        <v>353.82</v>
      </c>
      <c r="H278" s="54"/>
      <c r="I278" s="55"/>
    </row>
    <row r="279" spans="1:9" s="101" customFormat="1" ht="54.75">
      <c r="A279" s="68"/>
      <c r="B279" s="161" t="s">
        <v>279</v>
      </c>
      <c r="C279" s="69" t="s">
        <v>442</v>
      </c>
      <c r="D279" s="68" t="s">
        <v>68</v>
      </c>
      <c r="E279" s="90">
        <v>1</v>
      </c>
      <c r="F279" s="55">
        <v>219.89</v>
      </c>
      <c r="G279" s="54">
        <f>TRUNC(E279*F279,2)</f>
        <v>219.89</v>
      </c>
      <c r="H279" s="54"/>
      <c r="I279" s="55"/>
    </row>
    <row r="280" spans="1:9" s="101" customFormat="1" ht="54.75">
      <c r="A280" s="68"/>
      <c r="B280" s="161" t="s">
        <v>279</v>
      </c>
      <c r="C280" s="69" t="s">
        <v>443</v>
      </c>
      <c r="D280" s="68" t="s">
        <v>68</v>
      </c>
      <c r="E280" s="90">
        <v>1</v>
      </c>
      <c r="F280" s="55">
        <v>389.9</v>
      </c>
      <c r="G280" s="54">
        <f>TRUNC(E280*F280,2)</f>
        <v>389.9</v>
      </c>
      <c r="H280" s="54"/>
      <c r="I280" s="55"/>
    </row>
    <row r="281" spans="1:9" s="101" customFormat="1" ht="13.5">
      <c r="A281" s="68"/>
      <c r="B281" s="104"/>
      <c r="C281" s="69"/>
      <c r="D281" s="90"/>
      <c r="E281" s="90" t="s">
        <v>70</v>
      </c>
      <c r="F281" s="55"/>
      <c r="G281" s="54">
        <f>G278</f>
        <v>353.82</v>
      </c>
      <c r="H281" s="54"/>
      <c r="I281" s="55"/>
    </row>
    <row r="282" spans="1:11" s="195" customFormat="1" ht="27">
      <c r="A282" s="188" t="s">
        <v>58</v>
      </c>
      <c r="B282" s="189" t="s">
        <v>444</v>
      </c>
      <c r="C282" s="190" t="s">
        <v>445</v>
      </c>
      <c r="D282" s="191" t="s">
        <v>68</v>
      </c>
      <c r="E282" s="192">
        <v>15</v>
      </c>
      <c r="F282" s="193">
        <f>TRUNC(G287,2)</f>
        <v>11.23</v>
      </c>
      <c r="G282" s="193">
        <f>TRUNC(F282*1.2882,2)</f>
        <v>14.46</v>
      </c>
      <c r="H282" s="193">
        <f>TRUNC(F282*E282,2)</f>
        <v>168.45</v>
      </c>
      <c r="I282" s="194">
        <f>TRUNC(E282*G282,2)</f>
        <v>216.9</v>
      </c>
      <c r="K282" s="196"/>
    </row>
    <row r="283" spans="1:11" s="98" customFormat="1" ht="13.5">
      <c r="A283" s="158"/>
      <c r="B283" s="86" t="s">
        <v>216</v>
      </c>
      <c r="C283" s="52" t="s">
        <v>217</v>
      </c>
      <c r="D283" s="160" t="s">
        <v>68</v>
      </c>
      <c r="E283" s="53">
        <v>1</v>
      </c>
      <c r="F283" s="54">
        <f>TRUNC(8.24,2)</f>
        <v>8.24</v>
      </c>
      <c r="G283" s="54">
        <f>TRUNC(E283*F283,2)</f>
        <v>8.24</v>
      </c>
      <c r="H283" s="54"/>
      <c r="I283" s="55"/>
      <c r="K283" s="70"/>
    </row>
    <row r="284" spans="1:11" s="98" customFormat="1" ht="27">
      <c r="A284" s="158"/>
      <c r="B284" s="86" t="s">
        <v>199</v>
      </c>
      <c r="C284" s="52" t="s">
        <v>135</v>
      </c>
      <c r="D284" s="160" t="s">
        <v>68</v>
      </c>
      <c r="E284" s="53">
        <v>1</v>
      </c>
      <c r="F284" s="54">
        <f>TRUNC(0.68,2)</f>
        <v>0.68</v>
      </c>
      <c r="G284" s="54">
        <f>TRUNC(E284*F284,2)</f>
        <v>0.68</v>
      </c>
      <c r="H284" s="54"/>
      <c r="I284" s="55"/>
      <c r="K284" s="70"/>
    </row>
    <row r="285" spans="1:11" s="98" customFormat="1" ht="13.5">
      <c r="A285" s="158"/>
      <c r="B285" s="86" t="s">
        <v>136</v>
      </c>
      <c r="C285" s="52" t="s">
        <v>133</v>
      </c>
      <c r="D285" s="160" t="s">
        <v>27</v>
      </c>
      <c r="E285" s="53">
        <v>0.0476</v>
      </c>
      <c r="F285" s="54">
        <f>TRUNC(27.3,2)</f>
        <v>27.3</v>
      </c>
      <c r="G285" s="54">
        <f>TRUNC(E285*F285,2)</f>
        <v>1.29</v>
      </c>
      <c r="H285" s="54"/>
      <c r="I285" s="55"/>
      <c r="K285" s="70"/>
    </row>
    <row r="286" spans="1:11" s="98" customFormat="1" ht="13.5">
      <c r="A286" s="158"/>
      <c r="B286" s="86" t="s">
        <v>137</v>
      </c>
      <c r="C286" s="52" t="s">
        <v>134</v>
      </c>
      <c r="D286" s="160" t="s">
        <v>27</v>
      </c>
      <c r="E286" s="53">
        <v>0.0476</v>
      </c>
      <c r="F286" s="54">
        <f>TRUNC(21.46,2)</f>
        <v>21.46</v>
      </c>
      <c r="G286" s="54">
        <f>TRUNC(E286*F286,2)</f>
        <v>1.02</v>
      </c>
      <c r="H286" s="54"/>
      <c r="I286" s="55"/>
      <c r="K286" s="70"/>
    </row>
    <row r="287" spans="1:11" s="98" customFormat="1" ht="13.5">
      <c r="A287" s="158"/>
      <c r="B287" s="86"/>
      <c r="C287" s="52"/>
      <c r="D287" s="160"/>
      <c r="E287" s="53" t="s">
        <v>70</v>
      </c>
      <c r="F287" s="54"/>
      <c r="G287" s="54">
        <f>TRUNC(SUM(G283:G286),2)</f>
        <v>11.23</v>
      </c>
      <c r="H287" s="54"/>
      <c r="I287" s="55"/>
      <c r="K287" s="70"/>
    </row>
    <row r="288" spans="1:11" s="195" customFormat="1" ht="13.5">
      <c r="A288" s="188" t="s">
        <v>550</v>
      </c>
      <c r="B288" s="197" t="s">
        <v>279</v>
      </c>
      <c r="C288" s="190" t="s">
        <v>446</v>
      </c>
      <c r="D288" s="191" t="s">
        <v>68</v>
      </c>
      <c r="E288" s="192">
        <v>4</v>
      </c>
      <c r="F288" s="193">
        <f>TRUNC(G292,2)</f>
        <v>107.1</v>
      </c>
      <c r="G288" s="193">
        <f>TRUNC(F288*1.2882,2)</f>
        <v>137.96</v>
      </c>
      <c r="H288" s="193">
        <f>TRUNC(F288*E288,2)</f>
        <v>428.4</v>
      </c>
      <c r="I288" s="194">
        <f>TRUNC(E288*G288,2)</f>
        <v>551.84</v>
      </c>
      <c r="K288" s="196"/>
    </row>
    <row r="289" spans="1:9" s="101" customFormat="1" ht="27">
      <c r="A289" s="68"/>
      <c r="B289" s="161" t="s">
        <v>279</v>
      </c>
      <c r="C289" s="69" t="s">
        <v>447</v>
      </c>
      <c r="D289" s="68" t="s">
        <v>68</v>
      </c>
      <c r="E289" s="90">
        <v>1</v>
      </c>
      <c r="F289" s="55">
        <v>107.1</v>
      </c>
      <c r="G289" s="54">
        <f>TRUNC(E289*F289,2)</f>
        <v>107.1</v>
      </c>
      <c r="H289" s="54"/>
      <c r="I289" s="55"/>
    </row>
    <row r="290" spans="1:9" s="101" customFormat="1" ht="27">
      <c r="A290" s="68"/>
      <c r="B290" s="161" t="s">
        <v>279</v>
      </c>
      <c r="C290" s="69" t="s">
        <v>448</v>
      </c>
      <c r="D290" s="68" t="s">
        <v>68</v>
      </c>
      <c r="E290" s="90">
        <v>1</v>
      </c>
      <c r="F290" s="55">
        <v>110.93</v>
      </c>
      <c r="G290" s="54">
        <f>TRUNC(E290*F290,2)</f>
        <v>110.93</v>
      </c>
      <c r="H290" s="54"/>
      <c r="I290" s="55"/>
    </row>
    <row r="291" spans="1:9" s="101" customFormat="1" ht="13.5">
      <c r="A291" s="68"/>
      <c r="B291" s="161" t="s">
        <v>279</v>
      </c>
      <c r="C291" s="69" t="s">
        <v>449</v>
      </c>
      <c r="D291" s="68" t="s">
        <v>68</v>
      </c>
      <c r="E291" s="90">
        <v>1</v>
      </c>
      <c r="F291" s="55">
        <v>99.43</v>
      </c>
      <c r="G291" s="54">
        <f>TRUNC(E291*F291,2)</f>
        <v>99.43</v>
      </c>
      <c r="H291" s="54"/>
      <c r="I291" s="55"/>
    </row>
    <row r="292" spans="1:9" s="101" customFormat="1" ht="13.5">
      <c r="A292" s="68"/>
      <c r="B292" s="104"/>
      <c r="C292" s="69"/>
      <c r="D292" s="68"/>
      <c r="E292" s="90" t="s">
        <v>70</v>
      </c>
      <c r="F292" s="55"/>
      <c r="G292" s="54">
        <f>G289</f>
        <v>107.1</v>
      </c>
      <c r="H292" s="54"/>
      <c r="I292" s="55"/>
    </row>
    <row r="293" spans="1:11" s="195" customFormat="1" ht="13.5">
      <c r="A293" s="188" t="s">
        <v>551</v>
      </c>
      <c r="B293" s="197" t="s">
        <v>279</v>
      </c>
      <c r="C293" s="190" t="s">
        <v>450</v>
      </c>
      <c r="D293" s="191" t="s">
        <v>68</v>
      </c>
      <c r="E293" s="192">
        <v>1</v>
      </c>
      <c r="F293" s="193">
        <f>G297</f>
        <v>396.09</v>
      </c>
      <c r="G293" s="193">
        <f>TRUNC(F293*1.2882,2)</f>
        <v>510.24</v>
      </c>
      <c r="H293" s="193">
        <f>TRUNC(F293*E293,2)</f>
        <v>396.09</v>
      </c>
      <c r="I293" s="194">
        <f>TRUNC(E293*G293,2)</f>
        <v>510.24</v>
      </c>
      <c r="K293" s="196"/>
    </row>
    <row r="294" spans="1:9" s="101" customFormat="1" ht="13.5">
      <c r="A294" s="68"/>
      <c r="B294" s="161" t="s">
        <v>279</v>
      </c>
      <c r="C294" s="69" t="s">
        <v>451</v>
      </c>
      <c r="D294" s="68" t="s">
        <v>68</v>
      </c>
      <c r="E294" s="90">
        <v>1</v>
      </c>
      <c r="F294" s="55">
        <v>396.09</v>
      </c>
      <c r="G294" s="54">
        <f>TRUNC(E294*F294,2)</f>
        <v>396.09</v>
      </c>
      <c r="H294" s="54"/>
      <c r="I294" s="55"/>
    </row>
    <row r="295" spans="1:9" s="101" customFormat="1" ht="27">
      <c r="A295" s="68"/>
      <c r="B295" s="161" t="s">
        <v>279</v>
      </c>
      <c r="C295" s="69" t="s">
        <v>452</v>
      </c>
      <c r="D295" s="68" t="s">
        <v>68</v>
      </c>
      <c r="E295" s="90">
        <v>1</v>
      </c>
      <c r="F295" s="55">
        <v>575.64</v>
      </c>
      <c r="G295" s="54">
        <f>TRUNC(E295*F295,2)</f>
        <v>575.64</v>
      </c>
      <c r="H295" s="54"/>
      <c r="I295" s="55"/>
    </row>
    <row r="296" spans="1:9" s="101" customFormat="1" ht="13.5">
      <c r="A296" s="68"/>
      <c r="B296" s="161" t="s">
        <v>279</v>
      </c>
      <c r="C296" s="69" t="s">
        <v>453</v>
      </c>
      <c r="D296" s="68" t="s">
        <v>68</v>
      </c>
      <c r="E296" s="90">
        <v>1</v>
      </c>
      <c r="F296" s="55">
        <v>289</v>
      </c>
      <c r="G296" s="54">
        <f>TRUNC(E296*F296,2)</f>
        <v>289</v>
      </c>
      <c r="H296" s="54"/>
      <c r="I296" s="55"/>
    </row>
    <row r="297" spans="1:9" s="101" customFormat="1" ht="13.5">
      <c r="A297" s="68"/>
      <c r="B297" s="104"/>
      <c r="C297" s="69"/>
      <c r="D297" s="68"/>
      <c r="E297" s="90" t="s">
        <v>70</v>
      </c>
      <c r="F297" s="55"/>
      <c r="G297" s="54">
        <v>396.09</v>
      </c>
      <c r="H297" s="54"/>
      <c r="I297" s="55"/>
    </row>
    <row r="298" spans="1:11" s="195" customFormat="1" ht="13.5">
      <c r="A298" s="188" t="s">
        <v>553</v>
      </c>
      <c r="B298" s="197" t="s">
        <v>279</v>
      </c>
      <c r="C298" s="190" t="s">
        <v>454</v>
      </c>
      <c r="D298" s="191" t="s">
        <v>68</v>
      </c>
      <c r="E298" s="192">
        <v>1</v>
      </c>
      <c r="F298" s="193">
        <f>G302</f>
        <v>19</v>
      </c>
      <c r="G298" s="193">
        <f>TRUNC(F298*1.2882,2)</f>
        <v>24.47</v>
      </c>
      <c r="H298" s="193">
        <f>TRUNC(F298*E298,2)</f>
        <v>19</v>
      </c>
      <c r="I298" s="194">
        <f>TRUNC(E298*G298,2)</f>
        <v>24.47</v>
      </c>
      <c r="K298" s="196"/>
    </row>
    <row r="299" spans="1:9" s="101" customFormat="1" ht="13.5">
      <c r="A299" s="68"/>
      <c r="B299" s="161" t="s">
        <v>279</v>
      </c>
      <c r="C299" s="69" t="s">
        <v>455</v>
      </c>
      <c r="D299" s="68" t="s">
        <v>68</v>
      </c>
      <c r="E299" s="90">
        <v>1</v>
      </c>
      <c r="F299" s="55">
        <v>3.4</v>
      </c>
      <c r="G299" s="54">
        <f>TRUNC(E299*F299,2)</f>
        <v>3.4</v>
      </c>
      <c r="H299" s="54"/>
      <c r="I299" s="55"/>
    </row>
    <row r="300" spans="1:9" s="101" customFormat="1" ht="13.5">
      <c r="A300" s="68"/>
      <c r="B300" s="161" t="s">
        <v>279</v>
      </c>
      <c r="C300" s="69" t="s">
        <v>456</v>
      </c>
      <c r="D300" s="68" t="s">
        <v>68</v>
      </c>
      <c r="E300" s="90">
        <v>1</v>
      </c>
      <c r="F300" s="55">
        <v>27.84</v>
      </c>
      <c r="G300" s="54">
        <f>TRUNC(E300*F300,2)</f>
        <v>27.84</v>
      </c>
      <c r="H300" s="54"/>
      <c r="I300" s="55"/>
    </row>
    <row r="301" spans="1:9" s="101" customFormat="1" ht="13.5">
      <c r="A301" s="68"/>
      <c r="B301" s="161" t="s">
        <v>279</v>
      </c>
      <c r="C301" s="69" t="s">
        <v>457</v>
      </c>
      <c r="D301" s="68" t="s">
        <v>68</v>
      </c>
      <c r="E301" s="90">
        <v>1</v>
      </c>
      <c r="F301" s="55">
        <v>19</v>
      </c>
      <c r="G301" s="54">
        <f>TRUNC(E301*F301,2)</f>
        <v>19</v>
      </c>
      <c r="H301" s="54"/>
      <c r="I301" s="55"/>
    </row>
    <row r="302" spans="1:9" s="101" customFormat="1" ht="13.5">
      <c r="A302" s="68"/>
      <c r="B302" s="104"/>
      <c r="C302" s="69"/>
      <c r="D302" s="68"/>
      <c r="E302" s="90" t="s">
        <v>70</v>
      </c>
      <c r="F302" s="55"/>
      <c r="G302" s="54">
        <f>G301</f>
        <v>19</v>
      </c>
      <c r="H302" s="54"/>
      <c r="I302" s="55"/>
    </row>
    <row r="303" spans="1:11" s="195" customFormat="1" ht="13.5">
      <c r="A303" s="188" t="s">
        <v>552</v>
      </c>
      <c r="B303" s="197" t="s">
        <v>279</v>
      </c>
      <c r="C303" s="190" t="s">
        <v>458</v>
      </c>
      <c r="D303" s="191" t="s">
        <v>68</v>
      </c>
      <c r="E303" s="192">
        <v>9</v>
      </c>
      <c r="F303" s="193">
        <f>G307</f>
        <v>36.33</v>
      </c>
      <c r="G303" s="193">
        <f>TRUNC(F303*1.2882,2)</f>
        <v>46.8</v>
      </c>
      <c r="H303" s="193">
        <f>TRUNC(F303*E303,2)</f>
        <v>326.97</v>
      </c>
      <c r="I303" s="194">
        <f>TRUNC(E303*G303,2)</f>
        <v>421.2</v>
      </c>
      <c r="K303" s="196"/>
    </row>
    <row r="304" spans="1:9" s="101" customFormat="1" ht="13.5">
      <c r="A304" s="68"/>
      <c r="B304" s="161" t="s">
        <v>279</v>
      </c>
      <c r="C304" s="69" t="s">
        <v>459</v>
      </c>
      <c r="D304" s="68" t="s">
        <v>68</v>
      </c>
      <c r="E304" s="90">
        <v>1</v>
      </c>
      <c r="F304" s="55">
        <v>36.33</v>
      </c>
      <c r="G304" s="54">
        <f>TRUNC(E304*F304,2)</f>
        <v>36.33</v>
      </c>
      <c r="H304" s="54"/>
      <c r="I304" s="55"/>
    </row>
    <row r="305" spans="1:9" s="101" customFormat="1" ht="13.5">
      <c r="A305" s="68"/>
      <c r="B305" s="161" t="s">
        <v>279</v>
      </c>
      <c r="C305" s="69" t="s">
        <v>460</v>
      </c>
      <c r="D305" s="68" t="s">
        <v>68</v>
      </c>
      <c r="E305" s="90">
        <v>1</v>
      </c>
      <c r="F305" s="55">
        <v>40.75</v>
      </c>
      <c r="G305" s="54">
        <f>TRUNC(E305*F305,2)</f>
        <v>40.75</v>
      </c>
      <c r="H305" s="54"/>
      <c r="I305" s="55"/>
    </row>
    <row r="306" spans="1:9" s="101" customFormat="1" ht="13.5">
      <c r="A306" s="68"/>
      <c r="B306" s="161" t="s">
        <v>279</v>
      </c>
      <c r="C306" s="69" t="s">
        <v>461</v>
      </c>
      <c r="D306" s="68" t="s">
        <v>68</v>
      </c>
      <c r="E306" s="90">
        <v>1</v>
      </c>
      <c r="F306" s="55">
        <v>29.66</v>
      </c>
      <c r="G306" s="54">
        <f>TRUNC(E306*F306,2)</f>
        <v>29.66</v>
      </c>
      <c r="H306" s="54"/>
      <c r="I306" s="55"/>
    </row>
    <row r="307" spans="1:9" s="101" customFormat="1" ht="13.5">
      <c r="A307" s="68"/>
      <c r="B307" s="104"/>
      <c r="C307" s="69"/>
      <c r="D307" s="68"/>
      <c r="E307" s="90" t="s">
        <v>70</v>
      </c>
      <c r="F307" s="55"/>
      <c r="G307" s="54">
        <f>G304</f>
        <v>36.33</v>
      </c>
      <c r="H307" s="54"/>
      <c r="I307" s="55"/>
    </row>
    <row r="308" spans="1:11" s="195" customFormat="1" ht="27">
      <c r="A308" s="188" t="s">
        <v>554</v>
      </c>
      <c r="B308" s="189" t="s">
        <v>631</v>
      </c>
      <c r="C308" s="190" t="s">
        <v>463</v>
      </c>
      <c r="D308" s="191" t="s">
        <v>68</v>
      </c>
      <c r="E308" s="192">
        <v>9</v>
      </c>
      <c r="F308" s="193">
        <f>TRUNC(G311,2)</f>
        <v>24.15</v>
      </c>
      <c r="G308" s="193">
        <f>TRUNC(F308*1.2882,2)</f>
        <v>31.11</v>
      </c>
      <c r="H308" s="193">
        <f>TRUNC(F308*E308,2)</f>
        <v>217.35</v>
      </c>
      <c r="I308" s="194">
        <f>TRUNC(E308*G308,2)</f>
        <v>279.99</v>
      </c>
      <c r="K308" s="196"/>
    </row>
    <row r="309" spans="1:11" s="98" customFormat="1" ht="27">
      <c r="A309" s="158"/>
      <c r="B309" s="86" t="s">
        <v>632</v>
      </c>
      <c r="C309" s="52" t="s">
        <v>633</v>
      </c>
      <c r="D309" s="160" t="s">
        <v>68</v>
      </c>
      <c r="E309" s="53">
        <v>1</v>
      </c>
      <c r="F309" s="54">
        <f>TRUNC(16.93,2)</f>
        <v>16.93</v>
      </c>
      <c r="G309" s="54">
        <f>TRUNC(E309*F309,2)</f>
        <v>16.93</v>
      </c>
      <c r="H309" s="54"/>
      <c r="I309" s="55"/>
      <c r="K309" s="70"/>
    </row>
    <row r="310" spans="1:11" s="98" customFormat="1" ht="27">
      <c r="A310" s="158"/>
      <c r="B310" s="86" t="s">
        <v>634</v>
      </c>
      <c r="C310" s="52" t="s">
        <v>635</v>
      </c>
      <c r="D310" s="160" t="s">
        <v>68</v>
      </c>
      <c r="E310" s="53">
        <v>1</v>
      </c>
      <c r="F310" s="54">
        <f>TRUNC(7.22,2)</f>
        <v>7.22</v>
      </c>
      <c r="G310" s="54">
        <f>TRUNC(E310*F310,2)</f>
        <v>7.22</v>
      </c>
      <c r="H310" s="54"/>
      <c r="I310" s="55"/>
      <c r="K310" s="70"/>
    </row>
    <row r="311" spans="1:11" s="98" customFormat="1" ht="13.5">
      <c r="A311" s="158"/>
      <c r="B311" s="86"/>
      <c r="C311" s="52"/>
      <c r="D311" s="160"/>
      <c r="E311" s="53" t="s">
        <v>70</v>
      </c>
      <c r="F311" s="54"/>
      <c r="G311" s="54">
        <f>TRUNC(SUM(G309:G310),2)</f>
        <v>24.15</v>
      </c>
      <c r="H311" s="54"/>
      <c r="I311" s="55"/>
      <c r="K311" s="70"/>
    </row>
    <row r="312" spans="1:11" s="195" customFormat="1" ht="27">
      <c r="A312" s="188" t="s">
        <v>555</v>
      </c>
      <c r="B312" s="189" t="s">
        <v>636</v>
      </c>
      <c r="C312" s="190" t="s">
        <v>469</v>
      </c>
      <c r="D312" s="191" t="s">
        <v>68</v>
      </c>
      <c r="E312" s="192">
        <v>1</v>
      </c>
      <c r="F312" s="193">
        <f>TRUNC(G315,2)</f>
        <v>38.16</v>
      </c>
      <c r="G312" s="193">
        <f>TRUNC(F312*1.2882,2)</f>
        <v>49.15</v>
      </c>
      <c r="H312" s="193">
        <f>TRUNC(F312*E312,2)</f>
        <v>38.16</v>
      </c>
      <c r="I312" s="194">
        <f>TRUNC(E312*G312,2)</f>
        <v>49.15</v>
      </c>
      <c r="K312" s="196"/>
    </row>
    <row r="313" spans="1:11" s="98" customFormat="1" ht="27">
      <c r="A313" s="158"/>
      <c r="B313" s="86" t="s">
        <v>637</v>
      </c>
      <c r="C313" s="52" t="s">
        <v>638</v>
      </c>
      <c r="D313" s="160" t="s">
        <v>68</v>
      </c>
      <c r="E313" s="53">
        <v>1</v>
      </c>
      <c r="F313" s="54">
        <f>TRUNC(30.94,2)</f>
        <v>30.94</v>
      </c>
      <c r="G313" s="54">
        <f>TRUNC(E313*F313,2)</f>
        <v>30.94</v>
      </c>
      <c r="H313" s="54"/>
      <c r="I313" s="55"/>
      <c r="K313" s="70"/>
    </row>
    <row r="314" spans="1:11" s="98" customFormat="1" ht="27">
      <c r="A314" s="158"/>
      <c r="B314" s="86" t="s">
        <v>634</v>
      </c>
      <c r="C314" s="52" t="s">
        <v>635</v>
      </c>
      <c r="D314" s="160" t="s">
        <v>68</v>
      </c>
      <c r="E314" s="53">
        <v>1</v>
      </c>
      <c r="F314" s="54">
        <f>TRUNC(7.22,2)</f>
        <v>7.22</v>
      </c>
      <c r="G314" s="54">
        <f>TRUNC(E314*F314,2)</f>
        <v>7.22</v>
      </c>
      <c r="H314" s="54"/>
      <c r="I314" s="55"/>
      <c r="K314" s="70"/>
    </row>
    <row r="315" spans="1:11" s="98" customFormat="1" ht="13.5">
      <c r="A315" s="158"/>
      <c r="B315" s="86"/>
      <c r="C315" s="52"/>
      <c r="D315" s="160"/>
      <c r="E315" s="53" t="s">
        <v>70</v>
      </c>
      <c r="F315" s="54"/>
      <c r="G315" s="54">
        <f>TRUNC(SUM(G313:G314),2)</f>
        <v>38.16</v>
      </c>
      <c r="H315" s="54"/>
      <c r="I315" s="55"/>
      <c r="K315" s="70"/>
    </row>
    <row r="316" spans="1:11" s="195" customFormat="1" ht="27">
      <c r="A316" s="188" t="s">
        <v>556</v>
      </c>
      <c r="B316" s="189" t="s">
        <v>639</v>
      </c>
      <c r="C316" s="190" t="s">
        <v>473</v>
      </c>
      <c r="D316" s="191" t="s">
        <v>68</v>
      </c>
      <c r="E316" s="192">
        <v>53</v>
      </c>
      <c r="F316" s="193">
        <f>TRUNC(G319,2)</f>
        <v>29.02</v>
      </c>
      <c r="G316" s="193">
        <f>TRUNC(F316*1.2882,2)</f>
        <v>37.38</v>
      </c>
      <c r="H316" s="193">
        <f>TRUNC(F316*E316,2)</f>
        <v>1538.06</v>
      </c>
      <c r="I316" s="194">
        <f>TRUNC(E316*G316,2)</f>
        <v>1981.14</v>
      </c>
      <c r="K316" s="196"/>
    </row>
    <row r="317" spans="1:11" s="98" customFormat="1" ht="27">
      <c r="A317" s="158"/>
      <c r="B317" s="86" t="s">
        <v>640</v>
      </c>
      <c r="C317" s="52" t="s">
        <v>641</v>
      </c>
      <c r="D317" s="160" t="s">
        <v>68</v>
      </c>
      <c r="E317" s="53">
        <v>1</v>
      </c>
      <c r="F317" s="54">
        <f>TRUNC(21.8,2)</f>
        <v>21.8</v>
      </c>
      <c r="G317" s="54">
        <f>TRUNC(E317*F317,2)</f>
        <v>21.8</v>
      </c>
      <c r="H317" s="54"/>
      <c r="I317" s="55"/>
      <c r="K317" s="70"/>
    </row>
    <row r="318" spans="1:11" s="98" customFormat="1" ht="27">
      <c r="A318" s="158"/>
      <c r="B318" s="86" t="s">
        <v>634</v>
      </c>
      <c r="C318" s="52" t="s">
        <v>635</v>
      </c>
      <c r="D318" s="160" t="s">
        <v>68</v>
      </c>
      <c r="E318" s="53">
        <v>1</v>
      </c>
      <c r="F318" s="54">
        <f>TRUNC(7.22,2)</f>
        <v>7.22</v>
      </c>
      <c r="G318" s="54">
        <f>TRUNC(E318*F318,2)</f>
        <v>7.22</v>
      </c>
      <c r="H318" s="54"/>
      <c r="I318" s="55"/>
      <c r="K318" s="70"/>
    </row>
    <row r="319" spans="1:11" s="98" customFormat="1" ht="13.5">
      <c r="A319" s="158"/>
      <c r="B319" s="86"/>
      <c r="C319" s="52"/>
      <c r="D319" s="160"/>
      <c r="E319" s="53" t="s">
        <v>70</v>
      </c>
      <c r="F319" s="54"/>
      <c r="G319" s="54">
        <f>TRUNC(SUM(G317:G318),2)</f>
        <v>29.02</v>
      </c>
      <c r="H319" s="54"/>
      <c r="I319" s="55"/>
      <c r="K319" s="70"/>
    </row>
    <row r="320" spans="1:11" s="195" customFormat="1" ht="27">
      <c r="A320" s="188" t="s">
        <v>557</v>
      </c>
      <c r="B320" s="189" t="s">
        <v>642</v>
      </c>
      <c r="C320" s="190" t="s">
        <v>477</v>
      </c>
      <c r="D320" s="191" t="s">
        <v>68</v>
      </c>
      <c r="E320" s="192">
        <v>2</v>
      </c>
      <c r="F320" s="193">
        <f>TRUNC(G323,2)</f>
        <v>47.88</v>
      </c>
      <c r="G320" s="193">
        <f>TRUNC(F320*1.2882,2)</f>
        <v>61.67</v>
      </c>
      <c r="H320" s="193">
        <f>TRUNC(F320*E320,2)</f>
        <v>95.76</v>
      </c>
      <c r="I320" s="194">
        <f>TRUNC(E320*G320,2)</f>
        <v>123.34</v>
      </c>
      <c r="K320" s="196"/>
    </row>
    <row r="321" spans="1:11" s="98" customFormat="1" ht="27">
      <c r="A321" s="158"/>
      <c r="B321" s="86" t="s">
        <v>643</v>
      </c>
      <c r="C321" s="52" t="s">
        <v>644</v>
      </c>
      <c r="D321" s="160" t="s">
        <v>68</v>
      </c>
      <c r="E321" s="53">
        <v>1</v>
      </c>
      <c r="F321" s="54">
        <f>TRUNC(40.66,2)</f>
        <v>40.66</v>
      </c>
      <c r="G321" s="54">
        <f>TRUNC(E321*F321,2)</f>
        <v>40.66</v>
      </c>
      <c r="H321" s="54"/>
      <c r="I321" s="55"/>
      <c r="K321" s="70"/>
    </row>
    <row r="322" spans="1:11" s="98" customFormat="1" ht="27">
      <c r="A322" s="158"/>
      <c r="B322" s="86" t="s">
        <v>634</v>
      </c>
      <c r="C322" s="52" t="s">
        <v>635</v>
      </c>
      <c r="D322" s="160" t="s">
        <v>68</v>
      </c>
      <c r="E322" s="53">
        <v>1</v>
      </c>
      <c r="F322" s="54">
        <f>TRUNC(7.22,2)</f>
        <v>7.22</v>
      </c>
      <c r="G322" s="54">
        <f>TRUNC(E322*F322,2)</f>
        <v>7.22</v>
      </c>
      <c r="H322" s="54"/>
      <c r="I322" s="55"/>
      <c r="K322" s="70"/>
    </row>
    <row r="323" spans="1:11" s="98" customFormat="1" ht="13.5">
      <c r="A323" s="158"/>
      <c r="B323" s="86"/>
      <c r="C323" s="52"/>
      <c r="D323" s="160"/>
      <c r="E323" s="53" t="s">
        <v>70</v>
      </c>
      <c r="F323" s="54"/>
      <c r="G323" s="54">
        <f>TRUNC(SUM(G321:G322),2)</f>
        <v>47.88</v>
      </c>
      <c r="H323" s="54"/>
      <c r="I323" s="55"/>
      <c r="K323" s="70"/>
    </row>
    <row r="324" spans="1:11" s="195" customFormat="1" ht="27">
      <c r="A324" s="188" t="s">
        <v>558</v>
      </c>
      <c r="B324" s="189" t="s">
        <v>645</v>
      </c>
      <c r="C324" s="190" t="s">
        <v>481</v>
      </c>
      <c r="D324" s="191" t="s">
        <v>68</v>
      </c>
      <c r="E324" s="192">
        <v>15</v>
      </c>
      <c r="F324" s="193">
        <f>TRUNC(G327,2)</f>
        <v>111.28</v>
      </c>
      <c r="G324" s="193">
        <f>TRUNC(F324*1.2882,2)</f>
        <v>143.35</v>
      </c>
      <c r="H324" s="193">
        <f>TRUNC(F324*E324,2)</f>
        <v>1669.2</v>
      </c>
      <c r="I324" s="194">
        <f>TRUNC(E324*G324,2)</f>
        <v>2150.25</v>
      </c>
      <c r="K324" s="196"/>
    </row>
    <row r="325" spans="1:11" s="98" customFormat="1" ht="27">
      <c r="A325" s="158"/>
      <c r="B325" s="86" t="s">
        <v>482</v>
      </c>
      <c r="C325" s="52" t="s">
        <v>483</v>
      </c>
      <c r="D325" s="160" t="s">
        <v>68</v>
      </c>
      <c r="E325" s="53">
        <v>1</v>
      </c>
      <c r="F325" s="54">
        <f>TRUNC(100.06,2)</f>
        <v>100.06</v>
      </c>
      <c r="G325" s="54">
        <f>TRUNC(E325*F325,2)</f>
        <v>100.06</v>
      </c>
      <c r="H325" s="54"/>
      <c r="I325" s="55"/>
      <c r="K325" s="70"/>
    </row>
    <row r="326" spans="1:11" s="98" customFormat="1" ht="27">
      <c r="A326" s="158"/>
      <c r="B326" s="86" t="s">
        <v>105</v>
      </c>
      <c r="C326" s="52" t="s">
        <v>106</v>
      </c>
      <c r="D326" s="160" t="s">
        <v>27</v>
      </c>
      <c r="E326" s="53">
        <v>0.5665000000000001</v>
      </c>
      <c r="F326" s="54">
        <f>TRUNC(19.81,2)</f>
        <v>19.81</v>
      </c>
      <c r="G326" s="54">
        <f>TRUNC(E326*F326,2)</f>
        <v>11.22</v>
      </c>
      <c r="H326" s="54"/>
      <c r="I326" s="55"/>
      <c r="K326" s="70"/>
    </row>
    <row r="327" spans="1:11" s="98" customFormat="1" ht="13.5">
      <c r="A327" s="158"/>
      <c r="B327" s="86"/>
      <c r="C327" s="52"/>
      <c r="D327" s="160"/>
      <c r="E327" s="53" t="s">
        <v>70</v>
      </c>
      <c r="F327" s="54"/>
      <c r="G327" s="54">
        <f>TRUNC(SUM(G325:G326),2)</f>
        <v>111.28</v>
      </c>
      <c r="H327" s="54"/>
      <c r="I327" s="55"/>
      <c r="K327" s="70"/>
    </row>
    <row r="328" spans="1:11" s="195" customFormat="1" ht="41.25">
      <c r="A328" s="188" t="s">
        <v>559</v>
      </c>
      <c r="B328" s="189" t="s">
        <v>646</v>
      </c>
      <c r="C328" s="190" t="s">
        <v>485</v>
      </c>
      <c r="D328" s="191" t="s">
        <v>68</v>
      </c>
      <c r="E328" s="192">
        <v>36</v>
      </c>
      <c r="F328" s="193">
        <f>TRUNC(G336,2)</f>
        <v>86.7</v>
      </c>
      <c r="G328" s="193">
        <f>TRUNC(F328*1.2882,2)</f>
        <v>111.68</v>
      </c>
      <c r="H328" s="193">
        <f>TRUNC(F328*E328,2)</f>
        <v>3121.2</v>
      </c>
      <c r="I328" s="194">
        <f>TRUNC(E328*G328,2)</f>
        <v>4020.48</v>
      </c>
      <c r="K328" s="196"/>
    </row>
    <row r="329" spans="1:11" s="98" customFormat="1" ht="27">
      <c r="A329" s="158"/>
      <c r="B329" s="86" t="s">
        <v>486</v>
      </c>
      <c r="C329" s="52" t="s">
        <v>487</v>
      </c>
      <c r="D329" s="160" t="s">
        <v>68</v>
      </c>
      <c r="E329" s="53">
        <v>1</v>
      </c>
      <c r="F329" s="54">
        <f>TRUNC(14.28,2)</f>
        <v>14.28</v>
      </c>
      <c r="G329" s="54">
        <f aca="true" t="shared" si="11" ref="G329:G335">TRUNC(E329*F329,2)</f>
        <v>14.28</v>
      </c>
      <c r="H329" s="54"/>
      <c r="I329" s="55"/>
      <c r="K329" s="70"/>
    </row>
    <row r="330" spans="1:11" s="98" customFormat="1" ht="13.5">
      <c r="A330" s="158"/>
      <c r="B330" s="86" t="s">
        <v>488</v>
      </c>
      <c r="C330" s="52" t="s">
        <v>489</v>
      </c>
      <c r="D330" s="160" t="s">
        <v>68</v>
      </c>
      <c r="E330" s="53">
        <v>1</v>
      </c>
      <c r="F330" s="54">
        <f>TRUNC(2.58,2)</f>
        <v>2.58</v>
      </c>
      <c r="G330" s="54">
        <f t="shared" si="11"/>
        <v>2.58</v>
      </c>
      <c r="H330" s="54"/>
      <c r="I330" s="55"/>
      <c r="K330" s="70"/>
    </row>
    <row r="331" spans="1:11" s="98" customFormat="1" ht="27">
      <c r="A331" s="158"/>
      <c r="B331" s="86" t="s">
        <v>490</v>
      </c>
      <c r="C331" s="52" t="s">
        <v>491</v>
      </c>
      <c r="D331" s="160" t="s">
        <v>68</v>
      </c>
      <c r="E331" s="53">
        <v>1</v>
      </c>
      <c r="F331" s="54">
        <f>TRUNC(15,2)</f>
        <v>15</v>
      </c>
      <c r="G331" s="54">
        <f t="shared" si="11"/>
        <v>15</v>
      </c>
      <c r="H331" s="54"/>
      <c r="I331" s="55"/>
      <c r="K331" s="70"/>
    </row>
    <row r="332" spans="1:11" s="98" customFormat="1" ht="13.5">
      <c r="A332" s="158"/>
      <c r="B332" s="86" t="s">
        <v>492</v>
      </c>
      <c r="C332" s="52" t="s">
        <v>493</v>
      </c>
      <c r="D332" s="160" t="s">
        <v>68</v>
      </c>
      <c r="E332" s="53">
        <v>2</v>
      </c>
      <c r="F332" s="54">
        <f>TRUNC(2.27,2)</f>
        <v>2.27</v>
      </c>
      <c r="G332" s="54">
        <f t="shared" si="11"/>
        <v>4.54</v>
      </c>
      <c r="H332" s="54"/>
      <c r="I332" s="55"/>
      <c r="K332" s="70"/>
    </row>
    <row r="333" spans="1:11" s="98" customFormat="1" ht="13.5">
      <c r="A333" s="158"/>
      <c r="B333" s="86" t="s">
        <v>494</v>
      </c>
      <c r="C333" s="52" t="s">
        <v>495</v>
      </c>
      <c r="D333" s="160" t="s">
        <v>68</v>
      </c>
      <c r="E333" s="53">
        <v>1</v>
      </c>
      <c r="F333" s="54">
        <f>TRUNC(9.86,2)</f>
        <v>9.86</v>
      </c>
      <c r="G333" s="54">
        <f t="shared" si="11"/>
        <v>9.86</v>
      </c>
      <c r="H333" s="54"/>
      <c r="I333" s="55"/>
      <c r="K333" s="70"/>
    </row>
    <row r="334" spans="1:11" s="98" customFormat="1" ht="27">
      <c r="A334" s="158"/>
      <c r="B334" s="86" t="s">
        <v>97</v>
      </c>
      <c r="C334" s="52" t="s">
        <v>98</v>
      </c>
      <c r="D334" s="160" t="s">
        <v>27</v>
      </c>
      <c r="E334" s="53">
        <v>1.1844999999999999</v>
      </c>
      <c r="F334" s="54">
        <f>TRUNC(14.34,2)</f>
        <v>14.34</v>
      </c>
      <c r="G334" s="54">
        <f t="shared" si="11"/>
        <v>16.98</v>
      </c>
      <c r="H334" s="54"/>
      <c r="I334" s="55"/>
      <c r="K334" s="70"/>
    </row>
    <row r="335" spans="1:11" s="98" customFormat="1" ht="27">
      <c r="A335" s="158"/>
      <c r="B335" s="86" t="s">
        <v>105</v>
      </c>
      <c r="C335" s="52" t="s">
        <v>106</v>
      </c>
      <c r="D335" s="160" t="s">
        <v>27</v>
      </c>
      <c r="E335" s="53">
        <v>1.1844999999999999</v>
      </c>
      <c r="F335" s="54">
        <f>TRUNC(19.81,2)</f>
        <v>19.81</v>
      </c>
      <c r="G335" s="54">
        <f t="shared" si="11"/>
        <v>23.46</v>
      </c>
      <c r="H335" s="54"/>
      <c r="I335" s="55"/>
      <c r="K335" s="70"/>
    </row>
    <row r="336" spans="1:11" s="98" customFormat="1" ht="13.5">
      <c r="A336" s="158"/>
      <c r="B336" s="86"/>
      <c r="C336" s="52"/>
      <c r="D336" s="160"/>
      <c r="E336" s="53" t="s">
        <v>70</v>
      </c>
      <c r="F336" s="54"/>
      <c r="G336" s="54">
        <f>TRUNC(SUM(G329:G335),2)</f>
        <v>86.7</v>
      </c>
      <c r="H336" s="54"/>
      <c r="I336" s="55"/>
      <c r="K336" s="70"/>
    </row>
    <row r="337" spans="1:11" s="195" customFormat="1" ht="27">
      <c r="A337" s="188" t="s">
        <v>560</v>
      </c>
      <c r="B337" s="189" t="s">
        <v>647</v>
      </c>
      <c r="C337" s="190" t="s">
        <v>497</v>
      </c>
      <c r="D337" s="191" t="s">
        <v>68</v>
      </c>
      <c r="E337" s="192">
        <v>144</v>
      </c>
      <c r="F337" s="193">
        <f>TRUNC(G342,2)</f>
        <v>14.69</v>
      </c>
      <c r="G337" s="193">
        <f>TRUNC(F337*1.2882,2)</f>
        <v>18.92</v>
      </c>
      <c r="H337" s="193">
        <f>TRUNC(F337*E337,2)</f>
        <v>2115.36</v>
      </c>
      <c r="I337" s="194">
        <f>TRUNC(E337*G337,2)</f>
        <v>2724.48</v>
      </c>
      <c r="K337" s="196"/>
    </row>
    <row r="338" spans="1:11" s="98" customFormat="1" ht="13.5">
      <c r="A338" s="158"/>
      <c r="B338" s="86" t="s">
        <v>648</v>
      </c>
      <c r="C338" s="52" t="s">
        <v>499</v>
      </c>
      <c r="D338" s="160" t="s">
        <v>68</v>
      </c>
      <c r="E338" s="53">
        <v>1</v>
      </c>
      <c r="F338" s="54">
        <f>TRUNC(2.15,2)</f>
        <v>2.15</v>
      </c>
      <c r="G338" s="54">
        <f>TRUNC(E338*F338,2)</f>
        <v>2.15</v>
      </c>
      <c r="H338" s="54"/>
      <c r="I338" s="55"/>
      <c r="K338" s="70"/>
    </row>
    <row r="339" spans="1:11" s="98" customFormat="1" ht="13.5">
      <c r="A339" s="158"/>
      <c r="B339" s="86" t="s">
        <v>136</v>
      </c>
      <c r="C339" s="52" t="s">
        <v>133</v>
      </c>
      <c r="D339" s="160" t="s">
        <v>27</v>
      </c>
      <c r="E339" s="53">
        <v>0.247</v>
      </c>
      <c r="F339" s="54">
        <f>TRUNC(27.3,2)</f>
        <v>27.3</v>
      </c>
      <c r="G339" s="54">
        <f>TRUNC(E339*F339,2)</f>
        <v>6.74</v>
      </c>
      <c r="H339" s="54"/>
      <c r="I339" s="55"/>
      <c r="K339" s="70"/>
    </row>
    <row r="340" spans="1:11" s="98" customFormat="1" ht="13.5">
      <c r="A340" s="158"/>
      <c r="B340" s="86" t="s">
        <v>137</v>
      </c>
      <c r="C340" s="52" t="s">
        <v>134</v>
      </c>
      <c r="D340" s="160" t="s">
        <v>27</v>
      </c>
      <c r="E340" s="53">
        <v>0.247</v>
      </c>
      <c r="F340" s="54">
        <f>TRUNC(21.46,2)</f>
        <v>21.46</v>
      </c>
      <c r="G340" s="54">
        <f>TRUNC(E340*F340,2)</f>
        <v>5.3</v>
      </c>
      <c r="H340" s="54"/>
      <c r="I340" s="55"/>
      <c r="K340" s="70"/>
    </row>
    <row r="341" spans="1:11" s="98" customFormat="1" ht="27">
      <c r="A341" s="158"/>
      <c r="B341" s="86" t="s">
        <v>649</v>
      </c>
      <c r="C341" s="52" t="s">
        <v>650</v>
      </c>
      <c r="D341" s="160" t="s">
        <v>26</v>
      </c>
      <c r="E341" s="53">
        <v>0.0009</v>
      </c>
      <c r="F341" s="54">
        <f>TRUNC(561.72,2)</f>
        <v>561.72</v>
      </c>
      <c r="G341" s="54">
        <f>TRUNC(E341*F341,2)</f>
        <v>0.5</v>
      </c>
      <c r="H341" s="54"/>
      <c r="I341" s="55"/>
      <c r="K341" s="70"/>
    </row>
    <row r="342" spans="1:11" s="98" customFormat="1" ht="13.5">
      <c r="A342" s="158"/>
      <c r="B342" s="86"/>
      <c r="C342" s="52"/>
      <c r="D342" s="160"/>
      <c r="E342" s="53" t="s">
        <v>70</v>
      </c>
      <c r="F342" s="54"/>
      <c r="G342" s="54">
        <f>TRUNC(SUM(G338:G341),2)</f>
        <v>14.69</v>
      </c>
      <c r="H342" s="54"/>
      <c r="I342" s="55"/>
      <c r="K342" s="70"/>
    </row>
    <row r="343" spans="1:11" s="195" customFormat="1" ht="27">
      <c r="A343" s="188" t="s">
        <v>561</v>
      </c>
      <c r="B343" s="189" t="s">
        <v>651</v>
      </c>
      <c r="C343" s="190" t="s">
        <v>505</v>
      </c>
      <c r="D343" s="191" t="s">
        <v>61</v>
      </c>
      <c r="E343" s="192">
        <v>1800</v>
      </c>
      <c r="F343" s="193">
        <f>TRUNC(G348,2)</f>
        <v>4.29</v>
      </c>
      <c r="G343" s="193">
        <f>TRUNC(F343*1.2882,2)</f>
        <v>5.52</v>
      </c>
      <c r="H343" s="193">
        <f>TRUNC(F343*E343,2)</f>
        <v>7722</v>
      </c>
      <c r="I343" s="194">
        <f>TRUNC(E343*G343,2)</f>
        <v>9936</v>
      </c>
      <c r="K343" s="196"/>
    </row>
    <row r="344" spans="1:11" s="98" customFormat="1" ht="13.5">
      <c r="A344" s="158"/>
      <c r="B344" s="86" t="s">
        <v>652</v>
      </c>
      <c r="C344" s="52" t="s">
        <v>507</v>
      </c>
      <c r="D344" s="160" t="s">
        <v>68</v>
      </c>
      <c r="E344" s="53">
        <v>0.009</v>
      </c>
      <c r="F344" s="54">
        <f>TRUNC(7.48,2)</f>
        <v>7.48</v>
      </c>
      <c r="G344" s="54">
        <f>TRUNC(E344*F344,2)</f>
        <v>0.06</v>
      </c>
      <c r="H344" s="54"/>
      <c r="I344" s="55"/>
      <c r="K344" s="70"/>
    </row>
    <row r="345" spans="1:11" s="98" customFormat="1" ht="27">
      <c r="A345" s="158"/>
      <c r="B345" s="86" t="s">
        <v>653</v>
      </c>
      <c r="C345" s="52" t="s">
        <v>509</v>
      </c>
      <c r="D345" s="160" t="s">
        <v>61</v>
      </c>
      <c r="E345" s="53">
        <v>1.19</v>
      </c>
      <c r="F345" s="54">
        <f>TRUNC(2.34,2)</f>
        <v>2.34</v>
      </c>
      <c r="G345" s="54">
        <f>TRUNC(E345*F345,2)</f>
        <v>2.78</v>
      </c>
      <c r="H345" s="54"/>
      <c r="I345" s="55"/>
      <c r="K345" s="70"/>
    </row>
    <row r="346" spans="1:11" s="98" customFormat="1" ht="13.5">
      <c r="A346" s="158"/>
      <c r="B346" s="86" t="s">
        <v>136</v>
      </c>
      <c r="C346" s="52" t="s">
        <v>133</v>
      </c>
      <c r="D346" s="160" t="s">
        <v>27</v>
      </c>
      <c r="E346" s="53">
        <v>0.03</v>
      </c>
      <c r="F346" s="54">
        <f>TRUNC(27.3,2)</f>
        <v>27.3</v>
      </c>
      <c r="G346" s="54">
        <f>TRUNC(E346*F346,2)</f>
        <v>0.81</v>
      </c>
      <c r="H346" s="54"/>
      <c r="I346" s="55"/>
      <c r="K346" s="70"/>
    </row>
    <row r="347" spans="1:11" s="98" customFormat="1" ht="13.5">
      <c r="A347" s="158"/>
      <c r="B347" s="86" t="s">
        <v>137</v>
      </c>
      <c r="C347" s="52" t="s">
        <v>134</v>
      </c>
      <c r="D347" s="160" t="s">
        <v>27</v>
      </c>
      <c r="E347" s="53">
        <v>0.03</v>
      </c>
      <c r="F347" s="54">
        <f>TRUNC(21.46,2)</f>
        <v>21.46</v>
      </c>
      <c r="G347" s="54">
        <f>TRUNC(E347*F347,2)</f>
        <v>0.64</v>
      </c>
      <c r="H347" s="54"/>
      <c r="I347" s="55"/>
      <c r="K347" s="70"/>
    </row>
    <row r="348" spans="1:11" s="98" customFormat="1" ht="13.5">
      <c r="A348" s="158"/>
      <c r="B348" s="86"/>
      <c r="C348" s="52"/>
      <c r="D348" s="160"/>
      <c r="E348" s="53" t="s">
        <v>70</v>
      </c>
      <c r="F348" s="54"/>
      <c r="G348" s="54">
        <f>TRUNC(SUM(G344:G347),2)</f>
        <v>4.29</v>
      </c>
      <c r="H348" s="54"/>
      <c r="I348" s="55"/>
      <c r="K348" s="70"/>
    </row>
    <row r="349" spans="1:11" s="195" customFormat="1" ht="27">
      <c r="A349" s="188" t="s">
        <v>562</v>
      </c>
      <c r="B349" s="189" t="s">
        <v>654</v>
      </c>
      <c r="C349" s="190" t="s">
        <v>511</v>
      </c>
      <c r="D349" s="191" t="s">
        <v>61</v>
      </c>
      <c r="E349" s="192">
        <v>755</v>
      </c>
      <c r="F349" s="193">
        <f>TRUNC(G354,2)</f>
        <v>6.98</v>
      </c>
      <c r="G349" s="193">
        <f>TRUNC(F349*1.2882,2)</f>
        <v>8.99</v>
      </c>
      <c r="H349" s="193">
        <f>TRUNC(F349*E349,2)</f>
        <v>5269.9</v>
      </c>
      <c r="I349" s="194">
        <f>TRUNC(E349*G349,2)</f>
        <v>6787.45</v>
      </c>
      <c r="K349" s="196"/>
    </row>
    <row r="350" spans="1:11" s="98" customFormat="1" ht="13.5">
      <c r="A350" s="158"/>
      <c r="B350" s="86" t="s">
        <v>652</v>
      </c>
      <c r="C350" s="52" t="s">
        <v>507</v>
      </c>
      <c r="D350" s="160" t="s">
        <v>68</v>
      </c>
      <c r="E350" s="53">
        <v>0.009</v>
      </c>
      <c r="F350" s="54">
        <f>TRUNC(7.48,2)</f>
        <v>7.48</v>
      </c>
      <c r="G350" s="54">
        <f>TRUNC(E350*F350,2)</f>
        <v>0.06</v>
      </c>
      <c r="H350" s="54"/>
      <c r="I350" s="55"/>
      <c r="K350" s="70"/>
    </row>
    <row r="351" spans="1:11" s="98" customFormat="1" ht="27">
      <c r="A351" s="158"/>
      <c r="B351" s="86" t="s">
        <v>655</v>
      </c>
      <c r="C351" s="52" t="s">
        <v>513</v>
      </c>
      <c r="D351" s="160" t="s">
        <v>61</v>
      </c>
      <c r="E351" s="53">
        <v>1.19</v>
      </c>
      <c r="F351" s="54">
        <f>TRUNC(4.19,2)</f>
        <v>4.19</v>
      </c>
      <c r="G351" s="54">
        <f>TRUNC(E351*F351,2)</f>
        <v>4.98</v>
      </c>
      <c r="H351" s="54"/>
      <c r="I351" s="55"/>
      <c r="K351" s="70"/>
    </row>
    <row r="352" spans="1:11" s="98" customFormat="1" ht="13.5">
      <c r="A352" s="158"/>
      <c r="B352" s="86" t="s">
        <v>136</v>
      </c>
      <c r="C352" s="52" t="s">
        <v>133</v>
      </c>
      <c r="D352" s="160" t="s">
        <v>27</v>
      </c>
      <c r="E352" s="53">
        <v>0.04</v>
      </c>
      <c r="F352" s="54">
        <f>TRUNC(27.3,2)</f>
        <v>27.3</v>
      </c>
      <c r="G352" s="54">
        <f>TRUNC(E352*F352,2)</f>
        <v>1.09</v>
      </c>
      <c r="H352" s="54"/>
      <c r="I352" s="55"/>
      <c r="K352" s="70"/>
    </row>
    <row r="353" spans="1:11" s="98" customFormat="1" ht="13.5">
      <c r="A353" s="158"/>
      <c r="B353" s="86" t="s">
        <v>137</v>
      </c>
      <c r="C353" s="52" t="s">
        <v>134</v>
      </c>
      <c r="D353" s="160" t="s">
        <v>27</v>
      </c>
      <c r="E353" s="53">
        <v>0.04</v>
      </c>
      <c r="F353" s="54">
        <f>TRUNC(21.46,2)</f>
        <v>21.46</v>
      </c>
      <c r="G353" s="54">
        <f>TRUNC(E353*F353,2)</f>
        <v>0.85</v>
      </c>
      <c r="H353" s="54"/>
      <c r="I353" s="55"/>
      <c r="K353" s="70"/>
    </row>
    <row r="354" spans="1:11" s="98" customFormat="1" ht="13.5">
      <c r="A354" s="158"/>
      <c r="B354" s="86"/>
      <c r="C354" s="52"/>
      <c r="D354" s="160"/>
      <c r="E354" s="53" t="s">
        <v>70</v>
      </c>
      <c r="F354" s="54"/>
      <c r="G354" s="54">
        <f>TRUNC(SUM(G350:G353),2)</f>
        <v>6.98</v>
      </c>
      <c r="H354" s="54"/>
      <c r="I354" s="55"/>
      <c r="K354" s="70"/>
    </row>
    <row r="355" spans="1:11" s="195" customFormat="1" ht="27">
      <c r="A355" s="188" t="s">
        <v>563</v>
      </c>
      <c r="B355" s="189" t="s">
        <v>656</v>
      </c>
      <c r="C355" s="190" t="s">
        <v>515</v>
      </c>
      <c r="D355" s="191" t="s">
        <v>61</v>
      </c>
      <c r="E355" s="192">
        <v>35</v>
      </c>
      <c r="F355" s="193">
        <f>TRUNC(G360,2)</f>
        <v>10.02</v>
      </c>
      <c r="G355" s="193">
        <f>TRUNC(F355*1.2882,2)</f>
        <v>12.9</v>
      </c>
      <c r="H355" s="193">
        <f>TRUNC(F355*E355,2)</f>
        <v>350.7</v>
      </c>
      <c r="I355" s="194">
        <f>TRUNC(E355*G355,2)</f>
        <v>451.5</v>
      </c>
      <c r="K355" s="196"/>
    </row>
    <row r="356" spans="1:11" s="98" customFormat="1" ht="27">
      <c r="A356" s="158"/>
      <c r="B356" s="86" t="s">
        <v>657</v>
      </c>
      <c r="C356" s="52" t="s">
        <v>517</v>
      </c>
      <c r="D356" s="160" t="s">
        <v>61</v>
      </c>
      <c r="E356" s="53">
        <v>1.1</v>
      </c>
      <c r="F356" s="54">
        <f>TRUNC(3.28,2)</f>
        <v>3.28</v>
      </c>
      <c r="G356" s="54">
        <f>TRUNC(E356*F356,2)</f>
        <v>3.6</v>
      </c>
      <c r="H356" s="54"/>
      <c r="I356" s="55"/>
      <c r="K356" s="70"/>
    </row>
    <row r="357" spans="1:11" s="98" customFormat="1" ht="13.5">
      <c r="A357" s="158"/>
      <c r="B357" s="86" t="s">
        <v>136</v>
      </c>
      <c r="C357" s="52" t="s">
        <v>133</v>
      </c>
      <c r="D357" s="160" t="s">
        <v>27</v>
      </c>
      <c r="E357" s="53">
        <v>0.07</v>
      </c>
      <c r="F357" s="54">
        <f>TRUNC(27.3,2)</f>
        <v>27.3</v>
      </c>
      <c r="G357" s="54">
        <f>TRUNC(E357*F357,2)</f>
        <v>1.91</v>
      </c>
      <c r="H357" s="54"/>
      <c r="I357" s="55"/>
      <c r="K357" s="70"/>
    </row>
    <row r="358" spans="1:11" s="98" customFormat="1" ht="13.5">
      <c r="A358" s="158"/>
      <c r="B358" s="86" t="s">
        <v>137</v>
      </c>
      <c r="C358" s="52" t="s">
        <v>134</v>
      </c>
      <c r="D358" s="160" t="s">
        <v>27</v>
      </c>
      <c r="E358" s="53">
        <v>0.07</v>
      </c>
      <c r="F358" s="54">
        <f>TRUNC(21.46,2)</f>
        <v>21.46</v>
      </c>
      <c r="G358" s="54">
        <f>TRUNC(E358*F358,2)</f>
        <v>1.5</v>
      </c>
      <c r="H358" s="54"/>
      <c r="I358" s="55"/>
      <c r="K358" s="70"/>
    </row>
    <row r="359" spans="1:11" s="98" customFormat="1" ht="41.25">
      <c r="A359" s="158"/>
      <c r="B359" s="86" t="s">
        <v>658</v>
      </c>
      <c r="C359" s="52" t="s">
        <v>659</v>
      </c>
      <c r="D359" s="160" t="s">
        <v>61</v>
      </c>
      <c r="E359" s="53">
        <v>1</v>
      </c>
      <c r="F359" s="54">
        <f>TRUNC(3.01,2)</f>
        <v>3.01</v>
      </c>
      <c r="G359" s="54">
        <f>TRUNC(E359*F359,2)</f>
        <v>3.01</v>
      </c>
      <c r="H359" s="54"/>
      <c r="I359" s="55"/>
      <c r="K359" s="70"/>
    </row>
    <row r="360" spans="1:11" s="98" customFormat="1" ht="13.5">
      <c r="A360" s="158"/>
      <c r="B360" s="86"/>
      <c r="C360" s="52"/>
      <c r="D360" s="160"/>
      <c r="E360" s="53" t="s">
        <v>70</v>
      </c>
      <c r="F360" s="54"/>
      <c r="G360" s="54">
        <f>TRUNC(SUM(G356:G359),2)</f>
        <v>10.02</v>
      </c>
      <c r="H360" s="54"/>
      <c r="I360" s="55"/>
      <c r="K360" s="70"/>
    </row>
    <row r="361" spans="1:11" s="195" customFormat="1" ht="27">
      <c r="A361" s="188" t="s">
        <v>564</v>
      </c>
      <c r="B361" s="189" t="s">
        <v>660</v>
      </c>
      <c r="C361" s="190" t="s">
        <v>521</v>
      </c>
      <c r="D361" s="191" t="s">
        <v>61</v>
      </c>
      <c r="E361" s="192">
        <v>5</v>
      </c>
      <c r="F361" s="193">
        <f>TRUNC(G366,2)</f>
        <v>14.34</v>
      </c>
      <c r="G361" s="193">
        <f>TRUNC(F361*1.2882,2)</f>
        <v>18.47</v>
      </c>
      <c r="H361" s="193">
        <f>TRUNC(F361*E361,2)</f>
        <v>71.7</v>
      </c>
      <c r="I361" s="194">
        <f>TRUNC(E361*G361,2)</f>
        <v>92.35</v>
      </c>
      <c r="K361" s="196"/>
    </row>
    <row r="362" spans="1:11" s="98" customFormat="1" ht="27">
      <c r="A362" s="158"/>
      <c r="B362" s="86" t="s">
        <v>661</v>
      </c>
      <c r="C362" s="52" t="s">
        <v>523</v>
      </c>
      <c r="D362" s="160" t="s">
        <v>61</v>
      </c>
      <c r="E362" s="53">
        <v>1.1</v>
      </c>
      <c r="F362" s="54">
        <f>TRUNC(6.32,2)</f>
        <v>6.32</v>
      </c>
      <c r="G362" s="54">
        <f>TRUNC(E362*F362,2)</f>
        <v>6.95</v>
      </c>
      <c r="H362" s="54"/>
      <c r="I362" s="55"/>
      <c r="K362" s="70"/>
    </row>
    <row r="363" spans="1:11" s="98" customFormat="1" ht="13.5">
      <c r="A363" s="158"/>
      <c r="B363" s="86" t="s">
        <v>136</v>
      </c>
      <c r="C363" s="52" t="s">
        <v>133</v>
      </c>
      <c r="D363" s="160" t="s">
        <v>27</v>
      </c>
      <c r="E363" s="53">
        <v>0.09</v>
      </c>
      <c r="F363" s="54">
        <f>TRUNC(27.3,2)</f>
        <v>27.3</v>
      </c>
      <c r="G363" s="54">
        <f>TRUNC(E363*F363,2)</f>
        <v>2.45</v>
      </c>
      <c r="H363" s="54"/>
      <c r="I363" s="55"/>
      <c r="K363" s="70"/>
    </row>
    <row r="364" spans="1:11" s="98" customFormat="1" ht="13.5">
      <c r="A364" s="158"/>
      <c r="B364" s="86" t="s">
        <v>137</v>
      </c>
      <c r="C364" s="52" t="s">
        <v>134</v>
      </c>
      <c r="D364" s="160" t="s">
        <v>27</v>
      </c>
      <c r="E364" s="53">
        <v>0.09</v>
      </c>
      <c r="F364" s="54">
        <f>TRUNC(21.46,2)</f>
        <v>21.46</v>
      </c>
      <c r="G364" s="54">
        <f>TRUNC(E364*F364,2)</f>
        <v>1.93</v>
      </c>
      <c r="H364" s="54"/>
      <c r="I364" s="55"/>
      <c r="K364" s="70"/>
    </row>
    <row r="365" spans="1:11" s="98" customFormat="1" ht="41.25">
      <c r="A365" s="158"/>
      <c r="B365" s="86" t="s">
        <v>658</v>
      </c>
      <c r="C365" s="52" t="s">
        <v>659</v>
      </c>
      <c r="D365" s="160" t="s">
        <v>61</v>
      </c>
      <c r="E365" s="53">
        <v>1</v>
      </c>
      <c r="F365" s="54">
        <f>TRUNC(3.01,2)</f>
        <v>3.01</v>
      </c>
      <c r="G365" s="54">
        <f>TRUNC(E365*F365,2)</f>
        <v>3.01</v>
      </c>
      <c r="H365" s="54"/>
      <c r="I365" s="55"/>
      <c r="K365" s="70"/>
    </row>
    <row r="366" spans="1:11" s="98" customFormat="1" ht="13.5">
      <c r="A366" s="158"/>
      <c r="B366" s="86"/>
      <c r="C366" s="52"/>
      <c r="D366" s="160"/>
      <c r="E366" s="53" t="s">
        <v>70</v>
      </c>
      <c r="F366" s="54"/>
      <c r="G366" s="54">
        <f>TRUNC(SUM(G362:G365),2)</f>
        <v>14.34</v>
      </c>
      <c r="H366" s="54"/>
      <c r="I366" s="55"/>
      <c r="K366" s="70"/>
    </row>
    <row r="367" spans="1:11" s="195" customFormat="1" ht="27">
      <c r="A367" s="188" t="s">
        <v>565</v>
      </c>
      <c r="B367" s="189" t="s">
        <v>662</v>
      </c>
      <c r="C367" s="190" t="s">
        <v>525</v>
      </c>
      <c r="D367" s="191" t="s">
        <v>61</v>
      </c>
      <c r="E367" s="192">
        <v>185</v>
      </c>
      <c r="F367" s="193">
        <f>TRUNC(G372,2)</f>
        <v>11.14</v>
      </c>
      <c r="G367" s="193">
        <f>TRUNC(F367*1.2882,2)</f>
        <v>14.35</v>
      </c>
      <c r="H367" s="193">
        <f>TRUNC(F367*E367,2)</f>
        <v>2060.9</v>
      </c>
      <c r="I367" s="194">
        <f>TRUNC(E367*G367,2)</f>
        <v>2654.75</v>
      </c>
      <c r="K367" s="196"/>
    </row>
    <row r="368" spans="1:11" s="98" customFormat="1" ht="13.5">
      <c r="A368" s="158"/>
      <c r="B368" s="86" t="s">
        <v>663</v>
      </c>
      <c r="C368" s="52" t="s">
        <v>527</v>
      </c>
      <c r="D368" s="160" t="s">
        <v>61</v>
      </c>
      <c r="E368" s="53">
        <v>1.017</v>
      </c>
      <c r="F368" s="54">
        <f>TRUNC(4.09,2)</f>
        <v>4.09</v>
      </c>
      <c r="G368" s="54">
        <f>TRUNC(E368*F368,2)</f>
        <v>4.15</v>
      </c>
      <c r="H368" s="54"/>
      <c r="I368" s="55"/>
      <c r="K368" s="70"/>
    </row>
    <row r="369" spans="1:11" s="98" customFormat="1" ht="13.5">
      <c r="A369" s="158"/>
      <c r="B369" s="86" t="s">
        <v>136</v>
      </c>
      <c r="C369" s="52" t="s">
        <v>133</v>
      </c>
      <c r="D369" s="160" t="s">
        <v>27</v>
      </c>
      <c r="E369" s="53">
        <v>0.082</v>
      </c>
      <c r="F369" s="54">
        <f>TRUNC(27.3,2)</f>
        <v>27.3</v>
      </c>
      <c r="G369" s="54">
        <f>TRUNC(E369*F369,2)</f>
        <v>2.23</v>
      </c>
      <c r="H369" s="54"/>
      <c r="I369" s="55"/>
      <c r="K369" s="70"/>
    </row>
    <row r="370" spans="1:11" s="98" customFormat="1" ht="13.5">
      <c r="A370" s="158"/>
      <c r="B370" s="86" t="s">
        <v>137</v>
      </c>
      <c r="C370" s="52" t="s">
        <v>134</v>
      </c>
      <c r="D370" s="160" t="s">
        <v>27</v>
      </c>
      <c r="E370" s="53">
        <v>0.082</v>
      </c>
      <c r="F370" s="54">
        <f>TRUNC(21.46,2)</f>
        <v>21.46</v>
      </c>
      <c r="G370" s="54">
        <f>TRUNC(E370*F370,2)</f>
        <v>1.75</v>
      </c>
      <c r="H370" s="54"/>
      <c r="I370" s="55"/>
      <c r="K370" s="70"/>
    </row>
    <row r="371" spans="1:11" s="98" customFormat="1" ht="41.25">
      <c r="A371" s="158"/>
      <c r="B371" s="86" t="s">
        <v>658</v>
      </c>
      <c r="C371" s="52" t="s">
        <v>659</v>
      </c>
      <c r="D371" s="160" t="s">
        <v>61</v>
      </c>
      <c r="E371" s="53">
        <v>1</v>
      </c>
      <c r="F371" s="54">
        <f>TRUNC(3.01,2)</f>
        <v>3.01</v>
      </c>
      <c r="G371" s="54">
        <f>TRUNC(E371*F371,2)</f>
        <v>3.01</v>
      </c>
      <c r="H371" s="54"/>
      <c r="I371" s="55"/>
      <c r="K371" s="70"/>
    </row>
    <row r="372" spans="1:11" s="98" customFormat="1" ht="13.5">
      <c r="A372" s="158"/>
      <c r="B372" s="86"/>
      <c r="C372" s="52"/>
      <c r="D372" s="160"/>
      <c r="E372" s="53" t="s">
        <v>70</v>
      </c>
      <c r="F372" s="54"/>
      <c r="G372" s="54">
        <f>TRUNC(SUM(G368:G371),2)</f>
        <v>11.14</v>
      </c>
      <c r="H372" s="54"/>
      <c r="I372" s="55"/>
      <c r="K372" s="70"/>
    </row>
    <row r="373" spans="1:11" s="195" customFormat="1" ht="27">
      <c r="A373" s="188" t="s">
        <v>566</v>
      </c>
      <c r="B373" s="189" t="s">
        <v>664</v>
      </c>
      <c r="C373" s="190" t="s">
        <v>529</v>
      </c>
      <c r="D373" s="191" t="s">
        <v>61</v>
      </c>
      <c r="E373" s="192">
        <v>5</v>
      </c>
      <c r="F373" s="193">
        <f>TRUNC(G378,2)</f>
        <v>14.67</v>
      </c>
      <c r="G373" s="193">
        <f>TRUNC(F373*1.2882,2)</f>
        <v>18.89</v>
      </c>
      <c r="H373" s="193">
        <f>TRUNC(F373*E373,2)</f>
        <v>73.35</v>
      </c>
      <c r="I373" s="194">
        <f>TRUNC(E373*G373,2)</f>
        <v>94.45</v>
      </c>
      <c r="K373" s="196"/>
    </row>
    <row r="374" spans="1:11" s="98" customFormat="1" ht="13.5">
      <c r="A374" s="158"/>
      <c r="B374" s="86" t="s">
        <v>665</v>
      </c>
      <c r="C374" s="52" t="s">
        <v>531</v>
      </c>
      <c r="D374" s="160" t="s">
        <v>61</v>
      </c>
      <c r="E374" s="53">
        <v>1.017</v>
      </c>
      <c r="F374" s="54">
        <f>TRUNC(6.4,2)</f>
        <v>6.4</v>
      </c>
      <c r="G374" s="54">
        <f>TRUNC(E374*F374,2)</f>
        <v>6.5</v>
      </c>
      <c r="H374" s="54"/>
      <c r="I374" s="55"/>
      <c r="K374" s="70"/>
    </row>
    <row r="375" spans="1:11" s="98" customFormat="1" ht="13.5">
      <c r="A375" s="158"/>
      <c r="B375" s="86" t="s">
        <v>136</v>
      </c>
      <c r="C375" s="52" t="s">
        <v>133</v>
      </c>
      <c r="D375" s="160" t="s">
        <v>27</v>
      </c>
      <c r="E375" s="53">
        <v>0.106</v>
      </c>
      <c r="F375" s="54">
        <f>TRUNC(27.3,2)</f>
        <v>27.3</v>
      </c>
      <c r="G375" s="54">
        <f>TRUNC(E375*F375,2)</f>
        <v>2.89</v>
      </c>
      <c r="H375" s="54"/>
      <c r="I375" s="55"/>
      <c r="K375" s="70"/>
    </row>
    <row r="376" spans="1:11" s="98" customFormat="1" ht="13.5">
      <c r="A376" s="158"/>
      <c r="B376" s="86" t="s">
        <v>137</v>
      </c>
      <c r="C376" s="52" t="s">
        <v>134</v>
      </c>
      <c r="D376" s="160" t="s">
        <v>27</v>
      </c>
      <c r="E376" s="53">
        <v>0.106</v>
      </c>
      <c r="F376" s="54">
        <f>TRUNC(21.46,2)</f>
        <v>21.46</v>
      </c>
      <c r="G376" s="54">
        <f>TRUNC(E376*F376,2)</f>
        <v>2.27</v>
      </c>
      <c r="H376" s="54"/>
      <c r="I376" s="55"/>
      <c r="K376" s="70"/>
    </row>
    <row r="377" spans="1:11" s="98" customFormat="1" ht="41.25">
      <c r="A377" s="158"/>
      <c r="B377" s="86" t="s">
        <v>658</v>
      </c>
      <c r="C377" s="52" t="s">
        <v>659</v>
      </c>
      <c r="D377" s="160" t="s">
        <v>61</v>
      </c>
      <c r="E377" s="53">
        <v>1</v>
      </c>
      <c r="F377" s="54">
        <f>TRUNC(3.01,2)</f>
        <v>3.01</v>
      </c>
      <c r="G377" s="54">
        <f>TRUNC(E377*F377,2)</f>
        <v>3.01</v>
      </c>
      <c r="H377" s="54"/>
      <c r="I377" s="55"/>
      <c r="K377" s="70"/>
    </row>
    <row r="378" spans="1:11" s="98" customFormat="1" ht="13.5">
      <c r="A378" s="158"/>
      <c r="B378" s="86"/>
      <c r="C378" s="52"/>
      <c r="D378" s="160"/>
      <c r="E378" s="53" t="s">
        <v>70</v>
      </c>
      <c r="F378" s="54"/>
      <c r="G378" s="54">
        <f>TRUNC(SUM(G374:G377),2)</f>
        <v>14.67</v>
      </c>
      <c r="H378" s="54"/>
      <c r="I378" s="55"/>
      <c r="K378" s="70"/>
    </row>
    <row r="379" spans="1:11" s="195" customFormat="1" ht="41.25">
      <c r="A379" s="188" t="s">
        <v>567</v>
      </c>
      <c r="B379" s="189" t="s">
        <v>666</v>
      </c>
      <c r="C379" s="190" t="s">
        <v>533</v>
      </c>
      <c r="D379" s="191" t="s">
        <v>61</v>
      </c>
      <c r="E379" s="192">
        <v>50</v>
      </c>
      <c r="F379" s="193">
        <f>TRUNC(G389,2)</f>
        <v>90.4</v>
      </c>
      <c r="G379" s="193">
        <f>TRUNC(F379*1.2882,2)</f>
        <v>116.45</v>
      </c>
      <c r="H379" s="193">
        <f>TRUNC(F379*E379,2)</f>
        <v>4520</v>
      </c>
      <c r="I379" s="194">
        <f>TRUNC(E379*G379,2)</f>
        <v>5822.5</v>
      </c>
      <c r="K379" s="196"/>
    </row>
    <row r="380" spans="1:11" s="98" customFormat="1" ht="27">
      <c r="A380" s="158"/>
      <c r="B380" s="86" t="s">
        <v>534</v>
      </c>
      <c r="C380" s="52" t="s">
        <v>535</v>
      </c>
      <c r="D380" s="160" t="s">
        <v>68</v>
      </c>
      <c r="E380" s="53">
        <v>0.7992</v>
      </c>
      <c r="F380" s="54">
        <f>TRUNC(4.42,2)</f>
        <v>4.42</v>
      </c>
      <c r="G380" s="54">
        <f aca="true" t="shared" si="12" ref="G380:G388">TRUNC(E380*F380,2)</f>
        <v>3.53</v>
      </c>
      <c r="H380" s="54"/>
      <c r="I380" s="55"/>
      <c r="K380" s="70"/>
    </row>
    <row r="381" spans="1:11" s="98" customFormat="1" ht="13.5">
      <c r="A381" s="158"/>
      <c r="B381" s="86" t="s">
        <v>536</v>
      </c>
      <c r="C381" s="52" t="s">
        <v>537</v>
      </c>
      <c r="D381" s="160" t="s">
        <v>68</v>
      </c>
      <c r="E381" s="53">
        <v>0.396</v>
      </c>
      <c r="F381" s="54">
        <f>TRUNC(92.78,2)</f>
        <v>92.78</v>
      </c>
      <c r="G381" s="54">
        <f t="shared" si="12"/>
        <v>36.74</v>
      </c>
      <c r="H381" s="54"/>
      <c r="I381" s="55"/>
      <c r="K381" s="70"/>
    </row>
    <row r="382" spans="1:11" s="98" customFormat="1" ht="13.5">
      <c r="A382" s="158"/>
      <c r="B382" s="86" t="s">
        <v>434</v>
      </c>
      <c r="C382" s="52" t="s">
        <v>435</v>
      </c>
      <c r="D382" s="160" t="s">
        <v>68</v>
      </c>
      <c r="E382" s="53">
        <v>3.192</v>
      </c>
      <c r="F382" s="54">
        <f>TRUNC(0.0875,2)</f>
        <v>0.08</v>
      </c>
      <c r="G382" s="54">
        <f t="shared" si="12"/>
        <v>0.25</v>
      </c>
      <c r="H382" s="54"/>
      <c r="I382" s="55"/>
      <c r="K382" s="70"/>
    </row>
    <row r="383" spans="1:11" s="98" customFormat="1" ht="13.5">
      <c r="A383" s="158"/>
      <c r="B383" s="86" t="s">
        <v>538</v>
      </c>
      <c r="C383" s="52" t="s">
        <v>539</v>
      </c>
      <c r="D383" s="160" t="s">
        <v>68</v>
      </c>
      <c r="E383" s="53">
        <v>1.596</v>
      </c>
      <c r="F383" s="54">
        <f>TRUNC(1.6949,2)</f>
        <v>1.69</v>
      </c>
      <c r="G383" s="54">
        <f t="shared" si="12"/>
        <v>2.69</v>
      </c>
      <c r="H383" s="54"/>
      <c r="I383" s="55"/>
      <c r="K383" s="70"/>
    </row>
    <row r="384" spans="1:11" s="98" customFormat="1" ht="13.5">
      <c r="A384" s="158"/>
      <c r="B384" s="86" t="s">
        <v>540</v>
      </c>
      <c r="C384" s="52" t="s">
        <v>541</v>
      </c>
      <c r="D384" s="160" t="s">
        <v>68</v>
      </c>
      <c r="E384" s="53">
        <v>0.7992</v>
      </c>
      <c r="F384" s="54">
        <f>TRUNC(13.9526,2)</f>
        <v>13.95</v>
      </c>
      <c r="G384" s="54">
        <f t="shared" si="12"/>
        <v>11.14</v>
      </c>
      <c r="H384" s="54"/>
      <c r="I384" s="55"/>
      <c r="K384" s="70"/>
    </row>
    <row r="385" spans="1:11" s="98" customFormat="1" ht="13.5">
      <c r="A385" s="158"/>
      <c r="B385" s="86" t="s">
        <v>438</v>
      </c>
      <c r="C385" s="52" t="s">
        <v>439</v>
      </c>
      <c r="D385" s="160" t="s">
        <v>68</v>
      </c>
      <c r="E385" s="53">
        <v>3.192</v>
      </c>
      <c r="F385" s="54">
        <f>TRUNC(0.08,2)</f>
        <v>0.08</v>
      </c>
      <c r="G385" s="54">
        <f t="shared" si="12"/>
        <v>0.25</v>
      </c>
      <c r="H385" s="54"/>
      <c r="I385" s="55"/>
      <c r="K385" s="70"/>
    </row>
    <row r="386" spans="1:11" s="98" customFormat="1" ht="13.5">
      <c r="A386" s="158"/>
      <c r="B386" s="86" t="s">
        <v>542</v>
      </c>
      <c r="C386" s="52" t="s">
        <v>543</v>
      </c>
      <c r="D386" s="160" t="s">
        <v>68</v>
      </c>
      <c r="E386" s="53">
        <v>0.01596</v>
      </c>
      <c r="F386" s="54">
        <f>TRUNC(39.62,2)</f>
        <v>39.62</v>
      </c>
      <c r="G386" s="54">
        <f t="shared" si="12"/>
        <v>0.63</v>
      </c>
      <c r="H386" s="54"/>
      <c r="I386" s="55"/>
      <c r="K386" s="70"/>
    </row>
    <row r="387" spans="1:11" s="98" customFormat="1" ht="27">
      <c r="A387" s="158"/>
      <c r="B387" s="86" t="s">
        <v>97</v>
      </c>
      <c r="C387" s="52" t="s">
        <v>98</v>
      </c>
      <c r="D387" s="160" t="s">
        <v>27</v>
      </c>
      <c r="E387" s="53">
        <v>1.03</v>
      </c>
      <c r="F387" s="54">
        <f>TRUNC(14.34,2)</f>
        <v>14.34</v>
      </c>
      <c r="G387" s="54">
        <f t="shared" si="12"/>
        <v>14.77</v>
      </c>
      <c r="H387" s="54"/>
      <c r="I387" s="55"/>
      <c r="K387" s="70"/>
    </row>
    <row r="388" spans="1:11" s="98" customFormat="1" ht="27">
      <c r="A388" s="158"/>
      <c r="B388" s="86" t="s">
        <v>105</v>
      </c>
      <c r="C388" s="52" t="s">
        <v>106</v>
      </c>
      <c r="D388" s="160" t="s">
        <v>27</v>
      </c>
      <c r="E388" s="53">
        <v>1.03</v>
      </c>
      <c r="F388" s="54">
        <f>TRUNC(19.81,2)</f>
        <v>19.81</v>
      </c>
      <c r="G388" s="54">
        <f t="shared" si="12"/>
        <v>20.4</v>
      </c>
      <c r="H388" s="54"/>
      <c r="I388" s="55"/>
      <c r="K388" s="70"/>
    </row>
    <row r="389" spans="1:11" s="98" customFormat="1" ht="13.5">
      <c r="A389" s="158"/>
      <c r="B389" s="86"/>
      <c r="C389" s="52"/>
      <c r="D389" s="160"/>
      <c r="E389" s="53" t="s">
        <v>70</v>
      </c>
      <c r="F389" s="54"/>
      <c r="G389" s="54">
        <f>TRUNC(SUM(G380:G388),2)</f>
        <v>90.4</v>
      </c>
      <c r="H389" s="54"/>
      <c r="I389" s="55"/>
      <c r="K389" s="70"/>
    </row>
    <row r="390" spans="1:11" s="195" customFormat="1" ht="27">
      <c r="A390" s="188" t="s">
        <v>568</v>
      </c>
      <c r="B390" s="189" t="s">
        <v>667</v>
      </c>
      <c r="C390" s="190" t="s">
        <v>545</v>
      </c>
      <c r="D390" s="191" t="s">
        <v>68</v>
      </c>
      <c r="E390" s="192">
        <v>4</v>
      </c>
      <c r="F390" s="193">
        <f>TRUNC(G394,2)</f>
        <v>44.01</v>
      </c>
      <c r="G390" s="193">
        <f>TRUNC(F390*1.2882,2)</f>
        <v>56.69</v>
      </c>
      <c r="H390" s="193">
        <f>TRUNC(F390*E390,2)</f>
        <v>176.04</v>
      </c>
      <c r="I390" s="194">
        <f>TRUNC(E390*G390,2)</f>
        <v>226.76</v>
      </c>
      <c r="K390" s="196"/>
    </row>
    <row r="391" spans="1:11" s="98" customFormat="1" ht="27">
      <c r="A391" s="158"/>
      <c r="B391" s="86" t="s">
        <v>546</v>
      </c>
      <c r="C391" s="52" t="s">
        <v>547</v>
      </c>
      <c r="D391" s="160" t="s">
        <v>68</v>
      </c>
      <c r="E391" s="53">
        <v>1</v>
      </c>
      <c r="F391" s="54">
        <f>TRUNC(26.43,2)</f>
        <v>26.43</v>
      </c>
      <c r="G391" s="54">
        <f>TRUNC(E391*F391,2)</f>
        <v>26.43</v>
      </c>
      <c r="H391" s="54"/>
      <c r="I391" s="55"/>
      <c r="K391" s="70"/>
    </row>
    <row r="392" spans="1:11" s="98" customFormat="1" ht="27">
      <c r="A392" s="158"/>
      <c r="B392" s="86" t="s">
        <v>97</v>
      </c>
      <c r="C392" s="52" t="s">
        <v>98</v>
      </c>
      <c r="D392" s="160" t="s">
        <v>27</v>
      </c>
      <c r="E392" s="53">
        <v>0.515</v>
      </c>
      <c r="F392" s="54">
        <f>TRUNC(14.34,2)</f>
        <v>14.34</v>
      </c>
      <c r="G392" s="54">
        <f>TRUNC(E392*F392,2)</f>
        <v>7.38</v>
      </c>
      <c r="H392" s="54"/>
      <c r="I392" s="55"/>
      <c r="K392" s="70"/>
    </row>
    <row r="393" spans="1:11" s="98" customFormat="1" ht="27">
      <c r="A393" s="158"/>
      <c r="B393" s="86" t="s">
        <v>105</v>
      </c>
      <c r="C393" s="52" t="s">
        <v>106</v>
      </c>
      <c r="D393" s="160" t="s">
        <v>27</v>
      </c>
      <c r="E393" s="53">
        <v>0.515</v>
      </c>
      <c r="F393" s="54">
        <f>TRUNC(19.81,2)</f>
        <v>19.81</v>
      </c>
      <c r="G393" s="54">
        <f>TRUNC(E393*F393,2)</f>
        <v>10.2</v>
      </c>
      <c r="H393" s="54"/>
      <c r="I393" s="55"/>
      <c r="K393" s="70"/>
    </row>
    <row r="394" spans="1:11" s="98" customFormat="1" ht="13.5">
      <c r="A394" s="158"/>
      <c r="B394" s="86"/>
      <c r="C394" s="52"/>
      <c r="D394" s="160"/>
      <c r="E394" s="53" t="s">
        <v>70</v>
      </c>
      <c r="F394" s="54"/>
      <c r="G394" s="54">
        <f>TRUNC(SUM(G391:G393),2)</f>
        <v>44.01</v>
      </c>
      <c r="H394" s="54"/>
      <c r="I394" s="55"/>
      <c r="K394" s="70"/>
    </row>
    <row r="395" spans="1:9" s="41" customFormat="1" ht="13.5">
      <c r="A395" s="106" t="s">
        <v>111</v>
      </c>
      <c r="B395" s="100"/>
      <c r="C395" s="76" t="s">
        <v>569</v>
      </c>
      <c r="D395" s="125"/>
      <c r="E395" s="77"/>
      <c r="F395" s="78"/>
      <c r="G395" s="78"/>
      <c r="H395" s="79">
        <f>H252+H265+H277+H282+H288+H293+H298+H303+H308+H312+H316+H320+H324+H328+H337+H343+H349+H355+H361+H367+H373+H379+H390</f>
        <v>42848.74999999999</v>
      </c>
      <c r="I395" s="79">
        <f>I252+I265+I277+I282+I288+I293+I298+I303+I308+I312+I316+I320+I324+I328+I337+I343+I349+I355+I361+I367+I373+I379+I390</f>
        <v>55183.13</v>
      </c>
    </row>
    <row r="396" spans="1:9" ht="13.5">
      <c r="A396" s="80" t="s">
        <v>29</v>
      </c>
      <c r="B396" s="111"/>
      <c r="C396" s="91" t="s">
        <v>30</v>
      </c>
      <c r="D396" s="126"/>
      <c r="E396" s="91"/>
      <c r="F396" s="91"/>
      <c r="G396" s="91"/>
      <c r="H396" s="91"/>
      <c r="I396" s="91"/>
    </row>
    <row r="397" spans="1:11" s="195" customFormat="1" ht="27">
      <c r="A397" s="188" t="s">
        <v>52</v>
      </c>
      <c r="B397" s="189" t="s">
        <v>668</v>
      </c>
      <c r="C397" s="190" t="s">
        <v>549</v>
      </c>
      <c r="D397" s="191" t="s">
        <v>62</v>
      </c>
      <c r="E397" s="192">
        <v>278.74</v>
      </c>
      <c r="F397" s="193">
        <f>TRUNC(G401,2)</f>
        <v>14.39</v>
      </c>
      <c r="G397" s="193">
        <f>TRUNC(F397*1.2882,2)</f>
        <v>18.53</v>
      </c>
      <c r="H397" s="193">
        <f>TRUNC(F397*E397,2)</f>
        <v>4011.06</v>
      </c>
      <c r="I397" s="194">
        <f>TRUNC(E397*G397,2)</f>
        <v>5165.05</v>
      </c>
      <c r="K397" s="196"/>
    </row>
    <row r="398" spans="1:11" s="98" customFormat="1" ht="13.5">
      <c r="A398" s="158"/>
      <c r="B398" s="86" t="s">
        <v>164</v>
      </c>
      <c r="C398" s="52" t="s">
        <v>165</v>
      </c>
      <c r="D398" s="160" t="s">
        <v>153</v>
      </c>
      <c r="E398" s="53">
        <v>0.33</v>
      </c>
      <c r="F398" s="54">
        <f>TRUNC(23.23,2)</f>
        <v>23.23</v>
      </c>
      <c r="G398" s="54">
        <f>TRUNC(E398*F398,2)</f>
        <v>7.66</v>
      </c>
      <c r="H398" s="54"/>
      <c r="I398" s="55"/>
      <c r="K398" s="70"/>
    </row>
    <row r="399" spans="1:11" s="98" customFormat="1" ht="13.5">
      <c r="A399" s="158"/>
      <c r="B399" s="86" t="s">
        <v>121</v>
      </c>
      <c r="C399" s="52" t="s">
        <v>122</v>
      </c>
      <c r="D399" s="160" t="s">
        <v>27</v>
      </c>
      <c r="E399" s="53">
        <v>0.069</v>
      </c>
      <c r="F399" s="54">
        <f>TRUNC(21.54,2)</f>
        <v>21.54</v>
      </c>
      <c r="G399" s="54">
        <f>TRUNC(E399*F399,2)</f>
        <v>1.48</v>
      </c>
      <c r="H399" s="54"/>
      <c r="I399" s="55"/>
      <c r="K399" s="70"/>
    </row>
    <row r="400" spans="1:11" s="98" customFormat="1" ht="13.5">
      <c r="A400" s="158"/>
      <c r="B400" s="86" t="s">
        <v>123</v>
      </c>
      <c r="C400" s="52" t="s">
        <v>124</v>
      </c>
      <c r="D400" s="160" t="s">
        <v>27</v>
      </c>
      <c r="E400" s="53">
        <v>0.187</v>
      </c>
      <c r="F400" s="54">
        <f>TRUNC(28.08,2)</f>
        <v>28.08</v>
      </c>
      <c r="G400" s="54">
        <f>TRUNC(E400*F400,2)</f>
        <v>5.25</v>
      </c>
      <c r="H400" s="54"/>
      <c r="I400" s="55"/>
      <c r="K400" s="70"/>
    </row>
    <row r="401" spans="1:11" s="98" customFormat="1" ht="13.5">
      <c r="A401" s="158"/>
      <c r="B401" s="86"/>
      <c r="C401" s="52"/>
      <c r="D401" s="160"/>
      <c r="E401" s="53" t="s">
        <v>70</v>
      </c>
      <c r="F401" s="54"/>
      <c r="G401" s="54">
        <f>TRUNC(SUM(G398:G400),2)</f>
        <v>14.39</v>
      </c>
      <c r="H401" s="54"/>
      <c r="I401" s="55"/>
      <c r="K401" s="70"/>
    </row>
    <row r="402" spans="1:9" s="41" customFormat="1" ht="13.5">
      <c r="A402" s="106" t="s">
        <v>111</v>
      </c>
      <c r="B402" s="100"/>
      <c r="C402" s="76" t="s">
        <v>669</v>
      </c>
      <c r="D402" s="125"/>
      <c r="E402" s="77"/>
      <c r="F402" s="78"/>
      <c r="G402" s="78"/>
      <c r="H402" s="79">
        <f>H397</f>
        <v>4011.06</v>
      </c>
      <c r="I402" s="79">
        <f>I397</f>
        <v>5165.05</v>
      </c>
    </row>
    <row r="403" spans="1:9" s="41" customFormat="1" ht="13.5">
      <c r="A403" s="106" t="s">
        <v>111</v>
      </c>
      <c r="B403" s="100"/>
      <c r="C403" s="76" t="s">
        <v>66</v>
      </c>
      <c r="D403" s="125"/>
      <c r="E403" s="77"/>
      <c r="F403" s="78"/>
      <c r="G403" s="78"/>
      <c r="H403" s="79">
        <f>H402+H395+H250+H191+H150+H83+H67+H58</f>
        <v>131561.9</v>
      </c>
      <c r="I403" s="79">
        <f>I402+I395+I250+I191+I150+I83+I67+I58</f>
        <v>169456.45</v>
      </c>
    </row>
    <row r="404" spans="1:9" ht="13.5">
      <c r="A404" s="108"/>
      <c r="B404" s="113"/>
      <c r="C404" s="92"/>
      <c r="D404" s="127"/>
      <c r="E404" s="92"/>
      <c r="F404" s="92"/>
      <c r="G404" s="92"/>
      <c r="H404" s="92"/>
      <c r="I404" s="93"/>
    </row>
    <row r="405" spans="1:9" ht="13.5">
      <c r="A405" s="108"/>
      <c r="B405" s="113"/>
      <c r="C405" s="92"/>
      <c r="D405" s="127"/>
      <c r="E405" s="92"/>
      <c r="F405" s="92"/>
      <c r="G405" s="92"/>
      <c r="H405" s="92"/>
      <c r="I405" s="93"/>
    </row>
    <row r="406" spans="1:9" ht="13.5">
      <c r="A406" s="108"/>
      <c r="B406" s="156"/>
      <c r="C406" s="132"/>
      <c r="D406" s="127"/>
      <c r="E406" s="92"/>
      <c r="F406" s="92"/>
      <c r="G406" s="92"/>
      <c r="H406" s="92"/>
      <c r="I406" s="93"/>
    </row>
    <row r="407" spans="1:9" ht="13.5">
      <c r="A407" s="108"/>
      <c r="B407" s="156"/>
      <c r="C407" s="132"/>
      <c r="D407" s="127"/>
      <c r="E407" s="92"/>
      <c r="F407" s="92"/>
      <c r="G407" s="92"/>
      <c r="H407" s="92"/>
      <c r="I407" s="93"/>
    </row>
    <row r="408" spans="1:9" ht="13.5">
      <c r="A408" s="108"/>
      <c r="B408" s="156"/>
      <c r="C408" s="132"/>
      <c r="D408" s="127"/>
      <c r="E408" s="92"/>
      <c r="F408" s="92"/>
      <c r="G408" s="92"/>
      <c r="H408" s="92"/>
      <c r="I408" s="93"/>
    </row>
    <row r="409" spans="1:9" ht="13.5">
      <c r="A409" s="108"/>
      <c r="B409" s="156"/>
      <c r="C409" s="132"/>
      <c r="D409" s="127"/>
      <c r="E409" s="92"/>
      <c r="F409" s="92"/>
      <c r="G409" s="92"/>
      <c r="H409" s="92"/>
      <c r="I409" s="93"/>
    </row>
    <row r="410" spans="1:9" ht="13.5">
      <c r="A410" s="108"/>
      <c r="B410" s="156"/>
      <c r="C410" s="132"/>
      <c r="D410" s="127"/>
      <c r="E410" s="92"/>
      <c r="F410" s="92"/>
      <c r="G410" s="92"/>
      <c r="H410" s="92"/>
      <c r="I410" s="93"/>
    </row>
    <row r="411" spans="1:9" ht="13.5">
      <c r="A411" s="108"/>
      <c r="B411" s="156"/>
      <c r="C411" s="132"/>
      <c r="D411" s="127"/>
      <c r="E411" s="92"/>
      <c r="F411" s="92"/>
      <c r="G411" s="92"/>
      <c r="H411" s="92"/>
      <c r="I411" s="93"/>
    </row>
    <row r="412" spans="1:9" ht="13.5">
      <c r="A412" s="108"/>
      <c r="B412" s="156"/>
      <c r="C412" s="132"/>
      <c r="D412" s="127"/>
      <c r="E412" s="92"/>
      <c r="F412" s="92"/>
      <c r="G412" s="92"/>
      <c r="H412" s="92"/>
      <c r="I412" s="93"/>
    </row>
    <row r="413" spans="1:9" ht="13.5">
      <c r="A413" s="108"/>
      <c r="B413" s="156"/>
      <c r="C413" s="132"/>
      <c r="D413" s="127"/>
      <c r="E413" s="92"/>
      <c r="F413" s="92"/>
      <c r="G413" s="92"/>
      <c r="H413" s="92"/>
      <c r="I413" s="93"/>
    </row>
    <row r="414" spans="1:9" ht="13.5">
      <c r="A414" s="108"/>
      <c r="B414" s="156"/>
      <c r="C414" s="132"/>
      <c r="D414" s="127"/>
      <c r="E414" s="92"/>
      <c r="F414" s="92"/>
      <c r="G414" s="92"/>
      <c r="H414" s="92"/>
      <c r="I414" s="93"/>
    </row>
    <row r="415" spans="1:9" ht="13.5">
      <c r="A415" s="108"/>
      <c r="B415" s="156"/>
      <c r="C415" s="132"/>
      <c r="D415" s="127"/>
      <c r="E415" s="92"/>
      <c r="F415" s="92"/>
      <c r="G415" s="92"/>
      <c r="H415" s="92"/>
      <c r="I415" s="93"/>
    </row>
    <row r="416" spans="1:9" ht="13.5">
      <c r="A416" s="108"/>
      <c r="B416" s="156"/>
      <c r="C416" s="132"/>
      <c r="D416" s="127"/>
      <c r="E416" s="92"/>
      <c r="F416" s="92"/>
      <c r="G416" s="92"/>
      <c r="H416" s="92"/>
      <c r="I416" s="93"/>
    </row>
    <row r="417" spans="1:9" ht="13.5">
      <c r="A417" s="108"/>
      <c r="B417" s="156"/>
      <c r="C417" s="132"/>
      <c r="D417" s="127"/>
      <c r="E417" s="92"/>
      <c r="F417" s="92"/>
      <c r="G417" s="92"/>
      <c r="H417" s="92"/>
      <c r="I417" s="93"/>
    </row>
    <row r="418" spans="1:9" ht="13.5">
      <c r="A418" s="108"/>
      <c r="B418" s="156"/>
      <c r="C418" s="132"/>
      <c r="D418" s="127"/>
      <c r="E418" s="92"/>
      <c r="F418" s="92"/>
      <c r="G418" s="92"/>
      <c r="H418" s="92"/>
      <c r="I418" s="93"/>
    </row>
    <row r="419" spans="1:9" ht="13.5">
      <c r="A419" s="108"/>
      <c r="B419" s="156"/>
      <c r="C419" s="132"/>
      <c r="D419" s="127"/>
      <c r="E419" s="92"/>
      <c r="F419" s="92"/>
      <c r="G419" s="92"/>
      <c r="H419" s="92"/>
      <c r="I419" s="93"/>
    </row>
    <row r="420" spans="1:9" ht="13.5">
      <c r="A420" s="108"/>
      <c r="B420" s="156"/>
      <c r="C420" s="132"/>
      <c r="D420" s="127"/>
      <c r="E420" s="92"/>
      <c r="F420" s="92"/>
      <c r="G420" s="92"/>
      <c r="H420" s="92"/>
      <c r="I420" s="93"/>
    </row>
    <row r="421" spans="1:9" ht="13.5">
      <c r="A421" s="108"/>
      <c r="B421" s="156"/>
      <c r="C421" s="132"/>
      <c r="D421" s="127"/>
      <c r="E421" s="92"/>
      <c r="F421" s="92"/>
      <c r="G421" s="92"/>
      <c r="H421" s="92"/>
      <c r="I421" s="93"/>
    </row>
    <row r="422" spans="1:9" ht="13.5">
      <c r="A422" s="108"/>
      <c r="B422" s="156"/>
      <c r="C422" s="132"/>
      <c r="D422" s="127"/>
      <c r="E422" s="92"/>
      <c r="F422" s="92"/>
      <c r="G422" s="92"/>
      <c r="H422" s="92"/>
      <c r="I422" s="93"/>
    </row>
    <row r="423" spans="1:9" ht="13.5">
      <c r="A423" s="108"/>
      <c r="B423" s="156"/>
      <c r="C423" s="132"/>
      <c r="D423" s="127"/>
      <c r="E423" s="92"/>
      <c r="F423" s="92"/>
      <c r="G423" s="92"/>
      <c r="H423" s="92"/>
      <c r="I423" s="93"/>
    </row>
    <row r="424" spans="1:9" ht="13.5">
      <c r="A424" s="108"/>
      <c r="B424" s="156"/>
      <c r="C424" s="132"/>
      <c r="D424" s="127"/>
      <c r="E424" s="92"/>
      <c r="F424" s="92"/>
      <c r="G424" s="92"/>
      <c r="H424" s="92"/>
      <c r="I424" s="93"/>
    </row>
    <row r="425" spans="1:9" ht="13.5">
      <c r="A425" s="108"/>
      <c r="B425" s="156"/>
      <c r="C425" s="132"/>
      <c r="D425" s="127"/>
      <c r="E425" s="92"/>
      <c r="F425" s="92"/>
      <c r="G425" s="92"/>
      <c r="H425" s="92"/>
      <c r="I425" s="93"/>
    </row>
    <row r="426" spans="1:9" ht="13.5">
      <c r="A426" s="108"/>
      <c r="B426" s="156"/>
      <c r="C426" s="132"/>
      <c r="D426" s="127"/>
      <c r="E426" s="92"/>
      <c r="F426" s="92"/>
      <c r="G426" s="92"/>
      <c r="H426" s="92"/>
      <c r="I426" s="93"/>
    </row>
    <row r="427" spans="1:9" ht="13.5">
      <c r="A427" s="108"/>
      <c r="B427" s="156"/>
      <c r="C427" s="132"/>
      <c r="D427" s="127"/>
      <c r="E427" s="92"/>
      <c r="F427" s="92"/>
      <c r="G427" s="92"/>
      <c r="H427" s="92"/>
      <c r="I427" s="93"/>
    </row>
    <row r="428" spans="1:9" ht="13.5">
      <c r="A428" s="108"/>
      <c r="B428" s="156"/>
      <c r="C428" s="132"/>
      <c r="D428" s="127"/>
      <c r="E428" s="92"/>
      <c r="F428" s="92"/>
      <c r="G428" s="92"/>
      <c r="H428" s="92"/>
      <c r="I428" s="93"/>
    </row>
    <row r="429" spans="1:9" ht="13.5">
      <c r="A429" s="108"/>
      <c r="B429" s="156"/>
      <c r="C429" s="132"/>
      <c r="D429" s="127"/>
      <c r="E429" s="92"/>
      <c r="F429" s="92"/>
      <c r="G429" s="92"/>
      <c r="H429" s="92"/>
      <c r="I429" s="93"/>
    </row>
    <row r="430" spans="1:9" ht="13.5">
      <c r="A430" s="108"/>
      <c r="B430" s="156"/>
      <c r="C430" s="132"/>
      <c r="D430" s="127"/>
      <c r="E430" s="92"/>
      <c r="F430" s="92"/>
      <c r="G430" s="92"/>
      <c r="H430" s="92"/>
      <c r="I430" s="93"/>
    </row>
    <row r="431" spans="1:9" ht="13.5">
      <c r="A431" s="108"/>
      <c r="B431" s="156"/>
      <c r="C431" s="132"/>
      <c r="D431" s="127"/>
      <c r="E431" s="92"/>
      <c r="F431" s="92"/>
      <c r="G431" s="92"/>
      <c r="H431" s="92"/>
      <c r="I431" s="93"/>
    </row>
    <row r="432" spans="1:9" ht="13.5">
      <c r="A432" s="108"/>
      <c r="B432" s="156"/>
      <c r="C432" s="132"/>
      <c r="D432" s="127"/>
      <c r="E432" s="92"/>
      <c r="F432" s="92"/>
      <c r="G432" s="92"/>
      <c r="H432" s="92"/>
      <c r="I432" s="93"/>
    </row>
    <row r="433" spans="1:9" ht="13.5">
      <c r="A433" s="108"/>
      <c r="B433" s="156"/>
      <c r="C433" s="132"/>
      <c r="D433" s="127"/>
      <c r="E433" s="92"/>
      <c r="F433" s="92"/>
      <c r="G433" s="92"/>
      <c r="H433" s="92"/>
      <c r="I433" s="93"/>
    </row>
    <row r="434" spans="1:9" ht="13.5">
      <c r="A434" s="108"/>
      <c r="B434" s="156"/>
      <c r="C434" s="132"/>
      <c r="D434" s="127"/>
      <c r="E434" s="92"/>
      <c r="F434" s="92"/>
      <c r="G434" s="92"/>
      <c r="H434" s="92"/>
      <c r="I434" s="93"/>
    </row>
    <row r="435" spans="1:9" ht="13.5">
      <c r="A435" s="108"/>
      <c r="B435" s="156"/>
      <c r="C435" s="132"/>
      <c r="D435" s="127"/>
      <c r="E435" s="92"/>
      <c r="F435" s="92"/>
      <c r="G435" s="92"/>
      <c r="H435" s="92"/>
      <c r="I435" s="93"/>
    </row>
    <row r="436" spans="1:9" ht="13.5">
      <c r="A436" s="108"/>
      <c r="B436" s="156"/>
      <c r="C436" s="132"/>
      <c r="D436" s="127"/>
      <c r="E436" s="92"/>
      <c r="F436" s="92"/>
      <c r="G436" s="92"/>
      <c r="H436" s="92"/>
      <c r="I436" s="93"/>
    </row>
    <row r="437" spans="1:9" ht="13.5">
      <c r="A437" s="108"/>
      <c r="B437" s="156"/>
      <c r="C437" s="132"/>
      <c r="D437" s="127"/>
      <c r="E437" s="92"/>
      <c r="F437" s="92"/>
      <c r="G437" s="92"/>
      <c r="H437" s="92"/>
      <c r="I437" s="93"/>
    </row>
    <row r="438" spans="1:9" ht="13.5">
      <c r="A438" s="108"/>
      <c r="B438" s="156"/>
      <c r="C438" s="132"/>
      <c r="D438" s="127"/>
      <c r="E438" s="92"/>
      <c r="F438" s="92"/>
      <c r="G438" s="92"/>
      <c r="H438" s="92"/>
      <c r="I438" s="93"/>
    </row>
    <row r="439" spans="1:9" ht="13.5">
      <c r="A439" s="108"/>
      <c r="B439" s="156"/>
      <c r="C439" s="132"/>
      <c r="D439" s="127"/>
      <c r="E439" s="92"/>
      <c r="F439" s="92"/>
      <c r="G439" s="92"/>
      <c r="H439" s="92"/>
      <c r="I439" s="93"/>
    </row>
    <row r="440" spans="1:9" ht="13.5">
      <c r="A440" s="108"/>
      <c r="B440" s="156"/>
      <c r="C440" s="132"/>
      <c r="D440" s="127"/>
      <c r="E440" s="92"/>
      <c r="F440" s="92"/>
      <c r="G440" s="92"/>
      <c r="H440" s="92"/>
      <c r="I440" s="93"/>
    </row>
    <row r="441" spans="1:9" ht="13.5">
      <c r="A441" s="108"/>
      <c r="B441" s="156"/>
      <c r="C441" s="132"/>
      <c r="D441" s="127"/>
      <c r="E441" s="92"/>
      <c r="F441" s="92"/>
      <c r="G441" s="92"/>
      <c r="H441" s="92"/>
      <c r="I441" s="93"/>
    </row>
    <row r="442" spans="1:9" ht="13.5">
      <c r="A442" s="108"/>
      <c r="B442" s="156"/>
      <c r="C442" s="132"/>
      <c r="D442" s="127"/>
      <c r="E442" s="92"/>
      <c r="F442" s="92"/>
      <c r="G442" s="92"/>
      <c r="H442" s="92"/>
      <c r="I442" s="93"/>
    </row>
    <row r="443" spans="1:9" ht="13.5">
      <c r="A443" s="108"/>
      <c r="B443" s="156"/>
      <c r="C443" s="132"/>
      <c r="D443" s="127"/>
      <c r="E443" s="92"/>
      <c r="F443" s="92"/>
      <c r="G443" s="92"/>
      <c r="H443" s="92"/>
      <c r="I443" s="93"/>
    </row>
    <row r="444" spans="1:9" ht="13.5">
      <c r="A444" s="108"/>
      <c r="B444" s="156"/>
      <c r="C444" s="132"/>
      <c r="D444" s="127"/>
      <c r="E444" s="92"/>
      <c r="F444" s="92"/>
      <c r="G444" s="92"/>
      <c r="H444" s="92"/>
      <c r="I444" s="93"/>
    </row>
    <row r="445" spans="1:9" ht="13.5">
      <c r="A445" s="108"/>
      <c r="B445" s="156"/>
      <c r="C445" s="132"/>
      <c r="D445" s="127"/>
      <c r="E445" s="92"/>
      <c r="F445" s="92"/>
      <c r="G445" s="92"/>
      <c r="H445" s="92"/>
      <c r="I445" s="93"/>
    </row>
    <row r="446" spans="1:9" ht="13.5">
      <c r="A446" s="108"/>
      <c r="B446" s="156"/>
      <c r="C446" s="132"/>
      <c r="D446" s="127"/>
      <c r="E446" s="92"/>
      <c r="F446" s="92"/>
      <c r="G446" s="92"/>
      <c r="H446" s="92"/>
      <c r="I446" s="93"/>
    </row>
    <row r="447" spans="1:9" ht="13.5">
      <c r="A447" s="108"/>
      <c r="B447" s="156"/>
      <c r="C447" s="132"/>
      <c r="D447" s="127"/>
      <c r="E447" s="92"/>
      <c r="F447" s="92"/>
      <c r="G447" s="92"/>
      <c r="H447" s="92"/>
      <c r="I447" s="93"/>
    </row>
    <row r="448" spans="1:9" ht="13.5">
      <c r="A448" s="108"/>
      <c r="B448" s="156"/>
      <c r="C448" s="132"/>
      <c r="D448" s="127"/>
      <c r="E448" s="92"/>
      <c r="F448" s="92"/>
      <c r="G448" s="92"/>
      <c r="H448" s="92"/>
      <c r="I448" s="93"/>
    </row>
    <row r="449" spans="1:9" ht="13.5">
      <c r="A449" s="108"/>
      <c r="B449" s="156"/>
      <c r="C449" s="132"/>
      <c r="D449" s="127"/>
      <c r="E449" s="92"/>
      <c r="F449" s="92"/>
      <c r="G449" s="92"/>
      <c r="H449" s="92"/>
      <c r="I449" s="93"/>
    </row>
    <row r="450" spans="1:9" ht="13.5">
      <c r="A450" s="108"/>
      <c r="B450" s="156"/>
      <c r="C450" s="132"/>
      <c r="D450" s="127"/>
      <c r="E450" s="92"/>
      <c r="F450" s="92"/>
      <c r="G450" s="92"/>
      <c r="H450" s="92"/>
      <c r="I450" s="93"/>
    </row>
    <row r="451" spans="1:9" ht="13.5">
      <c r="A451" s="108"/>
      <c r="B451" s="156"/>
      <c r="C451" s="132"/>
      <c r="D451" s="127"/>
      <c r="E451" s="92"/>
      <c r="F451" s="92"/>
      <c r="G451" s="92"/>
      <c r="H451" s="92"/>
      <c r="I451" s="93"/>
    </row>
    <row r="452" spans="1:9" ht="13.5">
      <c r="A452" s="108"/>
      <c r="B452" s="156"/>
      <c r="C452" s="132"/>
      <c r="D452" s="127"/>
      <c r="E452" s="92"/>
      <c r="F452" s="92"/>
      <c r="G452" s="92"/>
      <c r="H452" s="92"/>
      <c r="I452" s="93"/>
    </row>
    <row r="453" spans="1:9" ht="13.5">
      <c r="A453" s="108"/>
      <c r="B453" s="156"/>
      <c r="C453" s="132"/>
      <c r="D453" s="127"/>
      <c r="E453" s="92"/>
      <c r="F453" s="92"/>
      <c r="G453" s="92"/>
      <c r="H453" s="92"/>
      <c r="I453" s="93"/>
    </row>
    <row r="454" spans="1:9" ht="13.5">
      <c r="A454" s="108"/>
      <c r="B454" s="156"/>
      <c r="C454" s="132"/>
      <c r="D454" s="127"/>
      <c r="E454" s="92"/>
      <c r="F454" s="92"/>
      <c r="G454" s="92"/>
      <c r="H454" s="92"/>
      <c r="I454" s="93"/>
    </row>
    <row r="455" spans="1:9" ht="13.5">
      <c r="A455" s="108"/>
      <c r="B455" s="156"/>
      <c r="C455" s="132"/>
      <c r="D455" s="127"/>
      <c r="E455" s="92"/>
      <c r="F455" s="92"/>
      <c r="G455" s="92"/>
      <c r="H455" s="92"/>
      <c r="I455" s="93"/>
    </row>
    <row r="456" spans="1:9" ht="13.5">
      <c r="A456" s="108"/>
      <c r="B456" s="156"/>
      <c r="C456" s="132"/>
      <c r="D456" s="127"/>
      <c r="E456" s="92"/>
      <c r="F456" s="92"/>
      <c r="G456" s="92"/>
      <c r="H456" s="92"/>
      <c r="I456" s="93"/>
    </row>
    <row r="457" spans="1:9" ht="13.5">
      <c r="A457" s="108"/>
      <c r="B457" s="156"/>
      <c r="C457" s="132"/>
      <c r="D457" s="127"/>
      <c r="E457" s="92"/>
      <c r="F457" s="92"/>
      <c r="G457" s="92"/>
      <c r="H457" s="92"/>
      <c r="I457" s="93"/>
    </row>
    <row r="458" spans="1:9" ht="13.5">
      <c r="A458" s="108"/>
      <c r="B458" s="156"/>
      <c r="C458" s="132"/>
      <c r="D458" s="127"/>
      <c r="E458" s="92"/>
      <c r="F458" s="92"/>
      <c r="G458" s="92"/>
      <c r="H458" s="92"/>
      <c r="I458" s="93"/>
    </row>
    <row r="459" spans="1:9" ht="13.5">
      <c r="A459" s="108"/>
      <c r="B459" s="156"/>
      <c r="C459" s="132"/>
      <c r="D459" s="127"/>
      <c r="E459" s="92"/>
      <c r="F459" s="92"/>
      <c r="G459" s="92"/>
      <c r="H459" s="92"/>
      <c r="I459" s="93"/>
    </row>
    <row r="460" spans="1:9" ht="13.5">
      <c r="A460" s="108"/>
      <c r="B460" s="156"/>
      <c r="C460" s="132"/>
      <c r="D460" s="127"/>
      <c r="E460" s="92"/>
      <c r="F460" s="92"/>
      <c r="G460" s="92"/>
      <c r="H460" s="92"/>
      <c r="I460" s="93"/>
    </row>
    <row r="461" spans="1:9" ht="13.5">
      <c r="A461" s="108"/>
      <c r="B461" s="156"/>
      <c r="C461" s="132"/>
      <c r="D461" s="127"/>
      <c r="E461" s="92"/>
      <c r="F461" s="92"/>
      <c r="G461" s="92"/>
      <c r="H461" s="92"/>
      <c r="I461" s="93"/>
    </row>
    <row r="462" spans="1:9" ht="13.5">
      <c r="A462" s="108"/>
      <c r="B462" s="156"/>
      <c r="C462" s="132"/>
      <c r="D462" s="127"/>
      <c r="E462" s="92"/>
      <c r="F462" s="92"/>
      <c r="G462" s="92"/>
      <c r="H462" s="92"/>
      <c r="I462" s="93"/>
    </row>
    <row r="463" spans="1:9" ht="13.5">
      <c r="A463" s="108"/>
      <c r="B463" s="156"/>
      <c r="C463" s="132"/>
      <c r="D463" s="127"/>
      <c r="E463" s="92"/>
      <c r="F463" s="92"/>
      <c r="G463" s="92"/>
      <c r="H463" s="92"/>
      <c r="I463" s="93"/>
    </row>
    <row r="464" spans="1:9" ht="13.5">
      <c r="A464" s="108"/>
      <c r="B464" s="156"/>
      <c r="C464" s="132"/>
      <c r="D464" s="127"/>
      <c r="E464" s="92"/>
      <c r="F464" s="92"/>
      <c r="G464" s="92"/>
      <c r="H464" s="92"/>
      <c r="I464" s="93"/>
    </row>
    <row r="465" spans="1:9" ht="13.5">
      <c r="A465" s="108"/>
      <c r="B465" s="156"/>
      <c r="C465" s="132"/>
      <c r="D465" s="127"/>
      <c r="E465" s="92"/>
      <c r="F465" s="92"/>
      <c r="G465" s="92"/>
      <c r="H465" s="92"/>
      <c r="I465" s="93"/>
    </row>
    <row r="466" spans="1:9" ht="13.5">
      <c r="A466" s="108"/>
      <c r="B466" s="156"/>
      <c r="C466" s="132"/>
      <c r="D466" s="127"/>
      <c r="E466" s="92"/>
      <c r="F466" s="92"/>
      <c r="G466" s="92"/>
      <c r="H466" s="92"/>
      <c r="I466" s="93"/>
    </row>
    <row r="467" spans="1:9" ht="13.5">
      <c r="A467" s="108"/>
      <c r="B467" s="156"/>
      <c r="C467" s="132"/>
      <c r="D467" s="127"/>
      <c r="E467" s="92"/>
      <c r="F467" s="92"/>
      <c r="G467" s="92"/>
      <c r="H467" s="92"/>
      <c r="I467" s="93"/>
    </row>
    <row r="468" spans="1:9" ht="13.5">
      <c r="A468" s="108"/>
      <c r="B468" s="156"/>
      <c r="C468" s="132"/>
      <c r="D468" s="127"/>
      <c r="E468" s="92"/>
      <c r="F468" s="92"/>
      <c r="G468" s="92"/>
      <c r="H468" s="92"/>
      <c r="I468" s="93"/>
    </row>
    <row r="469" spans="1:9" ht="13.5">
      <c r="A469" s="108"/>
      <c r="B469" s="156"/>
      <c r="C469" s="132"/>
      <c r="D469" s="127"/>
      <c r="E469" s="92"/>
      <c r="F469" s="92"/>
      <c r="G469" s="92"/>
      <c r="H469" s="92"/>
      <c r="I469" s="93"/>
    </row>
    <row r="470" spans="1:9" ht="13.5">
      <c r="A470" s="108"/>
      <c r="B470" s="156"/>
      <c r="C470" s="132"/>
      <c r="D470" s="127"/>
      <c r="E470" s="92"/>
      <c r="F470" s="92"/>
      <c r="G470" s="92"/>
      <c r="H470" s="92"/>
      <c r="I470" s="93"/>
    </row>
    <row r="471" spans="1:9" ht="13.5">
      <c r="A471" s="108"/>
      <c r="B471" s="156"/>
      <c r="C471" s="92"/>
      <c r="D471" s="127"/>
      <c r="E471" s="92"/>
      <c r="F471" s="92"/>
      <c r="G471" s="92"/>
      <c r="H471" s="92"/>
      <c r="I471" s="93"/>
    </row>
    <row r="472" spans="1:9" ht="13.5">
      <c r="A472" s="108"/>
      <c r="B472" s="156"/>
      <c r="C472" s="92"/>
      <c r="D472" s="127"/>
      <c r="E472" s="92"/>
      <c r="F472" s="92"/>
      <c r="G472" s="92"/>
      <c r="H472" s="92"/>
      <c r="I472" s="93"/>
    </row>
    <row r="473" spans="1:9" ht="13.5">
      <c r="A473" s="108"/>
      <c r="B473" s="156"/>
      <c r="C473" s="92"/>
      <c r="D473" s="127"/>
      <c r="E473" s="92"/>
      <c r="F473" s="92"/>
      <c r="G473" s="92"/>
      <c r="H473" s="92"/>
      <c r="I473" s="93"/>
    </row>
    <row r="474" spans="1:9" ht="13.5">
      <c r="A474" s="108"/>
      <c r="B474" s="156"/>
      <c r="C474" s="92"/>
      <c r="D474" s="127"/>
      <c r="E474" s="92"/>
      <c r="F474" s="92"/>
      <c r="G474" s="92"/>
      <c r="H474" s="92"/>
      <c r="I474" s="93"/>
    </row>
    <row r="475" spans="1:9" ht="13.5">
      <c r="A475" s="108"/>
      <c r="B475" s="156"/>
      <c r="C475" s="92"/>
      <c r="D475" s="127"/>
      <c r="E475" s="92"/>
      <c r="F475" s="92"/>
      <c r="G475" s="92"/>
      <c r="H475" s="92"/>
      <c r="I475" s="93"/>
    </row>
    <row r="476" spans="1:9" ht="13.5">
      <c r="A476" s="108"/>
      <c r="B476" s="156"/>
      <c r="C476" s="92"/>
      <c r="D476" s="127"/>
      <c r="E476" s="92"/>
      <c r="F476" s="92"/>
      <c r="G476" s="92"/>
      <c r="H476" s="92"/>
      <c r="I476" s="93"/>
    </row>
    <row r="477" spans="1:9" ht="13.5">
      <c r="A477" s="108"/>
      <c r="B477" s="156"/>
      <c r="C477" s="92"/>
      <c r="D477" s="127"/>
      <c r="E477" s="92"/>
      <c r="F477" s="92"/>
      <c r="G477" s="92"/>
      <c r="H477" s="92"/>
      <c r="I477" s="93"/>
    </row>
    <row r="478" spans="1:9" ht="13.5">
      <c r="A478" s="108"/>
      <c r="B478" s="156"/>
      <c r="C478" s="92"/>
      <c r="D478" s="127"/>
      <c r="E478" s="92"/>
      <c r="F478" s="92"/>
      <c r="G478" s="92"/>
      <c r="H478" s="92"/>
      <c r="I478" s="93"/>
    </row>
    <row r="479" spans="1:9" ht="13.5">
      <c r="A479" s="108"/>
      <c r="B479" s="156"/>
      <c r="C479" s="92"/>
      <c r="D479" s="127"/>
      <c r="E479" s="92"/>
      <c r="F479" s="92"/>
      <c r="G479" s="92"/>
      <c r="H479" s="92"/>
      <c r="I479" s="93"/>
    </row>
    <row r="480" spans="1:9" ht="13.5">
      <c r="A480" s="108"/>
      <c r="B480" s="156"/>
      <c r="C480" s="92"/>
      <c r="D480" s="127"/>
      <c r="E480" s="92"/>
      <c r="F480" s="92"/>
      <c r="G480" s="92"/>
      <c r="H480" s="92"/>
      <c r="I480" s="93"/>
    </row>
    <row r="481" spans="1:9" ht="13.5">
      <c r="A481" s="108"/>
      <c r="B481" s="156"/>
      <c r="C481" s="92"/>
      <c r="D481" s="127"/>
      <c r="E481" s="92"/>
      <c r="F481" s="92"/>
      <c r="G481" s="92"/>
      <c r="H481" s="92"/>
      <c r="I481" s="93"/>
    </row>
    <row r="482" spans="1:9" ht="13.5">
      <c r="A482" s="108"/>
      <c r="B482" s="156"/>
      <c r="C482" s="92"/>
      <c r="D482" s="127"/>
      <c r="E482" s="92"/>
      <c r="F482" s="92"/>
      <c r="G482" s="92"/>
      <c r="H482" s="92"/>
      <c r="I482" s="93"/>
    </row>
    <row r="483" spans="1:9" ht="13.5">
      <c r="A483" s="108"/>
      <c r="B483" s="156"/>
      <c r="C483" s="92"/>
      <c r="D483" s="127"/>
      <c r="E483" s="92"/>
      <c r="F483" s="92"/>
      <c r="G483" s="92"/>
      <c r="H483" s="92"/>
      <c r="I483" s="93"/>
    </row>
    <row r="484" spans="1:9" ht="13.5">
      <c r="A484" s="108"/>
      <c r="B484" s="156"/>
      <c r="C484" s="92"/>
      <c r="D484" s="127"/>
      <c r="E484" s="92"/>
      <c r="F484" s="92"/>
      <c r="G484" s="92"/>
      <c r="H484" s="92"/>
      <c r="I484" s="93"/>
    </row>
    <row r="485" spans="1:9" ht="13.5">
      <c r="A485" s="108"/>
      <c r="B485" s="156"/>
      <c r="C485" s="92"/>
      <c r="D485" s="127"/>
      <c r="E485" s="92"/>
      <c r="F485" s="92"/>
      <c r="G485" s="92"/>
      <c r="H485" s="92"/>
      <c r="I485" s="93"/>
    </row>
    <row r="486" spans="1:9" ht="13.5">
      <c r="A486" s="108"/>
      <c r="B486" s="156"/>
      <c r="C486" s="92"/>
      <c r="D486" s="127"/>
      <c r="E486" s="92"/>
      <c r="F486" s="92"/>
      <c r="G486" s="92"/>
      <c r="H486" s="92"/>
      <c r="I486" s="93"/>
    </row>
    <row r="487" spans="1:9" ht="13.5">
      <c r="A487" s="108"/>
      <c r="B487" s="156"/>
      <c r="C487" s="92"/>
      <c r="D487" s="127"/>
      <c r="E487" s="92"/>
      <c r="F487" s="92"/>
      <c r="G487" s="92"/>
      <c r="H487" s="92"/>
      <c r="I487" s="93"/>
    </row>
    <row r="488" spans="1:9" ht="13.5">
      <c r="A488" s="108"/>
      <c r="B488" s="156"/>
      <c r="C488" s="92"/>
      <c r="D488" s="127"/>
      <c r="E488" s="92"/>
      <c r="F488" s="92"/>
      <c r="G488" s="92"/>
      <c r="H488" s="92"/>
      <c r="I488" s="93"/>
    </row>
    <row r="489" spans="1:9" ht="13.5">
      <c r="A489" s="108"/>
      <c r="B489" s="156"/>
      <c r="C489" s="92"/>
      <c r="D489" s="127"/>
      <c r="E489" s="92"/>
      <c r="F489" s="92"/>
      <c r="G489" s="92"/>
      <c r="H489" s="92"/>
      <c r="I489" s="93"/>
    </row>
    <row r="490" spans="1:9" ht="13.5">
      <c r="A490" s="108"/>
      <c r="B490" s="156"/>
      <c r="C490" s="92"/>
      <c r="D490" s="127"/>
      <c r="E490" s="92"/>
      <c r="F490" s="92"/>
      <c r="G490" s="92"/>
      <c r="H490" s="92"/>
      <c r="I490" s="93"/>
    </row>
    <row r="491" spans="1:9" ht="13.5">
      <c r="A491" s="108"/>
      <c r="B491" s="156"/>
      <c r="C491" s="92"/>
      <c r="D491" s="127"/>
      <c r="E491" s="92"/>
      <c r="F491" s="92"/>
      <c r="G491" s="92"/>
      <c r="H491" s="92"/>
      <c r="I491" s="93"/>
    </row>
    <row r="492" spans="1:9" ht="13.5">
      <c r="A492" s="108"/>
      <c r="B492" s="156"/>
      <c r="C492" s="92"/>
      <c r="D492" s="127"/>
      <c r="E492" s="92"/>
      <c r="F492" s="92"/>
      <c r="G492" s="92"/>
      <c r="H492" s="92"/>
      <c r="I492" s="93"/>
    </row>
    <row r="493" spans="1:9" ht="13.5">
      <c r="A493" s="108"/>
      <c r="B493" s="156"/>
      <c r="C493" s="92"/>
      <c r="D493" s="127"/>
      <c r="E493" s="92"/>
      <c r="F493" s="92"/>
      <c r="G493" s="92"/>
      <c r="H493" s="92"/>
      <c r="I493" s="93"/>
    </row>
    <row r="494" spans="1:9" ht="13.5">
      <c r="A494" s="108"/>
      <c r="B494" s="156"/>
      <c r="C494" s="92"/>
      <c r="D494" s="127"/>
      <c r="E494" s="92"/>
      <c r="F494" s="92"/>
      <c r="G494" s="92"/>
      <c r="H494" s="92"/>
      <c r="I494" s="93"/>
    </row>
    <row r="495" spans="1:9" ht="13.5">
      <c r="A495" s="108"/>
      <c r="B495" s="156"/>
      <c r="C495" s="92"/>
      <c r="D495" s="127"/>
      <c r="E495" s="92"/>
      <c r="F495" s="92"/>
      <c r="G495" s="92"/>
      <c r="H495" s="92"/>
      <c r="I495" s="93"/>
    </row>
    <row r="496" spans="1:9" ht="13.5">
      <c r="A496" s="108"/>
      <c r="B496" s="113"/>
      <c r="C496" s="132"/>
      <c r="D496" s="127"/>
      <c r="E496" s="92"/>
      <c r="F496" s="92"/>
      <c r="G496" s="92"/>
      <c r="H496" s="92"/>
      <c r="I496" s="93"/>
    </row>
    <row r="497" spans="1:9" ht="13.5">
      <c r="A497" s="108"/>
      <c r="B497" s="113"/>
      <c r="C497" s="132"/>
      <c r="D497" s="127"/>
      <c r="E497" s="92"/>
      <c r="F497" s="92"/>
      <c r="G497" s="92"/>
      <c r="H497" s="92"/>
      <c r="I497" s="93"/>
    </row>
    <row r="498" spans="1:9" ht="13.5">
      <c r="A498" s="108"/>
      <c r="B498" s="113"/>
      <c r="C498" s="132"/>
      <c r="D498" s="127"/>
      <c r="E498" s="92"/>
      <c r="F498" s="92"/>
      <c r="G498" s="92"/>
      <c r="H498" s="92"/>
      <c r="I498" s="93"/>
    </row>
    <row r="499" spans="1:9" ht="13.5">
      <c r="A499" s="108"/>
      <c r="B499" s="113"/>
      <c r="C499" s="132"/>
      <c r="D499" s="127"/>
      <c r="E499" s="92"/>
      <c r="F499" s="92"/>
      <c r="G499" s="92"/>
      <c r="H499" s="92"/>
      <c r="I499" s="93"/>
    </row>
    <row r="500" spans="1:9" ht="13.5">
      <c r="A500" s="108"/>
      <c r="B500" s="113"/>
      <c r="C500" s="132"/>
      <c r="D500" s="127"/>
      <c r="E500" s="92"/>
      <c r="F500" s="92"/>
      <c r="G500" s="92"/>
      <c r="H500" s="92"/>
      <c r="I500" s="93"/>
    </row>
    <row r="501" spans="1:9" ht="13.5">
      <c r="A501" s="108"/>
      <c r="B501" s="113"/>
      <c r="C501" s="132"/>
      <c r="D501" s="127"/>
      <c r="E501" s="92"/>
      <c r="F501" s="92"/>
      <c r="G501" s="92"/>
      <c r="H501" s="92"/>
      <c r="I501" s="93"/>
    </row>
    <row r="502" spans="1:9" ht="13.5">
      <c r="A502" s="108"/>
      <c r="B502" s="113"/>
      <c r="C502" s="132"/>
      <c r="D502" s="127"/>
      <c r="E502" s="92"/>
      <c r="F502" s="92"/>
      <c r="G502" s="92"/>
      <c r="H502" s="92"/>
      <c r="I502" s="93"/>
    </row>
    <row r="503" spans="1:9" ht="13.5">
      <c r="A503" s="108"/>
      <c r="B503" s="113"/>
      <c r="C503" s="132"/>
      <c r="D503" s="127"/>
      <c r="E503" s="92"/>
      <c r="F503" s="92"/>
      <c r="G503" s="92"/>
      <c r="H503" s="92"/>
      <c r="I503" s="93"/>
    </row>
    <row r="504" spans="1:9" ht="13.5">
      <c r="A504" s="108"/>
      <c r="B504" s="113"/>
      <c r="C504" s="132"/>
      <c r="D504" s="127"/>
      <c r="E504" s="92"/>
      <c r="F504" s="92"/>
      <c r="G504" s="92"/>
      <c r="H504" s="92"/>
      <c r="I504" s="93"/>
    </row>
    <row r="505" spans="1:9" ht="13.5">
      <c r="A505" s="108"/>
      <c r="B505" s="113"/>
      <c r="C505" s="132"/>
      <c r="D505" s="127"/>
      <c r="E505" s="92"/>
      <c r="F505" s="92"/>
      <c r="G505" s="92"/>
      <c r="H505" s="92"/>
      <c r="I505" s="93"/>
    </row>
    <row r="506" spans="1:9" ht="13.5">
      <c r="A506" s="108"/>
      <c r="B506" s="113"/>
      <c r="C506" s="132"/>
      <c r="D506" s="127"/>
      <c r="E506" s="92"/>
      <c r="F506" s="92"/>
      <c r="G506" s="92"/>
      <c r="H506" s="92"/>
      <c r="I506" s="93"/>
    </row>
    <row r="507" spans="1:9" ht="13.5">
      <c r="A507" s="108"/>
      <c r="B507" s="113"/>
      <c r="C507" s="132"/>
      <c r="D507" s="127"/>
      <c r="E507" s="92"/>
      <c r="F507" s="92"/>
      <c r="G507" s="92"/>
      <c r="H507" s="92"/>
      <c r="I507" s="93"/>
    </row>
    <row r="508" spans="1:9" ht="13.5">
      <c r="A508" s="108"/>
      <c r="B508" s="113"/>
      <c r="C508" s="92"/>
      <c r="D508" s="127"/>
      <c r="E508" s="92"/>
      <c r="F508" s="92"/>
      <c r="G508" s="50"/>
      <c r="H508" s="50"/>
      <c r="I508" s="50"/>
    </row>
    <row r="509" spans="1:9" ht="13.5">
      <c r="A509" s="108"/>
      <c r="B509" s="113"/>
      <c r="C509" s="92"/>
      <c r="D509" s="127"/>
      <c r="E509" s="92"/>
      <c r="F509" s="92"/>
      <c r="G509" s="155"/>
      <c r="H509" s="155"/>
      <c r="I509" s="155"/>
    </row>
    <row r="510" spans="1:9" ht="13.5">
      <c r="A510" s="108"/>
      <c r="B510" s="113"/>
      <c r="C510" s="92"/>
      <c r="D510" s="127"/>
      <c r="E510" s="92"/>
      <c r="F510" s="92"/>
      <c r="G510" s="155"/>
      <c r="H510" s="155"/>
      <c r="I510" s="155"/>
    </row>
    <row r="511" spans="1:9" ht="13.5">
      <c r="A511" s="108"/>
      <c r="B511" s="113"/>
      <c r="C511" s="92"/>
      <c r="D511" s="127"/>
      <c r="E511" s="92"/>
      <c r="F511" s="92"/>
      <c r="G511" s="155"/>
      <c r="H511" s="155"/>
      <c r="I511" s="155"/>
    </row>
    <row r="512" spans="1:9" ht="13.5">
      <c r="A512" s="108"/>
      <c r="B512" s="113"/>
      <c r="C512" s="92"/>
      <c r="D512" s="127"/>
      <c r="E512" s="92"/>
      <c r="F512" s="92"/>
      <c r="G512" s="155"/>
      <c r="H512" s="155"/>
      <c r="I512" s="155"/>
    </row>
    <row r="513" spans="1:9" ht="13.5">
      <c r="A513" s="108"/>
      <c r="B513" s="113"/>
      <c r="C513" s="92"/>
      <c r="D513" s="127"/>
      <c r="E513" s="92"/>
      <c r="F513" s="92"/>
      <c r="G513" s="155"/>
      <c r="H513" s="155"/>
      <c r="I513" s="155"/>
    </row>
    <row r="514" spans="1:9" ht="13.5">
      <c r="A514" s="108"/>
      <c r="B514" s="113"/>
      <c r="C514" s="92"/>
      <c r="D514" s="127"/>
      <c r="E514" s="92"/>
      <c r="F514" s="92"/>
      <c r="G514" s="155"/>
      <c r="H514" s="155"/>
      <c r="I514" s="155"/>
    </row>
    <row r="515" spans="1:9" ht="13.5">
      <c r="A515" s="108"/>
      <c r="B515" s="113"/>
      <c r="C515" s="92"/>
      <c r="D515" s="127"/>
      <c r="E515" s="92"/>
      <c r="F515" s="92"/>
      <c r="G515" s="155"/>
      <c r="H515" s="155"/>
      <c r="I515" s="155"/>
    </row>
    <row r="516" spans="1:9" ht="13.5">
      <c r="A516" s="108"/>
      <c r="B516" s="113"/>
      <c r="C516" s="92"/>
      <c r="D516" s="127"/>
      <c r="E516" s="92"/>
      <c r="F516" s="92"/>
      <c r="G516" s="155"/>
      <c r="H516" s="155"/>
      <c r="I516" s="155"/>
    </row>
    <row r="517" spans="1:9" ht="13.5">
      <c r="A517" s="108"/>
      <c r="B517" s="113"/>
      <c r="C517" s="92"/>
      <c r="D517" s="127"/>
      <c r="E517" s="92"/>
      <c r="F517" s="92"/>
      <c r="G517" s="155"/>
      <c r="H517" s="155"/>
      <c r="I517" s="155"/>
    </row>
    <row r="518" spans="1:9" ht="13.5">
      <c r="A518" s="108"/>
      <c r="B518" s="113"/>
      <c r="C518" s="92"/>
      <c r="D518" s="127"/>
      <c r="E518" s="92"/>
      <c r="F518" s="92"/>
      <c r="G518" s="155"/>
      <c r="H518" s="155"/>
      <c r="I518" s="155"/>
    </row>
    <row r="519" spans="1:9" ht="13.5">
      <c r="A519" s="108"/>
      <c r="B519" s="113"/>
      <c r="C519" s="92"/>
      <c r="D519" s="127"/>
      <c r="E519" s="92"/>
      <c r="F519" s="92"/>
      <c r="G519" s="155"/>
      <c r="H519" s="155"/>
      <c r="I519" s="155"/>
    </row>
    <row r="520" spans="1:9" ht="13.5">
      <c r="A520" s="108"/>
      <c r="B520" s="113"/>
      <c r="C520" s="92"/>
      <c r="D520" s="127"/>
      <c r="E520" s="92"/>
      <c r="F520" s="92"/>
      <c r="G520" s="155"/>
      <c r="H520" s="155"/>
      <c r="I520" s="155"/>
    </row>
    <row r="521" spans="1:9" ht="13.5">
      <c r="A521" s="108"/>
      <c r="B521" s="113"/>
      <c r="C521" s="92"/>
      <c r="D521" s="127"/>
      <c r="E521" s="92"/>
      <c r="F521" s="92"/>
      <c r="G521" s="154"/>
      <c r="H521" s="155"/>
      <c r="I521" s="155"/>
    </row>
    <row r="522" spans="1:9" ht="13.5">
      <c r="A522" s="108"/>
      <c r="B522" s="113"/>
      <c r="C522" s="92"/>
      <c r="D522" s="127"/>
      <c r="E522" s="92"/>
      <c r="F522" s="92"/>
      <c r="G522" s="154"/>
      <c r="H522" s="155"/>
      <c r="I522" s="155"/>
    </row>
    <row r="523" spans="1:9" ht="13.5">
      <c r="A523" s="108"/>
      <c r="B523" s="113"/>
      <c r="C523" s="92"/>
      <c r="D523" s="127"/>
      <c r="E523" s="92"/>
      <c r="F523" s="92"/>
      <c r="G523" s="154"/>
      <c r="H523" s="155"/>
      <c r="I523" s="155"/>
    </row>
    <row r="524" spans="1:9" ht="13.5">
      <c r="A524" s="108"/>
      <c r="B524" s="113"/>
      <c r="C524" s="92"/>
      <c r="D524" s="127"/>
      <c r="E524" s="92"/>
      <c r="F524" s="92"/>
      <c r="G524" s="154"/>
      <c r="H524" s="155"/>
      <c r="I524" s="155"/>
    </row>
    <row r="525" spans="1:9" ht="13.5">
      <c r="A525" s="108"/>
      <c r="B525" s="113"/>
      <c r="C525" s="92"/>
      <c r="D525" s="127"/>
      <c r="E525" s="92"/>
      <c r="F525" s="92"/>
      <c r="G525" s="154"/>
      <c r="H525" s="155"/>
      <c r="I525" s="155"/>
    </row>
    <row r="526" spans="1:9" ht="13.5">
      <c r="A526" s="108"/>
      <c r="B526" s="113"/>
      <c r="C526" s="92"/>
      <c r="D526" s="127"/>
      <c r="E526" s="92"/>
      <c r="F526" s="92"/>
      <c r="G526" s="154"/>
      <c r="H526" s="155"/>
      <c r="I526" s="155"/>
    </row>
    <row r="527" spans="1:9" ht="13.5">
      <c r="A527" s="108"/>
      <c r="B527" s="113"/>
      <c r="C527" s="92"/>
      <c r="D527" s="127"/>
      <c r="E527" s="92"/>
      <c r="F527" s="92"/>
      <c r="G527" s="154"/>
      <c r="H527" s="155"/>
      <c r="I527" s="155"/>
    </row>
    <row r="528" spans="1:9" ht="13.5">
      <c r="A528" s="108"/>
      <c r="B528" s="113"/>
      <c r="C528" s="92"/>
      <c r="D528" s="127"/>
      <c r="E528" s="92"/>
      <c r="F528" s="92"/>
      <c r="G528" s="154"/>
      <c r="H528" s="155"/>
      <c r="I528" s="155"/>
    </row>
    <row r="529" spans="1:9" ht="13.5">
      <c r="A529" s="108"/>
      <c r="B529" s="113"/>
      <c r="C529" s="92"/>
      <c r="D529" s="127"/>
      <c r="E529" s="92"/>
      <c r="F529" s="92"/>
      <c r="G529" s="154"/>
      <c r="H529" s="155"/>
      <c r="I529" s="155"/>
    </row>
    <row r="530" spans="1:9" ht="13.5">
      <c r="A530" s="108"/>
      <c r="B530" s="113"/>
      <c r="C530" s="92"/>
      <c r="D530" s="127"/>
      <c r="E530" s="92"/>
      <c r="F530" s="92"/>
      <c r="G530" s="154"/>
      <c r="H530" s="155"/>
      <c r="I530" s="155"/>
    </row>
    <row r="531" spans="1:9" ht="13.5">
      <c r="A531" s="108"/>
      <c r="B531" s="113"/>
      <c r="C531" s="92"/>
      <c r="D531" s="127"/>
      <c r="E531" s="92"/>
      <c r="F531" s="92"/>
      <c r="G531" s="154"/>
      <c r="H531" s="155"/>
      <c r="I531" s="155"/>
    </row>
    <row r="532" spans="1:9" ht="13.5">
      <c r="A532" s="108"/>
      <c r="B532" s="113"/>
      <c r="C532" s="92"/>
      <c r="D532" s="127"/>
      <c r="E532" s="92"/>
      <c r="F532" s="92"/>
      <c r="G532" s="154"/>
      <c r="H532" s="155"/>
      <c r="I532" s="155"/>
    </row>
    <row r="533" spans="1:9" ht="13.5">
      <c r="A533" s="108"/>
      <c r="B533" s="113"/>
      <c r="C533" s="92"/>
      <c r="D533" s="127"/>
      <c r="E533" s="92"/>
      <c r="F533" s="92"/>
      <c r="G533" s="154"/>
      <c r="H533" s="155"/>
      <c r="I533" s="155"/>
    </row>
    <row r="534" spans="1:9" ht="13.5">
      <c r="A534" s="108"/>
      <c r="B534" s="113"/>
      <c r="C534" s="92"/>
      <c r="D534" s="127"/>
      <c r="E534" s="92"/>
      <c r="F534" s="92"/>
      <c r="G534" s="154"/>
      <c r="H534" s="155"/>
      <c r="I534" s="155"/>
    </row>
    <row r="535" spans="1:9" ht="13.5">
      <c r="A535" s="108"/>
      <c r="B535" s="113"/>
      <c r="C535" s="92"/>
      <c r="D535" s="127"/>
      <c r="E535" s="92"/>
      <c r="F535" s="92"/>
      <c r="G535" s="154"/>
      <c r="H535" s="155"/>
      <c r="I535" s="155"/>
    </row>
    <row r="536" spans="1:9" ht="13.5">
      <c r="A536" s="108"/>
      <c r="B536" s="113"/>
      <c r="C536" s="132"/>
      <c r="D536" s="127"/>
      <c r="E536" s="92"/>
      <c r="F536" s="92"/>
      <c r="G536" s="92"/>
      <c r="H536" s="92"/>
      <c r="I536" s="93"/>
    </row>
    <row r="537" spans="1:9" ht="13.5">
      <c r="A537" s="108"/>
      <c r="B537" s="113"/>
      <c r="C537" s="132"/>
      <c r="D537" s="127"/>
      <c r="E537" s="92"/>
      <c r="F537" s="92"/>
      <c r="G537" s="92"/>
      <c r="H537" s="92"/>
      <c r="I537" s="93"/>
    </row>
    <row r="538" spans="1:9" ht="13.5">
      <c r="A538" s="108"/>
      <c r="B538" s="113"/>
      <c r="C538" s="132"/>
      <c r="D538" s="127"/>
      <c r="E538" s="92"/>
      <c r="F538" s="92"/>
      <c r="G538" s="92"/>
      <c r="H538" s="92"/>
      <c r="I538" s="93"/>
    </row>
    <row r="539" spans="1:9" ht="13.5">
      <c r="A539" s="108"/>
      <c r="B539" s="113"/>
      <c r="C539" s="132"/>
      <c r="D539" s="127"/>
      <c r="E539" s="92"/>
      <c r="F539" s="92"/>
      <c r="G539" s="92"/>
      <c r="H539" s="92"/>
      <c r="I539" s="93"/>
    </row>
    <row r="540" spans="1:9" ht="13.5">
      <c r="A540" s="108"/>
      <c r="B540" s="113"/>
      <c r="C540" s="132"/>
      <c r="D540" s="127"/>
      <c r="E540" s="92"/>
      <c r="F540" s="92"/>
      <c r="G540" s="92"/>
      <c r="H540" s="92"/>
      <c r="I540" s="93"/>
    </row>
    <row r="541" spans="1:9" ht="13.5">
      <c r="A541" s="108"/>
      <c r="B541" s="113"/>
      <c r="C541" s="132"/>
      <c r="D541" s="127"/>
      <c r="E541" s="92"/>
      <c r="F541" s="92"/>
      <c r="G541" s="92"/>
      <c r="H541" s="92"/>
      <c r="I541" s="93"/>
    </row>
    <row r="542" spans="1:9" ht="13.5">
      <c r="A542" s="108"/>
      <c r="B542" s="113"/>
      <c r="C542" s="132"/>
      <c r="D542" s="127"/>
      <c r="E542" s="92"/>
      <c r="F542" s="92"/>
      <c r="G542" s="92"/>
      <c r="H542" s="92"/>
      <c r="I542" s="93"/>
    </row>
    <row r="543" spans="1:9" ht="13.5">
      <c r="A543" s="108"/>
      <c r="B543" s="113"/>
      <c r="C543" s="132"/>
      <c r="D543" s="127"/>
      <c r="E543" s="92"/>
      <c r="F543" s="92"/>
      <c r="G543" s="92"/>
      <c r="H543" s="92"/>
      <c r="I543" s="79"/>
    </row>
    <row r="544" spans="1:9" ht="13.5">
      <c r="A544" s="108"/>
      <c r="B544" s="113"/>
      <c r="C544" s="132"/>
      <c r="D544" s="127"/>
      <c r="E544" s="92"/>
      <c r="F544" s="92"/>
      <c r="G544" s="92"/>
      <c r="H544" s="92"/>
      <c r="I544" s="146"/>
    </row>
    <row r="545" spans="1:9" ht="13.5">
      <c r="A545" s="108"/>
      <c r="B545" s="113"/>
      <c r="C545" s="132"/>
      <c r="D545" s="127"/>
      <c r="E545" s="92"/>
      <c r="F545" s="92"/>
      <c r="G545" s="92"/>
      <c r="H545" s="92"/>
      <c r="I545" s="146"/>
    </row>
    <row r="546" spans="1:9" ht="13.5">
      <c r="A546" s="108"/>
      <c r="B546" s="113"/>
      <c r="C546" s="132"/>
      <c r="D546" s="127"/>
      <c r="E546" s="92"/>
      <c r="F546" s="92"/>
      <c r="G546" s="92"/>
      <c r="H546" s="92"/>
      <c r="I546" s="146"/>
    </row>
    <row r="547" spans="1:9" ht="13.5">
      <c r="A547" s="108"/>
      <c r="B547" s="113"/>
      <c r="C547" s="132"/>
      <c r="D547" s="127"/>
      <c r="E547" s="92"/>
      <c r="F547" s="92"/>
      <c r="G547" s="92"/>
      <c r="H547" s="92"/>
      <c r="I547" s="146"/>
    </row>
    <row r="548" spans="1:9" ht="13.5">
      <c r="A548" s="108"/>
      <c r="B548" s="113"/>
      <c r="C548" s="132"/>
      <c r="D548" s="127"/>
      <c r="E548" s="92"/>
      <c r="F548" s="92"/>
      <c r="G548" s="92"/>
      <c r="H548" s="92"/>
      <c r="I548" s="146"/>
    </row>
    <row r="549" spans="1:9" ht="13.5">
      <c r="A549" s="108"/>
      <c r="B549" s="113"/>
      <c r="C549" s="132"/>
      <c r="D549" s="127"/>
      <c r="E549" s="92"/>
      <c r="F549" s="92"/>
      <c r="G549" s="92"/>
      <c r="H549" s="92"/>
      <c r="I549" s="146"/>
    </row>
    <row r="550" spans="1:9" ht="13.5">
      <c r="A550" s="108"/>
      <c r="B550" s="113"/>
      <c r="C550" s="132"/>
      <c r="D550" s="127"/>
      <c r="E550" s="92"/>
      <c r="F550" s="92"/>
      <c r="G550" s="92"/>
      <c r="H550" s="92"/>
      <c r="I550" s="146"/>
    </row>
    <row r="551" spans="1:9" ht="13.5">
      <c r="A551" s="108"/>
      <c r="B551" s="113"/>
      <c r="C551" s="132"/>
      <c r="D551" s="127"/>
      <c r="E551" s="92"/>
      <c r="F551" s="92"/>
      <c r="G551" s="92"/>
      <c r="H551" s="92"/>
      <c r="I551" s="146"/>
    </row>
    <row r="552" spans="1:9" ht="13.5">
      <c r="A552" s="108"/>
      <c r="B552" s="113"/>
      <c r="C552" s="132"/>
      <c r="D552" s="127"/>
      <c r="E552" s="92"/>
      <c r="F552" s="92"/>
      <c r="G552" s="92"/>
      <c r="H552" s="92"/>
      <c r="I552" s="146"/>
    </row>
    <row r="553" spans="1:9" ht="13.5">
      <c r="A553" s="108"/>
      <c r="B553" s="113"/>
      <c r="C553" s="132"/>
      <c r="D553" s="127"/>
      <c r="E553" s="92"/>
      <c r="F553" s="92"/>
      <c r="G553" s="92"/>
      <c r="H553" s="92"/>
      <c r="I553" s="146"/>
    </row>
    <row r="554" spans="1:9" ht="13.5">
      <c r="A554" s="108"/>
      <c r="B554" s="113"/>
      <c r="C554" s="132"/>
      <c r="D554" s="127"/>
      <c r="E554" s="92"/>
      <c r="F554" s="92"/>
      <c r="G554" s="92"/>
      <c r="H554" s="92"/>
      <c r="I554" s="146"/>
    </row>
    <row r="555" spans="1:9" ht="13.5">
      <c r="A555" s="108"/>
      <c r="B555" s="113"/>
      <c r="C555" s="132"/>
      <c r="D555" s="127"/>
      <c r="E555" s="92"/>
      <c r="F555" s="92"/>
      <c r="G555" s="92"/>
      <c r="H555" s="92"/>
      <c r="I555" s="146"/>
    </row>
    <row r="556" spans="1:9" ht="13.5">
      <c r="A556" s="108"/>
      <c r="B556" s="113"/>
      <c r="C556" s="132"/>
      <c r="D556" s="127"/>
      <c r="E556" s="92"/>
      <c r="F556" s="92"/>
      <c r="G556" s="92"/>
      <c r="H556" s="92"/>
      <c r="I556" s="146"/>
    </row>
    <row r="557" spans="1:9" ht="13.5">
      <c r="A557" s="108"/>
      <c r="B557" s="113"/>
      <c r="C557" s="132"/>
      <c r="D557" s="127"/>
      <c r="E557" s="92"/>
      <c r="F557" s="92"/>
      <c r="G557" s="92"/>
      <c r="H557" s="92"/>
      <c r="I557" s="146"/>
    </row>
    <row r="558" spans="1:9" ht="13.5">
      <c r="A558" s="108"/>
      <c r="B558" s="113"/>
      <c r="C558" s="132"/>
      <c r="D558" s="127"/>
      <c r="E558" s="92"/>
      <c r="F558" s="92"/>
      <c r="G558" s="92"/>
      <c r="H558" s="92"/>
      <c r="I558" s="146"/>
    </row>
    <row r="559" spans="1:9" ht="13.5">
      <c r="A559" s="108"/>
      <c r="B559" s="113"/>
      <c r="C559" s="132"/>
      <c r="D559" s="127"/>
      <c r="E559" s="92"/>
      <c r="F559" s="92"/>
      <c r="G559" s="92"/>
      <c r="H559" s="92"/>
      <c r="I559" s="146"/>
    </row>
    <row r="560" spans="1:9" ht="13.5">
      <c r="A560" s="108"/>
      <c r="B560" s="113"/>
      <c r="C560" s="132"/>
      <c r="D560" s="127"/>
      <c r="E560" s="92"/>
      <c r="F560" s="92"/>
      <c r="G560" s="92"/>
      <c r="H560" s="92"/>
      <c r="I560" s="146"/>
    </row>
    <row r="561" spans="1:9" ht="13.5">
      <c r="A561" s="108"/>
      <c r="B561" s="113"/>
      <c r="C561" s="132"/>
      <c r="D561" s="127"/>
      <c r="E561" s="92"/>
      <c r="F561" s="92"/>
      <c r="G561" s="92"/>
      <c r="H561" s="92"/>
      <c r="I561" s="146"/>
    </row>
    <row r="562" spans="1:9" ht="13.5">
      <c r="A562" s="108"/>
      <c r="B562" s="113"/>
      <c r="C562" s="132"/>
      <c r="D562" s="127"/>
      <c r="E562" s="92"/>
      <c r="F562" s="92"/>
      <c r="G562" s="92"/>
      <c r="H562" s="92"/>
      <c r="I562" s="146"/>
    </row>
    <row r="563" spans="1:9" ht="13.5">
      <c r="A563" s="108"/>
      <c r="B563" s="113"/>
      <c r="C563" s="132"/>
      <c r="D563" s="127"/>
      <c r="E563" s="92"/>
      <c r="F563" s="92"/>
      <c r="G563" s="92"/>
      <c r="H563" s="92"/>
      <c r="I563" s="146"/>
    </row>
    <row r="564" spans="1:9" ht="13.5">
      <c r="A564" s="108"/>
      <c r="B564" s="113"/>
      <c r="C564" s="132"/>
      <c r="D564" s="127"/>
      <c r="E564" s="92"/>
      <c r="F564" s="92"/>
      <c r="G564" s="92"/>
      <c r="H564" s="92"/>
      <c r="I564" s="146"/>
    </row>
    <row r="565" spans="1:9" ht="13.5">
      <c r="A565" s="108"/>
      <c r="B565" s="113"/>
      <c r="C565" s="132"/>
      <c r="D565" s="127"/>
      <c r="E565" s="92"/>
      <c r="F565" s="92"/>
      <c r="G565" s="92"/>
      <c r="H565" s="92"/>
      <c r="I565" s="146"/>
    </row>
    <row r="566" spans="1:9" ht="13.5">
      <c r="A566" s="108"/>
      <c r="B566" s="113"/>
      <c r="C566" s="132"/>
      <c r="D566" s="127"/>
      <c r="E566" s="92"/>
      <c r="F566" s="92"/>
      <c r="G566" s="92"/>
      <c r="H566" s="92"/>
      <c r="I566" s="146"/>
    </row>
    <row r="567" spans="1:9" ht="13.5">
      <c r="A567" s="108"/>
      <c r="B567" s="113"/>
      <c r="C567" s="132"/>
      <c r="D567" s="127"/>
      <c r="E567" s="92"/>
      <c r="F567" s="92"/>
      <c r="G567" s="92"/>
      <c r="H567" s="92"/>
      <c r="I567" s="146"/>
    </row>
    <row r="568" spans="1:9" ht="13.5">
      <c r="A568" s="108"/>
      <c r="B568" s="113"/>
      <c r="C568" s="132"/>
      <c r="D568" s="127"/>
      <c r="E568" s="92"/>
      <c r="F568" s="92"/>
      <c r="G568" s="92"/>
      <c r="H568" s="92"/>
      <c r="I568" s="146"/>
    </row>
    <row r="569" spans="1:9" ht="13.5">
      <c r="A569" s="108"/>
      <c r="B569" s="113"/>
      <c r="C569" s="132"/>
      <c r="D569" s="127"/>
      <c r="E569" s="92"/>
      <c r="F569" s="92"/>
      <c r="G569" s="92"/>
      <c r="H569" s="92"/>
      <c r="I569" s="146"/>
    </row>
    <row r="570" spans="1:9" ht="13.5">
      <c r="A570" s="108"/>
      <c r="B570" s="113"/>
      <c r="C570" s="132"/>
      <c r="D570" s="127"/>
      <c r="E570" s="92"/>
      <c r="F570" s="92"/>
      <c r="G570" s="92"/>
      <c r="H570" s="92"/>
      <c r="I570" s="146"/>
    </row>
    <row r="571" spans="1:9" ht="13.5">
      <c r="A571" s="108"/>
      <c r="B571" s="113"/>
      <c r="C571" s="132"/>
      <c r="D571" s="127"/>
      <c r="E571" s="92"/>
      <c r="F571" s="92"/>
      <c r="G571" s="92"/>
      <c r="H571" s="92"/>
      <c r="I571" s="146"/>
    </row>
    <row r="572" spans="1:9" ht="13.5">
      <c r="A572" s="108"/>
      <c r="B572" s="113"/>
      <c r="C572" s="132"/>
      <c r="D572" s="127"/>
      <c r="E572" s="92"/>
      <c r="F572" s="92"/>
      <c r="G572" s="92"/>
      <c r="H572" s="92"/>
      <c r="I572" s="146"/>
    </row>
    <row r="573" spans="1:9" ht="13.5">
      <c r="A573" s="108"/>
      <c r="B573" s="113"/>
      <c r="C573" s="132"/>
      <c r="D573" s="127"/>
      <c r="E573" s="92"/>
      <c r="F573" s="92"/>
      <c r="G573" s="92"/>
      <c r="H573" s="92"/>
      <c r="I573" s="146"/>
    </row>
    <row r="574" spans="1:9" ht="13.5">
      <c r="A574" s="108"/>
      <c r="B574" s="113"/>
      <c r="C574" s="132"/>
      <c r="D574" s="127"/>
      <c r="E574" s="92"/>
      <c r="F574" s="92"/>
      <c r="G574" s="92"/>
      <c r="H574" s="92"/>
      <c r="I574" s="146"/>
    </row>
    <row r="575" spans="1:9" ht="13.5">
      <c r="A575" s="108"/>
      <c r="B575" s="102"/>
      <c r="C575" s="67"/>
      <c r="D575" s="123"/>
      <c r="E575" s="51"/>
      <c r="F575" s="51"/>
      <c r="G575" s="92"/>
      <c r="H575" s="92"/>
      <c r="I575" s="146"/>
    </row>
    <row r="576" spans="1:9" ht="13.5">
      <c r="A576" s="108"/>
      <c r="B576" s="113"/>
      <c r="C576" s="132"/>
      <c r="D576" s="127"/>
      <c r="E576" s="92"/>
      <c r="F576" s="92"/>
      <c r="G576" s="92"/>
      <c r="H576" s="92"/>
      <c r="I576" s="146"/>
    </row>
    <row r="577" spans="1:9" ht="13.5">
      <c r="A577" s="108"/>
      <c r="B577" s="113"/>
      <c r="C577" s="132"/>
      <c r="D577" s="127"/>
      <c r="E577" s="92"/>
      <c r="F577" s="92"/>
      <c r="G577" s="92"/>
      <c r="H577" s="92"/>
      <c r="I577" s="146"/>
    </row>
    <row r="578" spans="1:9" ht="13.5">
      <c r="A578" s="108"/>
      <c r="B578" s="102"/>
      <c r="C578" s="132"/>
      <c r="D578" s="127"/>
      <c r="E578" s="92"/>
      <c r="F578" s="92"/>
      <c r="G578" s="92"/>
      <c r="H578" s="92"/>
      <c r="I578" s="146"/>
    </row>
    <row r="579" spans="1:9" ht="13.5">
      <c r="A579" s="108"/>
      <c r="B579" s="157"/>
      <c r="C579" s="132"/>
      <c r="D579" s="127"/>
      <c r="E579" s="92"/>
      <c r="F579" s="92"/>
      <c r="G579" s="92"/>
      <c r="H579" s="92"/>
      <c r="I579" s="146"/>
    </row>
    <row r="580" spans="1:9" ht="13.5">
      <c r="A580" s="108"/>
      <c r="B580" s="157"/>
      <c r="C580" s="132"/>
      <c r="D580" s="127"/>
      <c r="E580" s="92"/>
      <c r="F580" s="92"/>
      <c r="G580" s="92"/>
      <c r="H580" s="92"/>
      <c r="I580" s="146"/>
    </row>
    <row r="581" spans="1:9" ht="13.5">
      <c r="A581" s="108"/>
      <c r="B581" s="157"/>
      <c r="C581" s="132"/>
      <c r="D581" s="127"/>
      <c r="E581" s="92"/>
      <c r="F581" s="92"/>
      <c r="G581" s="92"/>
      <c r="H581" s="92"/>
      <c r="I581" s="146"/>
    </row>
    <row r="582" spans="1:9" ht="13.5">
      <c r="A582" s="108"/>
      <c r="B582" s="113"/>
      <c r="C582" s="132"/>
      <c r="D582" s="127"/>
      <c r="E582" s="92"/>
      <c r="F582" s="92"/>
      <c r="G582" s="92"/>
      <c r="H582" s="92"/>
      <c r="I582" s="93"/>
    </row>
    <row r="583" spans="1:9" ht="13.5">
      <c r="A583" s="108"/>
      <c r="B583" s="105"/>
      <c r="C583" s="75"/>
      <c r="D583" s="121"/>
      <c r="E583" s="85"/>
      <c r="F583" s="74"/>
      <c r="G583" s="50"/>
      <c r="H583" s="50"/>
      <c r="I583" s="51"/>
    </row>
    <row r="584" spans="1:9" ht="13.5">
      <c r="A584" s="108"/>
      <c r="B584" s="113"/>
      <c r="C584" s="132"/>
      <c r="D584" s="127"/>
      <c r="E584" s="92"/>
      <c r="F584" s="92"/>
      <c r="G584" s="92"/>
      <c r="H584" s="92"/>
      <c r="I584" s="93"/>
    </row>
    <row r="585" spans="1:9" ht="13.5">
      <c r="A585" s="108"/>
      <c r="B585" s="113"/>
      <c r="C585" s="132"/>
      <c r="D585" s="127"/>
      <c r="E585" s="92"/>
      <c r="F585" s="92"/>
      <c r="G585" s="92"/>
      <c r="H585" s="92"/>
      <c r="I585" s="93"/>
    </row>
    <row r="586" spans="1:9" ht="13.5">
      <c r="A586" s="108"/>
      <c r="B586" s="113"/>
      <c r="C586" s="132"/>
      <c r="D586" s="127"/>
      <c r="E586" s="92"/>
      <c r="F586" s="92"/>
      <c r="G586" s="92"/>
      <c r="H586" s="92"/>
      <c r="I586" s="93"/>
    </row>
    <row r="587" spans="1:9" ht="13.5">
      <c r="A587" s="108"/>
      <c r="B587" s="113"/>
      <c r="C587" s="132"/>
      <c r="D587" s="127"/>
      <c r="E587" s="92"/>
      <c r="F587" s="92"/>
      <c r="G587" s="92"/>
      <c r="H587" s="92"/>
      <c r="I587" s="93"/>
    </row>
    <row r="588" spans="1:9" ht="13.5">
      <c r="A588" s="108"/>
      <c r="B588" s="108"/>
      <c r="C588" s="132"/>
      <c r="D588" s="127"/>
      <c r="E588" s="92"/>
      <c r="F588" s="92"/>
      <c r="G588" s="92"/>
      <c r="H588" s="92"/>
      <c r="I588" s="93"/>
    </row>
    <row r="589" spans="1:9" ht="13.5">
      <c r="A589" s="108"/>
      <c r="B589" s="108"/>
      <c r="C589" s="132"/>
      <c r="D589" s="127"/>
      <c r="E589" s="92"/>
      <c r="F589" s="92"/>
      <c r="G589" s="92"/>
      <c r="H589" s="92"/>
      <c r="I589" s="93"/>
    </row>
    <row r="590" spans="1:9" ht="13.5">
      <c r="A590" s="108"/>
      <c r="B590" s="108"/>
      <c r="C590" s="132"/>
      <c r="D590" s="127"/>
      <c r="E590" s="92"/>
      <c r="F590" s="92"/>
      <c r="G590" s="92"/>
      <c r="H590" s="92"/>
      <c r="I590" s="93"/>
    </row>
    <row r="591" spans="1:9" ht="13.5">
      <c r="A591" s="108"/>
      <c r="B591" s="108"/>
      <c r="C591" s="132"/>
      <c r="D591" s="127"/>
      <c r="E591" s="92"/>
      <c r="F591" s="92"/>
      <c r="G591" s="92"/>
      <c r="H591" s="92"/>
      <c r="I591" s="93"/>
    </row>
    <row r="592" spans="1:9" ht="13.5">
      <c r="A592" s="108"/>
      <c r="B592" s="108"/>
      <c r="C592" s="132"/>
      <c r="D592" s="127"/>
      <c r="E592" s="92"/>
      <c r="F592" s="92"/>
      <c r="G592" s="92"/>
      <c r="H592" s="92"/>
      <c r="I592" s="93"/>
    </row>
    <row r="593" spans="1:9" ht="13.5">
      <c r="A593" s="108"/>
      <c r="B593" s="108"/>
      <c r="C593" s="132"/>
      <c r="D593" s="127"/>
      <c r="E593" s="92"/>
      <c r="F593" s="92"/>
      <c r="G593" s="92"/>
      <c r="H593" s="92"/>
      <c r="I593" s="93"/>
    </row>
    <row r="594" spans="1:9" ht="13.5">
      <c r="A594" s="108"/>
      <c r="B594" s="108"/>
      <c r="C594" s="132"/>
      <c r="D594" s="127"/>
      <c r="E594" s="92"/>
      <c r="F594" s="92"/>
      <c r="G594" s="92"/>
      <c r="H594" s="92"/>
      <c r="I594" s="93"/>
    </row>
    <row r="595" spans="1:9" ht="13.5">
      <c r="A595" s="108"/>
      <c r="B595" s="108"/>
      <c r="C595" s="132"/>
      <c r="D595" s="127"/>
      <c r="E595" s="92"/>
      <c r="F595" s="92"/>
      <c r="G595" s="92"/>
      <c r="H595" s="92"/>
      <c r="I595" s="93"/>
    </row>
    <row r="596" spans="1:9" ht="13.5">
      <c r="A596" s="108"/>
      <c r="B596" s="108"/>
      <c r="C596" s="132"/>
      <c r="D596" s="127"/>
      <c r="E596" s="92"/>
      <c r="F596" s="92"/>
      <c r="G596" s="92"/>
      <c r="H596" s="92"/>
      <c r="I596" s="93"/>
    </row>
    <row r="597" spans="1:9" ht="13.5">
      <c r="A597" s="108"/>
      <c r="B597" s="113"/>
      <c r="C597" s="132"/>
      <c r="D597" s="127"/>
      <c r="E597" s="92"/>
      <c r="F597" s="92"/>
      <c r="G597" s="92"/>
      <c r="H597" s="92"/>
      <c r="I597" s="93"/>
    </row>
    <row r="598" spans="1:9" ht="13.5">
      <c r="A598" s="108"/>
      <c r="B598" s="113"/>
      <c r="C598" s="132"/>
      <c r="D598" s="127"/>
      <c r="E598" s="92"/>
      <c r="F598" s="92"/>
      <c r="G598" s="92"/>
      <c r="H598" s="92"/>
      <c r="I598" s="93"/>
    </row>
    <row r="599" spans="1:9" ht="13.5">
      <c r="A599" s="108"/>
      <c r="B599" s="113"/>
      <c r="C599" s="92"/>
      <c r="D599" s="127"/>
      <c r="E599" s="92"/>
      <c r="F599" s="92"/>
      <c r="G599" s="92"/>
      <c r="H599" s="92"/>
      <c r="I599" s="93"/>
    </row>
    <row r="600" spans="1:9" ht="13.5">
      <c r="A600" s="108"/>
      <c r="B600" s="113"/>
      <c r="C600" s="92"/>
      <c r="D600" s="127"/>
      <c r="E600" s="92"/>
      <c r="F600" s="92"/>
      <c r="G600" s="92"/>
      <c r="H600" s="92"/>
      <c r="I600" s="93"/>
    </row>
    <row r="601" spans="1:9" ht="13.5">
      <c r="A601" s="108"/>
      <c r="B601" s="113"/>
      <c r="C601" s="92"/>
      <c r="D601" s="127"/>
      <c r="E601" s="92"/>
      <c r="F601" s="92"/>
      <c r="G601" s="92"/>
      <c r="H601" s="92"/>
      <c r="I601" s="93"/>
    </row>
    <row r="602" spans="1:9" ht="13.5">
      <c r="A602" s="108"/>
      <c r="B602" s="113"/>
      <c r="C602" s="132"/>
      <c r="D602" s="127"/>
      <c r="E602" s="92"/>
      <c r="F602" s="92"/>
      <c r="G602" s="92"/>
      <c r="H602" s="92"/>
      <c r="I602" s="93"/>
    </row>
    <row r="603" spans="1:9" ht="13.5">
      <c r="A603" s="108"/>
      <c r="B603" s="113"/>
      <c r="C603" s="132"/>
      <c r="D603" s="127"/>
      <c r="E603" s="92"/>
      <c r="F603" s="92"/>
      <c r="G603" s="92"/>
      <c r="H603" s="92"/>
      <c r="I603" s="93"/>
    </row>
    <row r="604" spans="1:9" ht="13.5">
      <c r="A604" s="108"/>
      <c r="B604" s="113"/>
      <c r="C604" s="132"/>
      <c r="D604" s="127"/>
      <c r="E604" s="92"/>
      <c r="F604" s="92"/>
      <c r="G604" s="92"/>
      <c r="H604" s="92"/>
      <c r="I604" s="93"/>
    </row>
    <row r="605" spans="1:9" ht="13.5">
      <c r="A605" s="108"/>
      <c r="B605" s="113"/>
      <c r="C605" s="132"/>
      <c r="D605" s="127"/>
      <c r="E605" s="92"/>
      <c r="F605" s="92"/>
      <c r="G605" s="92"/>
      <c r="H605" s="92"/>
      <c r="I605" s="93"/>
    </row>
    <row r="606" spans="1:9" ht="13.5">
      <c r="A606" s="108"/>
      <c r="B606" s="113"/>
      <c r="C606" s="132"/>
      <c r="D606" s="127"/>
      <c r="E606" s="92"/>
      <c r="F606" s="92"/>
      <c r="G606" s="92"/>
      <c r="H606" s="92"/>
      <c r="I606" s="93"/>
    </row>
    <row r="607" spans="1:9" ht="13.5">
      <c r="A607" s="108"/>
      <c r="B607" s="113"/>
      <c r="C607" s="132"/>
      <c r="D607" s="127"/>
      <c r="E607" s="92"/>
      <c r="F607" s="92"/>
      <c r="G607" s="92"/>
      <c r="H607" s="92"/>
      <c r="I607" s="93"/>
    </row>
    <row r="608" spans="1:9" ht="13.5">
      <c r="A608" s="108"/>
      <c r="B608" s="113"/>
      <c r="C608" s="132"/>
      <c r="D608" s="127"/>
      <c r="E608" s="92"/>
      <c r="F608" s="92"/>
      <c r="G608" s="92"/>
      <c r="H608" s="92"/>
      <c r="I608" s="93"/>
    </row>
    <row r="609" spans="1:9" ht="13.5">
      <c r="A609" s="108"/>
      <c r="B609" s="113"/>
      <c r="C609" s="132"/>
      <c r="D609" s="127"/>
      <c r="E609" s="92"/>
      <c r="F609" s="92"/>
      <c r="G609" s="92"/>
      <c r="H609" s="92"/>
      <c r="I609" s="93"/>
    </row>
    <row r="610" spans="1:9" ht="13.5">
      <c r="A610" s="108"/>
      <c r="B610" s="113"/>
      <c r="C610" s="132"/>
      <c r="D610" s="127"/>
      <c r="E610" s="92"/>
      <c r="F610" s="92"/>
      <c r="G610" s="92"/>
      <c r="H610" s="92"/>
      <c r="I610" s="93"/>
    </row>
    <row r="611" spans="1:9" ht="13.5">
      <c r="A611" s="108"/>
      <c r="B611" s="113"/>
      <c r="C611" s="132"/>
      <c r="D611" s="127"/>
      <c r="E611" s="92"/>
      <c r="F611" s="92"/>
      <c r="G611" s="92"/>
      <c r="H611" s="92"/>
      <c r="I611" s="93"/>
    </row>
    <row r="612" spans="1:9" ht="13.5">
      <c r="A612" s="108"/>
      <c r="B612" s="113"/>
      <c r="C612" s="132"/>
      <c r="D612" s="127"/>
      <c r="E612" s="92"/>
      <c r="F612" s="92"/>
      <c r="G612" s="92"/>
      <c r="H612" s="92"/>
      <c r="I612" s="93"/>
    </row>
    <row r="613" spans="1:9" ht="13.5">
      <c r="A613" s="108"/>
      <c r="B613" s="102"/>
      <c r="C613" s="67"/>
      <c r="D613" s="59"/>
      <c r="E613" s="73"/>
      <c r="F613" s="51"/>
      <c r="G613" s="50"/>
      <c r="H613" s="50"/>
      <c r="I613" s="51"/>
    </row>
    <row r="614" spans="1:9" ht="13.5">
      <c r="A614" s="108"/>
      <c r="B614" s="113"/>
      <c r="C614" s="92"/>
      <c r="D614" s="127"/>
      <c r="E614" s="92"/>
      <c r="F614" s="92"/>
      <c r="G614" s="92"/>
      <c r="H614" s="92"/>
      <c r="I614" s="93"/>
    </row>
    <row r="615" spans="1:9" ht="13.5">
      <c r="A615" s="108"/>
      <c r="B615" s="113"/>
      <c r="C615" s="92"/>
      <c r="D615" s="127"/>
      <c r="E615" s="92"/>
      <c r="F615" s="92"/>
      <c r="G615" s="92"/>
      <c r="H615" s="92"/>
      <c r="I615" s="93"/>
    </row>
    <row r="616" spans="1:9" ht="13.5">
      <c r="A616" s="108"/>
      <c r="B616" s="107"/>
      <c r="C616" s="41"/>
      <c r="D616" s="64"/>
      <c r="E616" s="41"/>
      <c r="F616" s="41"/>
      <c r="G616" s="41"/>
      <c r="H616" s="92"/>
      <c r="I616" s="93"/>
    </row>
    <row r="617" spans="1:9" ht="13.5">
      <c r="A617" s="108"/>
      <c r="B617" s="107"/>
      <c r="C617" s="147"/>
      <c r="D617" s="64"/>
      <c r="E617" s="41"/>
      <c r="F617" s="41"/>
      <c r="G617" s="41"/>
      <c r="H617" s="92"/>
      <c r="I617" s="93"/>
    </row>
    <row r="618" spans="1:9" ht="13.5">
      <c r="A618" s="108"/>
      <c r="B618" s="107"/>
      <c r="C618" s="147"/>
      <c r="D618" s="64"/>
      <c r="E618" s="41"/>
      <c r="F618" s="41"/>
      <c r="G618" s="41"/>
      <c r="H618" s="92"/>
      <c r="I618" s="93"/>
    </row>
    <row r="619" spans="1:9" ht="13.5">
      <c r="A619" s="108"/>
      <c r="B619" s="107"/>
      <c r="C619" s="147"/>
      <c r="D619" s="64"/>
      <c r="E619" s="41"/>
      <c r="F619" s="41"/>
      <c r="G619" s="41"/>
      <c r="H619" s="92"/>
      <c r="I619" s="93"/>
    </row>
    <row r="620" spans="1:9" ht="13.5">
      <c r="A620" s="108"/>
      <c r="B620" s="107"/>
      <c r="C620" s="147"/>
      <c r="D620" s="64"/>
      <c r="E620" s="41"/>
      <c r="F620" s="41"/>
      <c r="G620" s="41"/>
      <c r="H620" s="92"/>
      <c r="I620" s="93"/>
    </row>
    <row r="621" spans="1:9" ht="13.5">
      <c r="A621" s="108"/>
      <c r="B621" s="107"/>
      <c r="C621" s="147"/>
      <c r="D621" s="64"/>
      <c r="E621" s="41"/>
      <c r="F621" s="41"/>
      <c r="G621" s="41"/>
      <c r="H621" s="92"/>
      <c r="I621" s="93"/>
    </row>
    <row r="622" spans="1:9" ht="13.5">
      <c r="A622" s="108"/>
      <c r="B622" s="107"/>
      <c r="C622" s="147"/>
      <c r="D622" s="64"/>
      <c r="E622" s="41"/>
      <c r="F622" s="41"/>
      <c r="G622" s="41"/>
      <c r="H622" s="92"/>
      <c r="I622" s="93"/>
    </row>
    <row r="623" spans="1:9" ht="13.5">
      <c r="A623" s="108"/>
      <c r="B623" s="107"/>
      <c r="C623" s="147"/>
      <c r="D623" s="64"/>
      <c r="E623" s="41"/>
      <c r="F623" s="41"/>
      <c r="G623" s="41"/>
      <c r="H623" s="92"/>
      <c r="I623" s="93"/>
    </row>
    <row r="624" spans="1:9" ht="13.5">
      <c r="A624" s="108"/>
      <c r="B624" s="107"/>
      <c r="C624" s="147"/>
      <c r="D624" s="64"/>
      <c r="E624" s="41"/>
      <c r="F624" s="41"/>
      <c r="G624" s="41"/>
      <c r="H624" s="92"/>
      <c r="I624" s="93"/>
    </row>
    <row r="625" spans="1:9" ht="13.5">
      <c r="A625" s="108"/>
      <c r="B625" s="107"/>
      <c r="C625" s="147"/>
      <c r="D625" s="64"/>
      <c r="E625" s="41"/>
      <c r="F625" s="41"/>
      <c r="G625" s="41"/>
      <c r="H625" s="92"/>
      <c r="I625" s="93"/>
    </row>
    <row r="626" spans="1:9" ht="13.5">
      <c r="A626" s="108"/>
      <c r="B626" s="107"/>
      <c r="C626" s="147"/>
      <c r="D626" s="64"/>
      <c r="E626" s="41"/>
      <c r="F626" s="41"/>
      <c r="G626" s="41"/>
      <c r="H626" s="92"/>
      <c r="I626" s="93"/>
    </row>
    <row r="627" spans="1:9" ht="13.5">
      <c r="A627" s="108"/>
      <c r="B627" s="107"/>
      <c r="C627" s="147"/>
      <c r="D627" s="64"/>
      <c r="E627" s="41"/>
      <c r="F627" s="41"/>
      <c r="G627" s="41"/>
      <c r="H627" s="92"/>
      <c r="I627" s="93"/>
    </row>
    <row r="628" spans="1:9" ht="13.5">
      <c r="A628" s="108"/>
      <c r="B628" s="107"/>
      <c r="C628" s="147"/>
      <c r="D628" s="64"/>
      <c r="E628" s="41"/>
      <c r="F628" s="41"/>
      <c r="G628" s="41"/>
      <c r="H628" s="92"/>
      <c r="I628" s="93"/>
    </row>
    <row r="629" spans="1:9" ht="13.5">
      <c r="A629" s="108"/>
      <c r="B629" s="107"/>
      <c r="C629" s="147"/>
      <c r="D629" s="64"/>
      <c r="E629" s="41"/>
      <c r="F629" s="41"/>
      <c r="G629" s="41"/>
      <c r="H629" s="92"/>
      <c r="I629" s="93"/>
    </row>
    <row r="630" spans="1:9" ht="13.5">
      <c r="A630" s="108"/>
      <c r="B630" s="107"/>
      <c r="C630" s="147"/>
      <c r="D630" s="64"/>
      <c r="E630" s="41"/>
      <c r="F630" s="41"/>
      <c r="G630" s="41"/>
      <c r="H630" s="92"/>
      <c r="I630" s="93"/>
    </row>
    <row r="631" spans="1:9" ht="13.5">
      <c r="A631" s="108"/>
      <c r="B631" s="107"/>
      <c r="C631" s="41"/>
      <c r="D631" s="64"/>
      <c r="E631" s="41"/>
      <c r="F631" s="41"/>
      <c r="G631" s="41"/>
      <c r="H631" s="92"/>
      <c r="I631" s="93"/>
    </row>
    <row r="632" spans="1:9" ht="13.5">
      <c r="A632" s="108"/>
      <c r="B632" s="107"/>
      <c r="C632" s="41"/>
      <c r="D632" s="64"/>
      <c r="E632" s="41"/>
      <c r="F632" s="41"/>
      <c r="G632" s="41"/>
      <c r="H632" s="92"/>
      <c r="I632" s="93"/>
    </row>
    <row r="633" spans="1:9" ht="13.5">
      <c r="A633" s="108"/>
      <c r="B633" s="107"/>
      <c r="C633" s="41"/>
      <c r="D633" s="64"/>
      <c r="E633" s="41"/>
      <c r="F633" s="41"/>
      <c r="G633" s="41"/>
      <c r="H633" s="92"/>
      <c r="I633" s="93"/>
    </row>
    <row r="634" spans="1:9" ht="13.5">
      <c r="A634" s="108"/>
      <c r="B634" s="107"/>
      <c r="C634" s="41"/>
      <c r="D634" s="64"/>
      <c r="E634" s="41"/>
      <c r="F634" s="41"/>
      <c r="G634" s="41"/>
      <c r="H634" s="92"/>
      <c r="I634" s="93"/>
    </row>
    <row r="635" spans="1:9" ht="13.5">
      <c r="A635" s="108"/>
      <c r="B635" s="107"/>
      <c r="C635" s="41"/>
      <c r="D635" s="64"/>
      <c r="E635" s="41"/>
      <c r="F635" s="41"/>
      <c r="G635" s="41"/>
      <c r="H635" s="92"/>
      <c r="I635" s="93"/>
    </row>
    <row r="636" spans="1:9" ht="13.5">
      <c r="A636" s="108"/>
      <c r="B636" s="107"/>
      <c r="C636" s="41"/>
      <c r="D636" s="64"/>
      <c r="E636" s="41"/>
      <c r="F636" s="41"/>
      <c r="G636" s="41"/>
      <c r="H636" s="92"/>
      <c r="I636" s="93"/>
    </row>
    <row r="637" spans="1:9" ht="13.5">
      <c r="A637" s="108"/>
      <c r="B637" s="107"/>
      <c r="C637" s="41"/>
      <c r="D637" s="64"/>
      <c r="E637" s="41"/>
      <c r="F637" s="41"/>
      <c r="G637" s="41"/>
      <c r="H637" s="92"/>
      <c r="I637" s="93"/>
    </row>
    <row r="638" spans="1:9" ht="13.5">
      <c r="A638" s="108"/>
      <c r="B638" s="107"/>
      <c r="C638" s="41"/>
      <c r="D638" s="64"/>
      <c r="E638" s="41"/>
      <c r="F638" s="41"/>
      <c r="G638" s="41"/>
      <c r="H638" s="92"/>
      <c r="I638" s="93"/>
    </row>
    <row r="639" spans="1:9" ht="13.5">
      <c r="A639" s="103"/>
      <c r="B639" s="107"/>
      <c r="C639" s="147"/>
      <c r="D639" s="64"/>
      <c r="E639" s="41"/>
      <c r="F639" s="41"/>
      <c r="G639" s="41"/>
      <c r="H639" s="41"/>
      <c r="I639" s="57"/>
    </row>
    <row r="640" spans="1:9" ht="13.5">
      <c r="A640" s="103"/>
      <c r="B640" s="107"/>
      <c r="C640" s="147"/>
      <c r="D640" s="64"/>
      <c r="E640" s="41"/>
      <c r="F640" s="41"/>
      <c r="G640" s="41"/>
      <c r="H640" s="41"/>
      <c r="I640" s="57"/>
    </row>
    <row r="641" spans="1:9" ht="13.5">
      <c r="A641" s="103"/>
      <c r="B641" s="107"/>
      <c r="C641" s="147"/>
      <c r="D641" s="64"/>
      <c r="E641" s="41"/>
      <c r="F641" s="41"/>
      <c r="G641" s="41"/>
      <c r="H641" s="41"/>
      <c r="I641" s="57"/>
    </row>
    <row r="642" spans="1:9" ht="13.5">
      <c r="A642" s="103"/>
      <c r="B642" s="107"/>
      <c r="C642" s="147"/>
      <c r="D642" s="64"/>
      <c r="E642" s="41"/>
      <c r="F642" s="41"/>
      <c r="G642" s="41"/>
      <c r="H642" s="41"/>
      <c r="I642" s="57"/>
    </row>
    <row r="643" spans="1:9" ht="13.5">
      <c r="A643" s="103"/>
      <c r="B643" s="60"/>
      <c r="C643" s="143"/>
      <c r="D643" s="120"/>
      <c r="E643" s="49"/>
      <c r="F643" s="50"/>
      <c r="G643" s="50"/>
      <c r="H643" s="50"/>
      <c r="I643" s="51"/>
    </row>
    <row r="644" spans="1:9" ht="13.5">
      <c r="A644" s="103"/>
      <c r="B644" s="107"/>
      <c r="C644" s="147"/>
      <c r="D644" s="64"/>
      <c r="E644" s="41"/>
      <c r="F644" s="41"/>
      <c r="G644" s="41"/>
      <c r="H644" s="41"/>
      <c r="I644" s="57"/>
    </row>
    <row r="645" spans="1:9" ht="13.5">
      <c r="A645" s="103"/>
      <c r="B645" s="107"/>
      <c r="C645" s="147"/>
      <c r="D645" s="64"/>
      <c r="E645" s="41"/>
      <c r="F645" s="41"/>
      <c r="G645" s="41"/>
      <c r="H645" s="41"/>
      <c r="I645" s="57"/>
    </row>
    <row r="646" spans="1:9" ht="13.5">
      <c r="A646" s="108"/>
      <c r="B646" s="107"/>
      <c r="C646" s="147"/>
      <c r="D646" s="64"/>
      <c r="E646" s="41"/>
      <c r="F646" s="41"/>
      <c r="G646" s="41"/>
      <c r="H646" s="92"/>
      <c r="I646" s="93"/>
    </row>
    <row r="647" spans="1:9" ht="13.5">
      <c r="A647" s="108"/>
      <c r="B647" s="107"/>
      <c r="C647" s="147"/>
      <c r="D647" s="64"/>
      <c r="E647" s="41"/>
      <c r="F647" s="41"/>
      <c r="G647" s="41"/>
      <c r="H647" s="92"/>
      <c r="I647" s="93"/>
    </row>
    <row r="648" spans="1:9" ht="13.5">
      <c r="A648" s="108"/>
      <c r="B648" s="107"/>
      <c r="C648" s="147"/>
      <c r="D648" s="64"/>
      <c r="E648" s="41"/>
      <c r="F648" s="41"/>
      <c r="G648" s="41"/>
      <c r="H648" s="92"/>
      <c r="I648" s="93"/>
    </row>
    <row r="649" spans="1:9" ht="13.5">
      <c r="A649" s="108"/>
      <c r="B649" s="107"/>
      <c r="C649" s="147"/>
      <c r="D649" s="64"/>
      <c r="E649" s="41"/>
      <c r="F649" s="41"/>
      <c r="G649" s="41"/>
      <c r="H649" s="92"/>
      <c r="I649" s="93"/>
    </row>
    <row r="650" spans="1:9" ht="13.5">
      <c r="A650" s="108"/>
      <c r="B650" s="107"/>
      <c r="C650" s="147"/>
      <c r="D650" s="64"/>
      <c r="E650" s="41"/>
      <c r="F650" s="41"/>
      <c r="G650" s="41"/>
      <c r="H650" s="92"/>
      <c r="I650" s="93"/>
    </row>
    <row r="651" spans="1:9" ht="13.5">
      <c r="A651" s="108"/>
      <c r="B651" s="107"/>
      <c r="C651" s="147"/>
      <c r="D651" s="64"/>
      <c r="E651" s="41"/>
      <c r="F651" s="41"/>
      <c r="G651" s="41"/>
      <c r="H651" s="92"/>
      <c r="I651" s="93"/>
    </row>
    <row r="652" spans="1:9" ht="13.5">
      <c r="A652" s="108"/>
      <c r="B652" s="107"/>
      <c r="C652" s="147"/>
      <c r="D652" s="64"/>
      <c r="E652" s="41"/>
      <c r="F652" s="41"/>
      <c r="G652" s="41"/>
      <c r="H652" s="92"/>
      <c r="I652" s="93"/>
    </row>
    <row r="653" spans="1:9" ht="13.5">
      <c r="A653" s="108"/>
      <c r="B653" s="107"/>
      <c r="C653" s="147"/>
      <c r="D653" s="64"/>
      <c r="E653" s="41"/>
      <c r="F653" s="41"/>
      <c r="G653" s="41"/>
      <c r="H653" s="92"/>
      <c r="I653" s="93"/>
    </row>
    <row r="654" spans="1:9" ht="13.5">
      <c r="A654" s="108"/>
      <c r="B654" s="107"/>
      <c r="C654" s="147"/>
      <c r="D654" s="64"/>
      <c r="E654" s="41"/>
      <c r="F654" s="41"/>
      <c r="G654" s="41"/>
      <c r="H654" s="92"/>
      <c r="I654" s="93"/>
    </row>
    <row r="655" spans="1:9" ht="13.5">
      <c r="A655" s="108"/>
      <c r="B655" s="107"/>
      <c r="C655" s="147"/>
      <c r="D655" s="64"/>
      <c r="E655" s="41"/>
      <c r="F655" s="41"/>
      <c r="G655" s="41"/>
      <c r="H655" s="92"/>
      <c r="I655" s="93"/>
    </row>
    <row r="656" spans="1:9" ht="13.5">
      <c r="A656" s="108"/>
      <c r="B656" s="107"/>
      <c r="C656" s="147"/>
      <c r="D656" s="64"/>
      <c r="E656" s="41"/>
      <c r="F656" s="41"/>
      <c r="G656" s="41"/>
      <c r="H656" s="92"/>
      <c r="I656" s="93"/>
    </row>
    <row r="657" spans="1:9" ht="13.5">
      <c r="A657" s="108"/>
      <c r="B657" s="107"/>
      <c r="C657" s="147"/>
      <c r="D657" s="64"/>
      <c r="E657" s="41"/>
      <c r="F657" s="41"/>
      <c r="G657" s="41"/>
      <c r="H657" s="92"/>
      <c r="I657" s="93"/>
    </row>
    <row r="658" spans="1:9" ht="13.5">
      <c r="A658" s="108"/>
      <c r="B658" s="107"/>
      <c r="C658" s="147"/>
      <c r="D658" s="64"/>
      <c r="E658" s="41"/>
      <c r="F658" s="41"/>
      <c r="G658" s="41"/>
      <c r="H658" s="92"/>
      <c r="I658" s="93"/>
    </row>
    <row r="659" spans="1:9" ht="13.5">
      <c r="A659" s="141"/>
      <c r="B659" s="107"/>
      <c r="C659" s="147"/>
      <c r="D659" s="64"/>
      <c r="E659" s="41"/>
      <c r="F659" s="41"/>
      <c r="G659" s="41"/>
      <c r="H659" s="142"/>
      <c r="I659" s="142"/>
    </row>
    <row r="660" spans="1:9" ht="13.5">
      <c r="A660" s="108"/>
      <c r="B660" s="107"/>
      <c r="C660" s="147"/>
      <c r="D660" s="64"/>
      <c r="E660" s="41"/>
      <c r="F660" s="41"/>
      <c r="G660" s="41"/>
      <c r="H660" s="92"/>
      <c r="I660" s="93"/>
    </row>
    <row r="661" spans="1:9" ht="13.5">
      <c r="A661" s="108"/>
      <c r="B661" s="107"/>
      <c r="C661" s="147"/>
      <c r="D661" s="64"/>
      <c r="E661" s="41"/>
      <c r="F661" s="41"/>
      <c r="G661" s="41"/>
      <c r="H661" s="92"/>
      <c r="I661" s="93"/>
    </row>
    <row r="662" spans="1:9" ht="13.5">
      <c r="A662" s="108"/>
      <c r="B662" s="107"/>
      <c r="C662" s="147"/>
      <c r="D662" s="64"/>
      <c r="E662" s="41"/>
      <c r="F662" s="41"/>
      <c r="G662" s="41"/>
      <c r="H662" s="92"/>
      <c r="I662" s="93"/>
    </row>
    <row r="663" spans="1:9" ht="13.5">
      <c r="A663" s="108"/>
      <c r="B663" s="107"/>
      <c r="C663" s="147"/>
      <c r="D663" s="64"/>
      <c r="E663" s="41"/>
      <c r="F663" s="41"/>
      <c r="G663" s="41"/>
      <c r="H663" s="92"/>
      <c r="I663" s="93"/>
    </row>
    <row r="664" spans="1:9" ht="13.5">
      <c r="A664" s="108"/>
      <c r="B664" s="107"/>
      <c r="C664" s="147"/>
      <c r="D664" s="64"/>
      <c r="E664" s="41"/>
      <c r="F664" s="41"/>
      <c r="G664" s="41"/>
      <c r="H664" s="92"/>
      <c r="I664" s="93"/>
    </row>
    <row r="665" spans="1:9" ht="13.5">
      <c r="A665" s="108"/>
      <c r="B665" s="107"/>
      <c r="C665" s="147"/>
      <c r="D665" s="64"/>
      <c r="E665" s="41"/>
      <c r="F665" s="41"/>
      <c r="G665" s="41"/>
      <c r="H665" s="92"/>
      <c r="I665" s="93"/>
    </row>
    <row r="666" spans="1:9" ht="13.5">
      <c r="A666" s="108"/>
      <c r="B666" s="107"/>
      <c r="C666" s="147"/>
      <c r="D666" s="64"/>
      <c r="E666" s="41"/>
      <c r="F666" s="41"/>
      <c r="G666" s="41"/>
      <c r="H666" s="92"/>
      <c r="I666" s="93"/>
    </row>
    <row r="667" spans="1:9" ht="13.5">
      <c r="A667" s="108"/>
      <c r="B667" s="107"/>
      <c r="C667" s="41"/>
      <c r="D667" s="64"/>
      <c r="E667" s="41"/>
      <c r="F667" s="41"/>
      <c r="G667" s="41"/>
      <c r="H667" s="92"/>
      <c r="I667" s="93"/>
    </row>
    <row r="668" spans="1:9" ht="13.5">
      <c r="A668" s="108"/>
      <c r="B668" s="107"/>
      <c r="C668" s="41"/>
      <c r="D668" s="64"/>
      <c r="E668" s="41"/>
      <c r="F668" s="41"/>
      <c r="G668" s="41"/>
      <c r="H668" s="92"/>
      <c r="I668" s="93"/>
    </row>
    <row r="669" spans="1:9" ht="13.5">
      <c r="A669" s="108"/>
      <c r="B669" s="107"/>
      <c r="C669" s="41"/>
      <c r="D669" s="64"/>
      <c r="E669" s="41"/>
      <c r="F669" s="41"/>
      <c r="G669" s="41"/>
      <c r="H669" s="92"/>
      <c r="I669" s="93"/>
    </row>
    <row r="670" spans="1:9" ht="13.5">
      <c r="A670" s="108"/>
      <c r="B670" s="107"/>
      <c r="C670" s="41"/>
      <c r="D670" s="64"/>
      <c r="E670" s="41"/>
      <c r="F670" s="41"/>
      <c r="G670" s="41"/>
      <c r="H670" s="92"/>
      <c r="I670" s="93"/>
    </row>
    <row r="671" spans="1:9" ht="13.5">
      <c r="A671" s="108"/>
      <c r="B671" s="107"/>
      <c r="C671" s="41"/>
      <c r="D671" s="64"/>
      <c r="E671" s="41"/>
      <c r="F671" s="41"/>
      <c r="G671" s="41"/>
      <c r="H671" s="92"/>
      <c r="I671" s="93"/>
    </row>
    <row r="672" spans="1:9" ht="13.5">
      <c r="A672" s="108"/>
      <c r="B672" s="107"/>
      <c r="C672" s="41"/>
      <c r="D672" s="64"/>
      <c r="E672" s="41"/>
      <c r="F672" s="41"/>
      <c r="G672" s="41"/>
      <c r="H672" s="92"/>
      <c r="I672" s="93"/>
    </row>
    <row r="673" spans="1:9" ht="13.5">
      <c r="A673" s="108"/>
      <c r="B673" s="107"/>
      <c r="C673" s="147"/>
      <c r="D673" s="64"/>
      <c r="E673" s="41"/>
      <c r="F673" s="41"/>
      <c r="G673" s="41"/>
      <c r="H673" s="92"/>
      <c r="I673" s="93"/>
    </row>
    <row r="674" spans="1:9" ht="13.5">
      <c r="A674" s="108"/>
      <c r="B674" s="107"/>
      <c r="C674" s="147"/>
      <c r="D674" s="64"/>
      <c r="E674" s="41"/>
      <c r="F674" s="41"/>
      <c r="G674" s="41"/>
      <c r="H674" s="92"/>
      <c r="I674" s="93"/>
    </row>
    <row r="675" spans="1:9" ht="13.5">
      <c r="A675" s="108"/>
      <c r="B675" s="107"/>
      <c r="C675" s="41"/>
      <c r="D675" s="64"/>
      <c r="E675" s="41"/>
      <c r="F675" s="41"/>
      <c r="G675" s="41"/>
      <c r="H675" s="92"/>
      <c r="I675" s="93"/>
    </row>
    <row r="676" spans="1:9" ht="13.5">
      <c r="A676" s="108"/>
      <c r="B676" s="107"/>
      <c r="C676" s="41"/>
      <c r="D676" s="64"/>
      <c r="E676" s="41"/>
      <c r="F676" s="41"/>
      <c r="G676" s="41"/>
      <c r="H676" s="92"/>
      <c r="I676" s="93"/>
    </row>
    <row r="677" spans="1:9" ht="13.5">
      <c r="A677" s="108"/>
      <c r="B677" s="107"/>
      <c r="C677" s="41"/>
      <c r="D677" s="64"/>
      <c r="E677" s="41"/>
      <c r="F677" s="41"/>
      <c r="G677" s="41"/>
      <c r="H677" s="92"/>
      <c r="I677" s="93"/>
    </row>
    <row r="678" spans="1:9" ht="13.5">
      <c r="A678" s="108"/>
      <c r="B678" s="107"/>
      <c r="C678" s="41"/>
      <c r="D678" s="64"/>
      <c r="E678" s="41"/>
      <c r="F678" s="41"/>
      <c r="G678" s="41"/>
      <c r="H678" s="92"/>
      <c r="I678" s="93"/>
    </row>
    <row r="679" spans="1:9" ht="13.5">
      <c r="A679" s="108"/>
      <c r="B679" s="107"/>
      <c r="C679" s="41"/>
      <c r="D679" s="64"/>
      <c r="E679" s="41"/>
      <c r="F679" s="41"/>
      <c r="G679" s="41"/>
      <c r="H679" s="92"/>
      <c r="I679" s="93"/>
    </row>
    <row r="680" spans="1:9" ht="13.5">
      <c r="A680" s="108"/>
      <c r="B680" s="107"/>
      <c r="C680" s="147"/>
      <c r="D680" s="64"/>
      <c r="E680" s="41"/>
      <c r="F680" s="41"/>
      <c r="G680" s="41"/>
      <c r="H680" s="92"/>
      <c r="I680" s="93"/>
    </row>
    <row r="681" spans="1:9" ht="13.5">
      <c r="A681" s="108"/>
      <c r="B681" s="107"/>
      <c r="C681" s="147"/>
      <c r="D681" s="64"/>
      <c r="E681" s="41"/>
      <c r="F681" s="41"/>
      <c r="G681" s="41"/>
      <c r="H681" s="92"/>
      <c r="I681" s="93"/>
    </row>
    <row r="682" spans="1:9" ht="13.5">
      <c r="A682" s="108"/>
      <c r="B682" s="107"/>
      <c r="C682" s="147"/>
      <c r="D682" s="64"/>
      <c r="E682" s="41"/>
      <c r="F682" s="41"/>
      <c r="G682" s="41"/>
      <c r="H682" s="92"/>
      <c r="I682" s="93"/>
    </row>
    <row r="683" spans="1:9" ht="13.5">
      <c r="A683" s="108"/>
      <c r="B683" s="107"/>
      <c r="C683" s="147"/>
      <c r="D683" s="64"/>
      <c r="E683" s="41"/>
      <c r="F683" s="41"/>
      <c r="G683" s="41"/>
      <c r="H683" s="92"/>
      <c r="I683" s="93"/>
    </row>
    <row r="684" spans="1:9" ht="13.5">
      <c r="A684" s="108"/>
      <c r="B684" s="107"/>
      <c r="C684" s="147"/>
      <c r="D684" s="64"/>
      <c r="E684" s="41"/>
      <c r="F684" s="41"/>
      <c r="G684" s="41"/>
      <c r="H684" s="92"/>
      <c r="I684" s="93"/>
    </row>
    <row r="685" spans="1:9" ht="13.5">
      <c r="A685" s="108"/>
      <c r="B685" s="107"/>
      <c r="C685" s="147"/>
      <c r="D685" s="64"/>
      <c r="E685" s="41"/>
      <c r="F685" s="41"/>
      <c r="G685" s="41"/>
      <c r="H685" s="92"/>
      <c r="I685" s="93"/>
    </row>
    <row r="686" spans="1:9" ht="13.5">
      <c r="A686" s="108"/>
      <c r="B686" s="107"/>
      <c r="C686" s="147"/>
      <c r="D686" s="64"/>
      <c r="E686" s="41"/>
      <c r="F686" s="41"/>
      <c r="G686" s="41"/>
      <c r="H686" s="92"/>
      <c r="I686" s="93"/>
    </row>
    <row r="687" spans="1:9" ht="13.5">
      <c r="A687" s="108"/>
      <c r="B687" s="107"/>
      <c r="C687" s="147"/>
      <c r="D687" s="64"/>
      <c r="E687" s="41"/>
      <c r="F687" s="41"/>
      <c r="G687" s="41"/>
      <c r="H687" s="92"/>
      <c r="I687" s="93"/>
    </row>
    <row r="688" spans="1:9" ht="13.5">
      <c r="A688" s="108"/>
      <c r="B688" s="107"/>
      <c r="C688" s="41"/>
      <c r="D688" s="64"/>
      <c r="E688" s="41"/>
      <c r="F688" s="41"/>
      <c r="G688" s="41"/>
      <c r="H688" s="92"/>
      <c r="I688" s="93"/>
    </row>
    <row r="689" spans="1:9" ht="13.5">
      <c r="A689" s="108"/>
      <c r="B689" s="107"/>
      <c r="C689" s="41"/>
      <c r="D689" s="64"/>
      <c r="E689" s="41"/>
      <c r="F689" s="41"/>
      <c r="G689" s="41"/>
      <c r="H689" s="92"/>
      <c r="I689" s="93"/>
    </row>
    <row r="690" spans="1:9" ht="13.5">
      <c r="A690" s="108"/>
      <c r="B690" s="107"/>
      <c r="C690" s="41"/>
      <c r="D690" s="64"/>
      <c r="E690" s="41"/>
      <c r="F690" s="41"/>
      <c r="G690" s="41"/>
      <c r="H690" s="92"/>
      <c r="I690" s="93"/>
    </row>
    <row r="691" spans="1:9" ht="13.5">
      <c r="A691" s="108"/>
      <c r="B691" s="107"/>
      <c r="C691" s="41"/>
      <c r="D691" s="64"/>
      <c r="E691" s="41"/>
      <c r="F691" s="41"/>
      <c r="G691" s="41"/>
      <c r="H691" s="92"/>
      <c r="I691" s="93"/>
    </row>
    <row r="692" spans="1:9" ht="13.5">
      <c r="A692" s="108"/>
      <c r="B692" s="107"/>
      <c r="C692" s="41"/>
      <c r="D692" s="64"/>
      <c r="E692" s="41"/>
      <c r="F692" s="41"/>
      <c r="G692" s="41"/>
      <c r="H692" s="92"/>
      <c r="I692" s="93"/>
    </row>
    <row r="693" spans="1:9" ht="13.5">
      <c r="A693" s="108"/>
      <c r="B693" s="107"/>
      <c r="C693" s="41"/>
      <c r="D693" s="64"/>
      <c r="E693" s="41"/>
      <c r="F693" s="41"/>
      <c r="G693" s="41"/>
      <c r="H693" s="92"/>
      <c r="I693" s="93"/>
    </row>
    <row r="694" spans="1:9" ht="13.5">
      <c r="A694" s="108"/>
      <c r="B694" s="107"/>
      <c r="C694" s="147"/>
      <c r="D694" s="64"/>
      <c r="E694" s="41"/>
      <c r="F694" s="41"/>
      <c r="G694" s="41"/>
      <c r="H694" s="92"/>
      <c r="I694" s="93"/>
    </row>
    <row r="695" spans="1:9" ht="13.5">
      <c r="A695" s="108"/>
      <c r="B695" s="107"/>
      <c r="C695" s="41"/>
      <c r="D695" s="64"/>
      <c r="E695" s="41"/>
      <c r="F695" s="41"/>
      <c r="G695" s="41"/>
      <c r="H695" s="92"/>
      <c r="I695" s="93"/>
    </row>
    <row r="696" spans="1:9" ht="13.5">
      <c r="A696" s="108"/>
      <c r="B696" s="107"/>
      <c r="C696" s="41"/>
      <c r="D696" s="64"/>
      <c r="E696" s="41"/>
      <c r="F696" s="41"/>
      <c r="G696" s="41"/>
      <c r="H696" s="92"/>
      <c r="I696" s="93"/>
    </row>
    <row r="697" spans="1:9" ht="13.5">
      <c r="A697" s="108"/>
      <c r="B697" s="107"/>
      <c r="C697" s="41"/>
      <c r="D697" s="64"/>
      <c r="E697" s="41"/>
      <c r="F697" s="41"/>
      <c r="G697" s="41"/>
      <c r="H697" s="92"/>
      <c r="I697" s="93"/>
    </row>
    <row r="698" spans="1:9" ht="13.5">
      <c r="A698" s="108"/>
      <c r="B698" s="107"/>
      <c r="C698" s="41"/>
      <c r="D698" s="64"/>
      <c r="E698" s="41"/>
      <c r="F698" s="41"/>
      <c r="G698" s="41"/>
      <c r="H698" s="92"/>
      <c r="I698" s="93"/>
    </row>
    <row r="699" spans="1:9" ht="13.5">
      <c r="A699" s="108"/>
      <c r="B699" s="107"/>
      <c r="C699" s="41"/>
      <c r="D699" s="64"/>
      <c r="E699" s="41"/>
      <c r="F699" s="41"/>
      <c r="G699" s="41"/>
      <c r="H699" s="92"/>
      <c r="I699" s="93"/>
    </row>
    <row r="700" spans="1:9" ht="13.5">
      <c r="A700" s="108"/>
      <c r="B700" s="107"/>
      <c r="C700" s="41"/>
      <c r="D700" s="64"/>
      <c r="E700" s="41"/>
      <c r="F700" s="41"/>
      <c r="G700" s="41"/>
      <c r="H700" s="92"/>
      <c r="I700" s="93"/>
    </row>
    <row r="701" spans="1:9" ht="13.5">
      <c r="A701" s="108"/>
      <c r="B701" s="107"/>
      <c r="C701" s="147"/>
      <c r="D701" s="64"/>
      <c r="E701" s="41"/>
      <c r="F701" s="41"/>
      <c r="G701" s="41"/>
      <c r="H701" s="92"/>
      <c r="I701" s="93"/>
    </row>
    <row r="702" spans="1:9" ht="13.5">
      <c r="A702" s="108"/>
      <c r="B702" s="107"/>
      <c r="C702" s="41"/>
      <c r="D702" s="64"/>
      <c r="E702" s="41"/>
      <c r="F702" s="41"/>
      <c r="G702" s="41"/>
      <c r="H702" s="92"/>
      <c r="I702" s="93"/>
    </row>
    <row r="703" spans="1:9" ht="13.5">
      <c r="A703" s="108"/>
      <c r="B703" s="107"/>
      <c r="C703" s="41"/>
      <c r="D703" s="64"/>
      <c r="E703" s="41"/>
      <c r="F703" s="41"/>
      <c r="G703" s="41"/>
      <c r="H703" s="92"/>
      <c r="I703" s="93"/>
    </row>
    <row r="704" spans="1:9" ht="13.5">
      <c r="A704" s="108"/>
      <c r="B704" s="107"/>
      <c r="C704" s="41"/>
      <c r="D704" s="64"/>
      <c r="E704" s="41"/>
      <c r="F704" s="41"/>
      <c r="G704" s="41"/>
      <c r="H704" s="92"/>
      <c r="I704" s="93"/>
    </row>
    <row r="705" spans="1:9" ht="13.5">
      <c r="A705" s="108"/>
      <c r="B705" s="107"/>
      <c r="C705" s="41"/>
      <c r="D705" s="64"/>
      <c r="E705" s="41"/>
      <c r="F705" s="41"/>
      <c r="G705" s="41"/>
      <c r="H705" s="92"/>
      <c r="I705" s="93"/>
    </row>
    <row r="706" spans="1:9" ht="13.5">
      <c r="A706" s="108"/>
      <c r="B706" s="107"/>
      <c r="C706" s="41"/>
      <c r="D706" s="64"/>
      <c r="E706" s="41"/>
      <c r="F706" s="41"/>
      <c r="G706" s="41"/>
      <c r="H706" s="92"/>
      <c r="I706" s="93"/>
    </row>
    <row r="707" spans="1:9" ht="13.5">
      <c r="A707" s="108"/>
      <c r="B707" s="107"/>
      <c r="C707" s="41"/>
      <c r="D707" s="64"/>
      <c r="E707" s="41"/>
      <c r="F707" s="41"/>
      <c r="G707" s="41"/>
      <c r="H707" s="92"/>
      <c r="I707" s="93"/>
    </row>
    <row r="708" spans="1:9" ht="13.5">
      <c r="A708" s="108"/>
      <c r="B708" s="107"/>
      <c r="C708" s="41"/>
      <c r="D708" s="64"/>
      <c r="E708" s="41"/>
      <c r="F708" s="41"/>
      <c r="G708" s="41"/>
      <c r="H708" s="92"/>
      <c r="I708" s="93"/>
    </row>
    <row r="709" spans="1:9" ht="13.5">
      <c r="A709" s="108"/>
      <c r="B709" s="107"/>
      <c r="C709" s="41"/>
      <c r="D709" s="64"/>
      <c r="E709" s="41"/>
      <c r="F709" s="41"/>
      <c r="G709" s="41"/>
      <c r="H709" s="92"/>
      <c r="I709" s="93"/>
    </row>
    <row r="710" spans="1:9" ht="13.5">
      <c r="A710" s="59"/>
      <c r="B710" s="60"/>
      <c r="C710" s="48"/>
      <c r="D710" s="120"/>
      <c r="E710" s="49"/>
      <c r="F710" s="51"/>
      <c r="G710" s="50"/>
      <c r="H710" s="50"/>
      <c r="I710" s="51"/>
    </row>
    <row r="711" spans="1:9" ht="13.5">
      <c r="A711" s="64"/>
      <c r="B711" s="65"/>
      <c r="C711" s="66"/>
      <c r="D711" s="122"/>
      <c r="E711" s="58"/>
      <c r="F711" s="57"/>
      <c r="G711" s="57"/>
      <c r="H711" s="57"/>
      <c r="I711" s="58"/>
    </row>
    <row r="712" spans="1:9" ht="13.5">
      <c r="A712" s="64"/>
      <c r="B712" s="65"/>
      <c r="C712" s="66"/>
      <c r="D712" s="122"/>
      <c r="E712" s="58"/>
      <c r="F712" s="57"/>
      <c r="G712" s="57"/>
      <c r="H712" s="57"/>
      <c r="I712" s="58"/>
    </row>
    <row r="713" spans="1:9" ht="13.5">
      <c r="A713" s="64"/>
      <c r="B713" s="65"/>
      <c r="C713" s="66"/>
      <c r="D713" s="122"/>
      <c r="E713" s="58"/>
      <c r="F713" s="57"/>
      <c r="G713" s="57"/>
      <c r="H713" s="57"/>
      <c r="I713" s="58"/>
    </row>
    <row r="714" spans="1:9" ht="13.5">
      <c r="A714" s="64"/>
      <c r="B714" s="65"/>
      <c r="C714" s="66"/>
      <c r="D714" s="122"/>
      <c r="E714" s="58"/>
      <c r="F714" s="57"/>
      <c r="G714" s="57"/>
      <c r="H714" s="57"/>
      <c r="I714" s="58"/>
    </row>
    <row r="715" spans="1:9" ht="13.5">
      <c r="A715" s="64"/>
      <c r="B715" s="65"/>
      <c r="C715" s="66"/>
      <c r="D715" s="122"/>
      <c r="E715" s="58"/>
      <c r="F715" s="57"/>
      <c r="G715" s="57"/>
      <c r="H715" s="57"/>
      <c r="I715" s="58"/>
    </row>
    <row r="716" spans="1:9" ht="13.5">
      <c r="A716" s="64"/>
      <c r="B716" s="65"/>
      <c r="C716" s="66"/>
      <c r="D716" s="122"/>
      <c r="E716" s="58"/>
      <c r="F716" s="57"/>
      <c r="G716" s="57"/>
      <c r="H716" s="57"/>
      <c r="I716" s="58"/>
    </row>
    <row r="717" spans="1:9" ht="13.5">
      <c r="A717" s="64"/>
      <c r="B717" s="65"/>
      <c r="C717" s="66"/>
      <c r="D717" s="122"/>
      <c r="E717" s="58"/>
      <c r="F717" s="57"/>
      <c r="G717" s="57"/>
      <c r="H717" s="57"/>
      <c r="I717" s="58"/>
    </row>
    <row r="718" spans="1:9" ht="13.5">
      <c r="A718" s="64"/>
      <c r="B718" s="65"/>
      <c r="C718" s="66"/>
      <c r="D718" s="122"/>
      <c r="E718" s="58"/>
      <c r="F718" s="57"/>
      <c r="G718" s="57"/>
      <c r="H718" s="57"/>
      <c r="I718" s="58"/>
    </row>
    <row r="719" spans="1:9" ht="13.5">
      <c r="A719" s="64"/>
      <c r="B719" s="65"/>
      <c r="C719" s="66"/>
      <c r="D719" s="122"/>
      <c r="E719" s="58"/>
      <c r="F719" s="57"/>
      <c r="G719" s="57"/>
      <c r="H719" s="57"/>
      <c r="I719" s="58"/>
    </row>
    <row r="720" spans="1:9" ht="13.5">
      <c r="A720" s="64"/>
      <c r="B720" s="65"/>
      <c r="C720" s="66"/>
      <c r="D720" s="122"/>
      <c r="E720" s="58"/>
      <c r="F720" s="57"/>
      <c r="G720" s="57"/>
      <c r="H720" s="57"/>
      <c r="I720" s="58"/>
    </row>
    <row r="721" spans="1:9" ht="13.5">
      <c r="A721" s="64"/>
      <c r="B721" s="65"/>
      <c r="C721" s="66"/>
      <c r="D721" s="122"/>
      <c r="E721" s="58"/>
      <c r="F721" s="57"/>
      <c r="G721" s="57"/>
      <c r="H721" s="57"/>
      <c r="I721" s="58"/>
    </row>
    <row r="722" spans="1:9" ht="13.5">
      <c r="A722" s="64"/>
      <c r="B722" s="65"/>
      <c r="C722" s="66"/>
      <c r="D722" s="122"/>
      <c r="E722" s="58"/>
      <c r="F722" s="57"/>
      <c r="G722" s="57"/>
      <c r="H722" s="57"/>
      <c r="I722" s="58"/>
    </row>
    <row r="723" spans="1:9" ht="13.5">
      <c r="A723" s="64"/>
      <c r="B723" s="65"/>
      <c r="C723" s="66"/>
      <c r="D723" s="122"/>
      <c r="E723" s="58"/>
      <c r="F723" s="57"/>
      <c r="G723" s="57"/>
      <c r="H723" s="57"/>
      <c r="I723" s="58"/>
    </row>
    <row r="724" spans="1:9" ht="13.5">
      <c r="A724" s="108"/>
      <c r="B724" s="107"/>
      <c r="C724" s="147"/>
      <c r="D724" s="64"/>
      <c r="E724" s="41"/>
      <c r="F724" s="41"/>
      <c r="G724" s="41"/>
      <c r="H724" s="92"/>
      <c r="I724" s="93"/>
    </row>
    <row r="725" spans="1:9" ht="13.5">
      <c r="A725" s="108"/>
      <c r="B725" s="107"/>
      <c r="C725" s="41"/>
      <c r="D725" s="64"/>
      <c r="E725" s="41"/>
      <c r="F725" s="41"/>
      <c r="G725" s="41"/>
      <c r="H725" s="92"/>
      <c r="I725" s="93"/>
    </row>
    <row r="726" spans="1:9" ht="13.5">
      <c r="A726" s="108"/>
      <c r="B726" s="107"/>
      <c r="C726" s="41"/>
      <c r="D726" s="64"/>
      <c r="E726" s="41"/>
      <c r="F726" s="41"/>
      <c r="G726" s="41"/>
      <c r="H726" s="92"/>
      <c r="I726" s="93"/>
    </row>
    <row r="727" spans="1:9" ht="13.5">
      <c r="A727" s="108"/>
      <c r="B727" s="107"/>
      <c r="C727" s="41"/>
      <c r="D727" s="64"/>
      <c r="E727" s="41"/>
      <c r="F727" s="41"/>
      <c r="G727" s="41"/>
      <c r="H727" s="92"/>
      <c r="I727" s="93"/>
    </row>
    <row r="728" spans="1:9" ht="13.5">
      <c r="A728" s="108"/>
      <c r="B728" s="107"/>
      <c r="C728" s="41"/>
      <c r="D728" s="64"/>
      <c r="E728" s="41"/>
      <c r="F728" s="41"/>
      <c r="G728" s="41"/>
      <c r="H728" s="92"/>
      <c r="I728" s="93"/>
    </row>
    <row r="729" spans="1:9" ht="13.5">
      <c r="A729" s="108"/>
      <c r="B729" s="107"/>
      <c r="C729" s="41"/>
      <c r="D729" s="64"/>
      <c r="E729" s="41"/>
      <c r="F729" s="41"/>
      <c r="G729" s="41"/>
      <c r="H729" s="92"/>
      <c r="I729" s="93"/>
    </row>
    <row r="730" spans="1:9" ht="13.5">
      <c r="A730" s="108"/>
      <c r="B730" s="107"/>
      <c r="C730" s="41"/>
      <c r="D730" s="64"/>
      <c r="E730" s="41"/>
      <c r="F730" s="41"/>
      <c r="G730" s="41"/>
      <c r="H730" s="92"/>
      <c r="I730" s="93"/>
    </row>
    <row r="731" spans="1:9" ht="13.5">
      <c r="A731" s="108"/>
      <c r="B731" s="107"/>
      <c r="C731" s="147"/>
      <c r="D731" s="64"/>
      <c r="E731" s="41"/>
      <c r="F731" s="41"/>
      <c r="G731" s="41"/>
      <c r="H731" s="92"/>
      <c r="I731" s="93"/>
    </row>
    <row r="732" spans="1:9" ht="13.5">
      <c r="A732" s="108"/>
      <c r="B732" s="148"/>
      <c r="C732" s="149"/>
      <c r="D732" s="150"/>
      <c r="E732" s="149"/>
      <c r="F732" s="149"/>
      <c r="G732" s="149"/>
      <c r="H732" s="92"/>
      <c r="I732" s="93"/>
    </row>
    <row r="733" spans="1:9" ht="13.5">
      <c r="A733" s="108"/>
      <c r="B733" s="107"/>
      <c r="C733" s="41"/>
      <c r="D733" s="64"/>
      <c r="E733" s="41"/>
      <c r="F733" s="41"/>
      <c r="G733" s="41"/>
      <c r="H733" s="92"/>
      <c r="I733" s="93"/>
    </row>
    <row r="734" spans="1:9" ht="13.5">
      <c r="A734" s="108"/>
      <c r="B734" s="107"/>
      <c r="C734" s="41"/>
      <c r="D734" s="64"/>
      <c r="E734" s="41"/>
      <c r="F734" s="41"/>
      <c r="G734" s="41"/>
      <c r="H734" s="92"/>
      <c r="I734" s="93"/>
    </row>
    <row r="735" spans="1:9" ht="13.5">
      <c r="A735" s="108"/>
      <c r="B735" s="107"/>
      <c r="C735" s="41"/>
      <c r="D735" s="64"/>
      <c r="E735" s="41"/>
      <c r="F735" s="41"/>
      <c r="G735" s="41"/>
      <c r="H735" s="92"/>
      <c r="I735" s="93"/>
    </row>
    <row r="736" spans="1:9" ht="13.5">
      <c r="A736" s="108"/>
      <c r="B736" s="107"/>
      <c r="C736" s="41"/>
      <c r="D736" s="64"/>
      <c r="E736" s="41"/>
      <c r="F736" s="41"/>
      <c r="G736" s="41"/>
      <c r="H736" s="92"/>
      <c r="I736" s="93"/>
    </row>
    <row r="737" spans="1:9" ht="13.5">
      <c r="A737" s="108"/>
      <c r="B737" s="107"/>
      <c r="C737" s="41"/>
      <c r="D737" s="64"/>
      <c r="E737" s="41"/>
      <c r="F737" s="41"/>
      <c r="G737" s="41"/>
      <c r="H737" s="92"/>
      <c r="I737" s="93"/>
    </row>
    <row r="738" spans="1:9" ht="13.5">
      <c r="A738" s="108"/>
      <c r="B738" s="107"/>
      <c r="C738" s="147"/>
      <c r="D738" s="64"/>
      <c r="E738" s="41"/>
      <c r="F738" s="41"/>
      <c r="G738" s="41"/>
      <c r="H738" s="92"/>
      <c r="I738" s="93"/>
    </row>
    <row r="739" spans="1:9" ht="13.5">
      <c r="A739" s="108"/>
      <c r="B739" s="148"/>
      <c r="C739" s="149"/>
      <c r="D739" s="150"/>
      <c r="E739" s="149"/>
      <c r="F739" s="149"/>
      <c r="G739" s="149"/>
      <c r="H739" s="92"/>
      <c r="I739" s="93"/>
    </row>
    <row r="740" spans="1:9" ht="13.5">
      <c r="A740" s="108"/>
      <c r="B740" s="107"/>
      <c r="C740" s="41"/>
      <c r="D740" s="64"/>
      <c r="E740" s="41"/>
      <c r="F740" s="41"/>
      <c r="G740" s="41"/>
      <c r="H740" s="92"/>
      <c r="I740" s="93"/>
    </row>
    <row r="741" spans="1:9" ht="13.5">
      <c r="A741" s="108"/>
      <c r="B741" s="107"/>
      <c r="C741" s="41"/>
      <c r="D741" s="64"/>
      <c r="E741" s="41"/>
      <c r="F741" s="41"/>
      <c r="G741" s="41"/>
      <c r="H741" s="92"/>
      <c r="I741" s="93"/>
    </row>
    <row r="742" spans="1:9" ht="13.5">
      <c r="A742" s="108"/>
      <c r="B742" s="107"/>
      <c r="C742" s="41"/>
      <c r="D742" s="64"/>
      <c r="E742" s="41"/>
      <c r="F742" s="41"/>
      <c r="G742" s="41"/>
      <c r="H742" s="92"/>
      <c r="I742" s="93"/>
    </row>
    <row r="743" spans="1:9" ht="13.5">
      <c r="A743" s="108"/>
      <c r="B743" s="107"/>
      <c r="C743" s="41"/>
      <c r="D743" s="64"/>
      <c r="E743" s="41"/>
      <c r="F743" s="41"/>
      <c r="G743" s="41"/>
      <c r="H743" s="92"/>
      <c r="I743" s="93"/>
    </row>
    <row r="744" spans="1:9" ht="13.5">
      <c r="A744" s="108"/>
      <c r="B744" s="107"/>
      <c r="C744" s="41"/>
      <c r="D744" s="64"/>
      <c r="E744" s="41"/>
      <c r="F744" s="41"/>
      <c r="G744" s="41"/>
      <c r="H744" s="92"/>
      <c r="I744" s="93"/>
    </row>
    <row r="745" spans="1:9" ht="13.5">
      <c r="A745" s="108"/>
      <c r="B745" s="113"/>
      <c r="C745" s="92"/>
      <c r="D745" s="127"/>
      <c r="E745" s="92"/>
      <c r="F745" s="92"/>
      <c r="G745" s="92"/>
      <c r="H745" s="92"/>
      <c r="I745" s="93"/>
    </row>
    <row r="746" spans="1:9" ht="13.5">
      <c r="A746" s="108"/>
      <c r="B746" s="113"/>
      <c r="C746" s="92"/>
      <c r="D746" s="127"/>
      <c r="E746" s="92"/>
      <c r="F746" s="92"/>
      <c r="G746" s="92"/>
      <c r="H746" s="92"/>
      <c r="I746" s="93"/>
    </row>
    <row r="747" spans="1:9" ht="13.5">
      <c r="A747" s="108"/>
      <c r="B747" s="113"/>
      <c r="C747" s="92"/>
      <c r="D747" s="127"/>
      <c r="E747" s="92"/>
      <c r="F747" s="92"/>
      <c r="G747" s="92"/>
      <c r="H747" s="92"/>
      <c r="I747" s="93"/>
    </row>
    <row r="748" spans="1:9" ht="13.5">
      <c r="A748" s="108"/>
      <c r="B748" s="113"/>
      <c r="C748" s="92"/>
      <c r="D748" s="127"/>
      <c r="E748" s="92"/>
      <c r="F748" s="92"/>
      <c r="G748" s="92"/>
      <c r="H748" s="92"/>
      <c r="I748" s="93"/>
    </row>
    <row r="749" spans="1:9" ht="13.5">
      <c r="A749" s="108"/>
      <c r="B749" s="113"/>
      <c r="C749" s="92"/>
      <c r="D749" s="127"/>
      <c r="E749" s="92"/>
      <c r="F749" s="92"/>
      <c r="G749" s="92"/>
      <c r="H749" s="92"/>
      <c r="I749" s="93"/>
    </row>
    <row r="750" spans="1:9" ht="13.5">
      <c r="A750" s="108"/>
      <c r="B750" s="113"/>
      <c r="C750" s="92"/>
      <c r="D750" s="127"/>
      <c r="E750" s="92"/>
      <c r="F750" s="92"/>
      <c r="G750" s="92"/>
      <c r="H750" s="92"/>
      <c r="I750" s="93"/>
    </row>
    <row r="751" spans="1:9" ht="13.5">
      <c r="A751" s="108"/>
      <c r="B751" s="113"/>
      <c r="C751" s="92"/>
      <c r="D751" s="127"/>
      <c r="E751" s="92"/>
      <c r="F751" s="92"/>
      <c r="G751" s="92"/>
      <c r="H751" s="92"/>
      <c r="I751" s="93"/>
    </row>
    <row r="752" spans="1:9" ht="13.5">
      <c r="A752" s="108"/>
      <c r="B752" s="113"/>
      <c r="C752" s="92"/>
      <c r="D752" s="127"/>
      <c r="E752" s="92"/>
      <c r="F752" s="92"/>
      <c r="G752" s="92"/>
      <c r="H752" s="92"/>
      <c r="I752" s="93"/>
    </row>
    <row r="753" spans="1:9" ht="13.5">
      <c r="A753" s="108"/>
      <c r="B753" s="113"/>
      <c r="C753" s="92"/>
      <c r="D753" s="127"/>
      <c r="E753" s="92"/>
      <c r="F753" s="92"/>
      <c r="G753" s="92"/>
      <c r="H753" s="92"/>
      <c r="I753" s="93"/>
    </row>
    <row r="754" spans="1:9" ht="13.5">
      <c r="A754" s="108"/>
      <c r="B754" s="113"/>
      <c r="C754" s="92"/>
      <c r="D754" s="127"/>
      <c r="E754" s="92"/>
      <c r="F754" s="92"/>
      <c r="G754" s="92"/>
      <c r="H754" s="92"/>
      <c r="I754" s="93"/>
    </row>
    <row r="755" spans="1:9" ht="13.5">
      <c r="A755" s="108"/>
      <c r="B755" s="113"/>
      <c r="C755" s="92"/>
      <c r="D755" s="127"/>
      <c r="E755" s="92"/>
      <c r="F755" s="92"/>
      <c r="G755" s="92"/>
      <c r="H755" s="92"/>
      <c r="I755" s="93"/>
    </row>
    <row r="756" spans="1:9" ht="13.5">
      <c r="A756" s="108"/>
      <c r="B756" s="113"/>
      <c r="C756" s="92"/>
      <c r="D756" s="127"/>
      <c r="E756" s="92"/>
      <c r="F756" s="92"/>
      <c r="G756" s="92"/>
      <c r="H756" s="92"/>
      <c r="I756" s="93"/>
    </row>
    <row r="757" spans="1:9" ht="13.5">
      <c r="A757" s="108"/>
      <c r="B757" s="113"/>
      <c r="C757" s="92"/>
      <c r="D757" s="127"/>
      <c r="E757" s="92"/>
      <c r="F757" s="92"/>
      <c r="G757" s="92"/>
      <c r="H757" s="92"/>
      <c r="I757" s="93"/>
    </row>
    <row r="758" spans="1:9" ht="13.5">
      <c r="A758" s="108"/>
      <c r="B758" s="113"/>
      <c r="C758" s="92"/>
      <c r="D758" s="127"/>
      <c r="E758" s="92"/>
      <c r="F758" s="92"/>
      <c r="G758" s="92"/>
      <c r="H758" s="92"/>
      <c r="I758" s="93"/>
    </row>
    <row r="759" spans="1:9" ht="13.5">
      <c r="A759" s="108"/>
      <c r="B759" s="113"/>
      <c r="C759" s="92"/>
      <c r="D759" s="127"/>
      <c r="E759" s="92"/>
      <c r="F759" s="92"/>
      <c r="G759" s="92"/>
      <c r="H759" s="92"/>
      <c r="I759" s="93"/>
    </row>
    <row r="760" spans="1:9" ht="13.5">
      <c r="A760" s="108"/>
      <c r="B760" s="113"/>
      <c r="C760" s="92"/>
      <c r="D760" s="127"/>
      <c r="E760" s="92"/>
      <c r="F760" s="92"/>
      <c r="G760" s="92"/>
      <c r="H760" s="92"/>
      <c r="I760" s="93"/>
    </row>
    <row r="761" spans="1:9" ht="13.5">
      <c r="A761" s="108"/>
      <c r="B761" s="113"/>
      <c r="C761" s="92"/>
      <c r="D761" s="127"/>
      <c r="E761" s="92"/>
      <c r="F761" s="92"/>
      <c r="G761" s="92"/>
      <c r="H761" s="92"/>
      <c r="I761" s="93"/>
    </row>
    <row r="762" spans="1:9" ht="13.5">
      <c r="A762" s="108"/>
      <c r="B762" s="113"/>
      <c r="C762" s="92"/>
      <c r="D762" s="127"/>
      <c r="E762" s="92"/>
      <c r="F762" s="92"/>
      <c r="G762" s="92"/>
      <c r="H762" s="92"/>
      <c r="I762" s="93"/>
    </row>
    <row r="763" spans="1:9" ht="13.5">
      <c r="A763" s="108"/>
      <c r="B763" s="113"/>
      <c r="C763" s="92"/>
      <c r="D763" s="127"/>
      <c r="E763" s="92"/>
      <c r="F763" s="92"/>
      <c r="G763" s="92"/>
      <c r="H763" s="92"/>
      <c r="I763" s="93"/>
    </row>
    <row r="764" spans="1:9" ht="13.5">
      <c r="A764" s="108"/>
      <c r="B764" s="113"/>
      <c r="C764" s="92"/>
      <c r="D764" s="127"/>
      <c r="E764" s="92"/>
      <c r="F764" s="92"/>
      <c r="G764" s="92"/>
      <c r="H764" s="92"/>
      <c r="I764" s="93"/>
    </row>
    <row r="765" spans="1:9" ht="13.5">
      <c r="A765" s="108"/>
      <c r="B765" s="113"/>
      <c r="C765" s="92"/>
      <c r="D765" s="127"/>
      <c r="E765" s="92"/>
      <c r="F765" s="92"/>
      <c r="G765" s="92"/>
      <c r="H765" s="92"/>
      <c r="I765" s="93"/>
    </row>
    <row r="766" spans="1:9" ht="13.5">
      <c r="A766" s="108"/>
      <c r="B766" s="113"/>
      <c r="C766" s="92"/>
      <c r="D766" s="127"/>
      <c r="E766" s="92"/>
      <c r="F766" s="92"/>
      <c r="G766" s="92"/>
      <c r="H766" s="92"/>
      <c r="I766" s="93"/>
    </row>
    <row r="767" spans="1:9" ht="13.5">
      <c r="A767" s="108"/>
      <c r="B767" s="113"/>
      <c r="C767" s="92"/>
      <c r="D767" s="127"/>
      <c r="E767" s="92"/>
      <c r="F767" s="92"/>
      <c r="G767" s="92"/>
      <c r="H767" s="92"/>
      <c r="I767" s="93"/>
    </row>
    <row r="768" spans="1:9" ht="13.5">
      <c r="A768" s="108"/>
      <c r="B768" s="113"/>
      <c r="C768" s="92"/>
      <c r="D768" s="127"/>
      <c r="E768" s="92"/>
      <c r="F768" s="92"/>
      <c r="G768" s="92"/>
      <c r="H768" s="92"/>
      <c r="I768" s="93"/>
    </row>
    <row r="769" spans="1:9" ht="13.5">
      <c r="A769" s="108"/>
      <c r="B769" s="113"/>
      <c r="C769" s="92"/>
      <c r="D769" s="127"/>
      <c r="E769" s="92"/>
      <c r="F769" s="92"/>
      <c r="G769" s="92"/>
      <c r="H769" s="92"/>
      <c r="I769" s="93"/>
    </row>
    <row r="770" spans="1:9" ht="13.5">
      <c r="A770" s="108"/>
      <c r="B770" s="113"/>
      <c r="C770" s="92"/>
      <c r="D770" s="127"/>
      <c r="E770" s="92"/>
      <c r="F770" s="92"/>
      <c r="G770" s="92"/>
      <c r="H770" s="92"/>
      <c r="I770" s="93"/>
    </row>
    <row r="771" spans="1:9" ht="13.5">
      <c r="A771" s="108"/>
      <c r="B771" s="113"/>
      <c r="C771" s="92"/>
      <c r="D771" s="127"/>
      <c r="E771" s="92"/>
      <c r="F771" s="92"/>
      <c r="G771" s="92"/>
      <c r="H771" s="92"/>
      <c r="I771" s="93"/>
    </row>
    <row r="772" spans="1:9" ht="13.5">
      <c r="A772" s="108"/>
      <c r="B772" s="113"/>
      <c r="C772" s="92"/>
      <c r="D772" s="127"/>
      <c r="E772" s="92"/>
      <c r="F772" s="92"/>
      <c r="G772" s="92"/>
      <c r="H772" s="92"/>
      <c r="I772" s="93"/>
    </row>
    <row r="773" spans="1:9" ht="13.5">
      <c r="A773" s="108"/>
      <c r="B773" s="113"/>
      <c r="C773" s="92"/>
      <c r="D773" s="127"/>
      <c r="E773" s="92"/>
      <c r="F773" s="92"/>
      <c r="G773" s="92"/>
      <c r="H773" s="92"/>
      <c r="I773" s="93"/>
    </row>
    <row r="774" spans="1:9" ht="13.5">
      <c r="A774" s="108"/>
      <c r="B774" s="113"/>
      <c r="C774" s="92"/>
      <c r="D774" s="127"/>
      <c r="E774" s="92"/>
      <c r="F774" s="92"/>
      <c r="G774" s="92"/>
      <c r="H774" s="92"/>
      <c r="I774" s="93"/>
    </row>
    <row r="775" spans="1:9" ht="13.5">
      <c r="A775" s="108"/>
      <c r="B775" s="113"/>
      <c r="C775" s="92"/>
      <c r="D775" s="127"/>
      <c r="E775" s="92"/>
      <c r="F775" s="92"/>
      <c r="G775" s="92"/>
      <c r="H775" s="92"/>
      <c r="I775" s="93"/>
    </row>
    <row r="776" spans="1:9" ht="13.5">
      <c r="A776" s="108"/>
      <c r="B776" s="113"/>
      <c r="C776" s="92"/>
      <c r="D776" s="127"/>
      <c r="E776" s="92"/>
      <c r="F776" s="92"/>
      <c r="G776" s="92"/>
      <c r="H776" s="92"/>
      <c r="I776" s="93"/>
    </row>
    <row r="777" spans="1:9" ht="13.5">
      <c r="A777" s="108"/>
      <c r="B777" s="113"/>
      <c r="C777" s="92"/>
      <c r="D777" s="127"/>
      <c r="E777" s="92"/>
      <c r="F777" s="92"/>
      <c r="G777" s="92"/>
      <c r="H777" s="92"/>
      <c r="I777" s="93"/>
    </row>
    <row r="778" spans="1:9" ht="13.5">
      <c r="A778" s="108"/>
      <c r="B778" s="113"/>
      <c r="C778" s="92"/>
      <c r="D778" s="127"/>
      <c r="E778" s="92"/>
      <c r="F778" s="92"/>
      <c r="G778" s="92"/>
      <c r="H778" s="92"/>
      <c r="I778" s="93"/>
    </row>
    <row r="779" spans="1:9" ht="13.5">
      <c r="A779" s="108"/>
      <c r="B779" s="113"/>
      <c r="C779" s="92"/>
      <c r="D779" s="127"/>
      <c r="E779" s="92"/>
      <c r="F779" s="92"/>
      <c r="G779" s="92"/>
      <c r="H779" s="92"/>
      <c r="I779" s="93"/>
    </row>
    <row r="780" spans="1:9" ht="13.5">
      <c r="A780" s="108"/>
      <c r="B780" s="113"/>
      <c r="C780" s="92"/>
      <c r="D780" s="127"/>
      <c r="E780" s="92"/>
      <c r="F780" s="92"/>
      <c r="G780" s="92"/>
      <c r="H780" s="92"/>
      <c r="I780" s="93"/>
    </row>
    <row r="781" spans="1:9" ht="13.5">
      <c r="A781" s="108"/>
      <c r="B781" s="113"/>
      <c r="C781" s="92"/>
      <c r="D781" s="127"/>
      <c r="E781" s="92"/>
      <c r="F781" s="92"/>
      <c r="G781" s="92"/>
      <c r="H781" s="92"/>
      <c r="I781" s="93"/>
    </row>
    <row r="782" spans="1:9" ht="13.5">
      <c r="A782" s="108"/>
      <c r="B782" s="113"/>
      <c r="C782" s="92"/>
      <c r="D782" s="127"/>
      <c r="E782" s="92"/>
      <c r="F782" s="92"/>
      <c r="G782" s="92"/>
      <c r="H782" s="92"/>
      <c r="I782" s="93"/>
    </row>
    <row r="783" spans="1:9" ht="13.5">
      <c r="A783" s="108"/>
      <c r="B783" s="113"/>
      <c r="C783" s="92"/>
      <c r="D783" s="127"/>
      <c r="E783" s="92"/>
      <c r="F783" s="92"/>
      <c r="G783" s="92"/>
      <c r="H783" s="92"/>
      <c r="I783" s="93"/>
    </row>
    <row r="784" spans="1:9" ht="13.5">
      <c r="A784" s="108"/>
      <c r="B784" s="113"/>
      <c r="C784" s="92"/>
      <c r="D784" s="127"/>
      <c r="E784" s="92"/>
      <c r="F784" s="92"/>
      <c r="G784" s="92"/>
      <c r="H784" s="92"/>
      <c r="I784" s="93"/>
    </row>
    <row r="785" spans="1:9" ht="13.5">
      <c r="A785" s="108"/>
      <c r="B785" s="113"/>
      <c r="C785" s="92"/>
      <c r="D785" s="127"/>
      <c r="E785" s="92"/>
      <c r="F785" s="92"/>
      <c r="G785" s="92"/>
      <c r="H785" s="92"/>
      <c r="I785" s="93"/>
    </row>
    <row r="786" spans="1:9" ht="13.5">
      <c r="A786" s="108"/>
      <c r="B786" s="113"/>
      <c r="C786" s="92"/>
      <c r="D786" s="127"/>
      <c r="E786" s="92"/>
      <c r="F786" s="92"/>
      <c r="G786" s="92"/>
      <c r="H786" s="92"/>
      <c r="I786" s="93"/>
    </row>
    <row r="787" spans="1:9" ht="13.5">
      <c r="A787" s="108"/>
      <c r="B787" s="113"/>
      <c r="C787" s="92"/>
      <c r="D787" s="127"/>
      <c r="E787" s="92"/>
      <c r="F787" s="92"/>
      <c r="G787" s="92"/>
      <c r="H787" s="92"/>
      <c r="I787" s="93"/>
    </row>
    <row r="788" spans="1:9" ht="13.5">
      <c r="A788" s="108"/>
      <c r="B788" s="113"/>
      <c r="C788" s="92"/>
      <c r="D788" s="127"/>
      <c r="E788" s="92"/>
      <c r="F788" s="92"/>
      <c r="G788" s="92"/>
      <c r="H788" s="92"/>
      <c r="I788" s="93"/>
    </row>
    <row r="789" spans="1:9" ht="13.5">
      <c r="A789" s="108"/>
      <c r="B789" s="113"/>
      <c r="C789" s="92"/>
      <c r="D789" s="127"/>
      <c r="E789" s="92"/>
      <c r="F789" s="92"/>
      <c r="G789" s="92"/>
      <c r="H789" s="92"/>
      <c r="I789" s="93"/>
    </row>
    <row r="790" spans="1:9" ht="13.5">
      <c r="A790" s="108"/>
      <c r="B790" s="113"/>
      <c r="C790" s="92"/>
      <c r="D790" s="127"/>
      <c r="E790" s="92"/>
      <c r="F790" s="92"/>
      <c r="G790" s="92"/>
      <c r="H790" s="92"/>
      <c r="I790" s="93"/>
    </row>
    <row r="791" spans="1:9" ht="13.5">
      <c r="A791" s="108"/>
      <c r="B791" s="113"/>
      <c r="C791" s="92"/>
      <c r="D791" s="127"/>
      <c r="E791" s="92"/>
      <c r="F791" s="92"/>
      <c r="G791" s="92"/>
      <c r="H791" s="92"/>
      <c r="I791" s="93"/>
    </row>
    <row r="792" spans="1:9" ht="13.5">
      <c r="A792" s="108"/>
      <c r="B792" s="113"/>
      <c r="C792" s="92"/>
      <c r="D792" s="127"/>
      <c r="E792" s="92"/>
      <c r="F792" s="92"/>
      <c r="G792" s="92"/>
      <c r="H792" s="92"/>
      <c r="I792" s="93"/>
    </row>
    <row r="793" spans="1:9" ht="13.5">
      <c r="A793" s="108"/>
      <c r="B793" s="113"/>
      <c r="C793" s="92"/>
      <c r="D793" s="127"/>
      <c r="E793" s="92"/>
      <c r="F793" s="92"/>
      <c r="G793" s="92"/>
      <c r="H793" s="92"/>
      <c r="I793" s="93"/>
    </row>
    <row r="794" spans="1:9" ht="13.5">
      <c r="A794" s="108"/>
      <c r="B794" s="113"/>
      <c r="C794" s="92"/>
      <c r="D794" s="127"/>
      <c r="E794" s="92"/>
      <c r="F794" s="92"/>
      <c r="G794" s="92"/>
      <c r="H794" s="92"/>
      <c r="I794" s="93"/>
    </row>
    <row r="795" spans="1:9" ht="13.5">
      <c r="A795" s="108"/>
      <c r="B795" s="113"/>
      <c r="C795" s="92"/>
      <c r="D795" s="127"/>
      <c r="E795" s="92"/>
      <c r="F795" s="92"/>
      <c r="G795" s="92"/>
      <c r="H795" s="92"/>
      <c r="I795" s="93"/>
    </row>
    <row r="796" spans="1:9" ht="13.5">
      <c r="A796" s="108"/>
      <c r="B796" s="113"/>
      <c r="C796" s="92"/>
      <c r="D796" s="127"/>
      <c r="E796" s="92"/>
      <c r="F796" s="92"/>
      <c r="G796" s="92"/>
      <c r="H796" s="92"/>
      <c r="I796" s="93"/>
    </row>
    <row r="797" spans="1:9" ht="13.5">
      <c r="A797" s="108"/>
      <c r="B797" s="113"/>
      <c r="C797" s="92"/>
      <c r="D797" s="127"/>
      <c r="E797" s="92"/>
      <c r="F797" s="92"/>
      <c r="G797" s="92"/>
      <c r="H797" s="92"/>
      <c r="I797" s="93"/>
    </row>
    <row r="798" spans="1:9" ht="13.5">
      <c r="A798" s="108"/>
      <c r="B798" s="113"/>
      <c r="C798" s="92"/>
      <c r="D798" s="127"/>
      <c r="E798" s="92"/>
      <c r="F798" s="92"/>
      <c r="G798" s="92"/>
      <c r="H798" s="92"/>
      <c r="I798" s="93"/>
    </row>
    <row r="799" spans="1:9" ht="13.5">
      <c r="A799" s="108"/>
      <c r="B799" s="113"/>
      <c r="C799" s="92"/>
      <c r="D799" s="127"/>
      <c r="E799" s="92"/>
      <c r="F799" s="92"/>
      <c r="G799" s="92"/>
      <c r="H799" s="92"/>
      <c r="I799" s="93"/>
    </row>
    <row r="800" spans="1:9" ht="13.5">
      <c r="A800" s="108"/>
      <c r="B800" s="113"/>
      <c r="C800" s="92"/>
      <c r="D800" s="127"/>
      <c r="E800" s="92"/>
      <c r="F800" s="92"/>
      <c r="G800" s="92"/>
      <c r="H800" s="92"/>
      <c r="I800" s="93"/>
    </row>
    <row r="801" spans="1:9" ht="13.5">
      <c r="A801" s="108"/>
      <c r="B801" s="113"/>
      <c r="C801" s="92"/>
      <c r="D801" s="127"/>
      <c r="E801" s="92"/>
      <c r="F801" s="92"/>
      <c r="G801" s="92"/>
      <c r="H801" s="92"/>
      <c r="I801" s="93"/>
    </row>
    <row r="802" spans="1:9" ht="13.5">
      <c r="A802" s="108"/>
      <c r="B802" s="113"/>
      <c r="C802" s="92"/>
      <c r="D802" s="127"/>
      <c r="E802" s="92"/>
      <c r="F802" s="92"/>
      <c r="G802" s="92"/>
      <c r="H802" s="92"/>
      <c r="I802" s="93"/>
    </row>
    <row r="803" spans="1:9" ht="13.5">
      <c r="A803" s="108"/>
      <c r="B803" s="113"/>
      <c r="C803" s="92"/>
      <c r="D803" s="127"/>
      <c r="E803" s="92"/>
      <c r="F803" s="92"/>
      <c r="G803" s="92"/>
      <c r="H803" s="92"/>
      <c r="I803" s="93"/>
    </row>
    <row r="804" spans="1:9" ht="13.5">
      <c r="A804" s="108"/>
      <c r="B804" s="113"/>
      <c r="C804" s="92"/>
      <c r="D804" s="127"/>
      <c r="E804" s="92"/>
      <c r="F804" s="92"/>
      <c r="G804" s="92"/>
      <c r="H804" s="92"/>
      <c r="I804" s="93"/>
    </row>
    <row r="805" spans="1:9" ht="13.5">
      <c r="A805" s="108"/>
      <c r="B805" s="113"/>
      <c r="C805" s="92"/>
      <c r="D805" s="127"/>
      <c r="E805" s="92"/>
      <c r="F805" s="92"/>
      <c r="G805" s="92"/>
      <c r="H805" s="92"/>
      <c r="I805" s="93"/>
    </row>
    <row r="806" spans="1:9" ht="13.5">
      <c r="A806" s="108"/>
      <c r="B806" s="113"/>
      <c r="C806" s="92"/>
      <c r="D806" s="127"/>
      <c r="E806" s="92"/>
      <c r="F806" s="92"/>
      <c r="G806" s="92"/>
      <c r="H806" s="92"/>
      <c r="I806" s="93"/>
    </row>
    <row r="807" spans="1:9" ht="13.5">
      <c r="A807" s="108"/>
      <c r="B807" s="113"/>
      <c r="C807" s="92"/>
      <c r="D807" s="127"/>
      <c r="E807" s="92"/>
      <c r="F807" s="92"/>
      <c r="G807" s="92"/>
      <c r="H807" s="92"/>
      <c r="I807" s="93"/>
    </row>
    <row r="808" spans="1:9" ht="13.5">
      <c r="A808" s="108"/>
      <c r="B808" s="113"/>
      <c r="C808" s="92"/>
      <c r="D808" s="127"/>
      <c r="E808" s="92"/>
      <c r="F808" s="92"/>
      <c r="G808" s="92"/>
      <c r="H808" s="92"/>
      <c r="I808" s="93"/>
    </row>
    <row r="809" spans="1:9" ht="13.5">
      <c r="A809" s="108"/>
      <c r="B809" s="113"/>
      <c r="C809" s="92"/>
      <c r="D809" s="127"/>
      <c r="E809" s="92"/>
      <c r="F809" s="92"/>
      <c r="G809" s="92"/>
      <c r="H809" s="92"/>
      <c r="I809" s="93"/>
    </row>
    <row r="810" spans="1:9" ht="13.5">
      <c r="A810" s="108"/>
      <c r="B810" s="113"/>
      <c r="C810" s="92"/>
      <c r="D810" s="127"/>
      <c r="E810" s="92"/>
      <c r="F810" s="92"/>
      <c r="G810" s="92"/>
      <c r="H810" s="92"/>
      <c r="I810" s="93"/>
    </row>
    <row r="811" spans="1:9" ht="13.5">
      <c r="A811" s="108"/>
      <c r="B811" s="113"/>
      <c r="C811" s="92"/>
      <c r="D811" s="127"/>
      <c r="E811" s="92"/>
      <c r="F811" s="92"/>
      <c r="G811" s="92"/>
      <c r="H811" s="92"/>
      <c r="I811" s="93"/>
    </row>
    <row r="812" spans="1:9" ht="13.5">
      <c r="A812" s="108"/>
      <c r="B812" s="113"/>
      <c r="C812" s="92"/>
      <c r="D812" s="127"/>
      <c r="E812" s="92"/>
      <c r="F812" s="92"/>
      <c r="G812" s="92"/>
      <c r="H812" s="92"/>
      <c r="I812" s="93"/>
    </row>
    <row r="813" spans="1:9" ht="13.5">
      <c r="A813" s="108"/>
      <c r="B813" s="113"/>
      <c r="C813" s="92"/>
      <c r="D813" s="127"/>
      <c r="E813" s="92"/>
      <c r="F813" s="92"/>
      <c r="G813" s="92"/>
      <c r="H813" s="92"/>
      <c r="I813" s="93"/>
    </row>
    <row r="814" spans="1:9" ht="13.5">
      <c r="A814" s="108"/>
      <c r="B814" s="113"/>
      <c r="C814" s="92"/>
      <c r="D814" s="127"/>
      <c r="E814" s="92"/>
      <c r="F814" s="92"/>
      <c r="G814" s="92"/>
      <c r="H814" s="92"/>
      <c r="I814" s="93"/>
    </row>
    <row r="815" spans="1:9" ht="13.5">
      <c r="A815" s="108"/>
      <c r="B815" s="113"/>
      <c r="C815" s="92"/>
      <c r="D815" s="127"/>
      <c r="E815" s="92"/>
      <c r="F815" s="92"/>
      <c r="G815" s="92"/>
      <c r="H815" s="92"/>
      <c r="I815" s="93"/>
    </row>
    <row r="816" spans="1:9" ht="13.5">
      <c r="A816" s="108"/>
      <c r="B816" s="113"/>
      <c r="C816" s="92"/>
      <c r="D816" s="127"/>
      <c r="E816" s="92"/>
      <c r="F816" s="92"/>
      <c r="G816" s="92"/>
      <c r="H816" s="92"/>
      <c r="I816" s="93"/>
    </row>
    <row r="817" spans="1:9" ht="13.5">
      <c r="A817" s="108"/>
      <c r="B817" s="113"/>
      <c r="C817" s="92"/>
      <c r="D817" s="127"/>
      <c r="E817" s="92"/>
      <c r="F817" s="92"/>
      <c r="G817" s="92"/>
      <c r="H817" s="92"/>
      <c r="I817" s="93"/>
    </row>
    <row r="818" spans="1:9" ht="13.5">
      <c r="A818" s="108"/>
      <c r="B818" s="113"/>
      <c r="C818" s="92"/>
      <c r="D818" s="127"/>
      <c r="E818" s="92"/>
      <c r="F818" s="92"/>
      <c r="G818" s="92"/>
      <c r="H818" s="92"/>
      <c r="I818" s="93"/>
    </row>
    <row r="819" spans="1:9" ht="13.5">
      <c r="A819" s="108"/>
      <c r="B819" s="113"/>
      <c r="C819" s="92"/>
      <c r="D819" s="127"/>
      <c r="E819" s="92"/>
      <c r="F819" s="92"/>
      <c r="G819" s="92"/>
      <c r="H819" s="92"/>
      <c r="I819" s="93"/>
    </row>
    <row r="820" spans="1:9" ht="13.5">
      <c r="A820" s="108"/>
      <c r="B820" s="113"/>
      <c r="C820" s="92"/>
      <c r="D820" s="127"/>
      <c r="E820" s="92"/>
      <c r="F820" s="92"/>
      <c r="G820" s="92"/>
      <c r="H820" s="92"/>
      <c r="I820" s="93"/>
    </row>
    <row r="821" spans="1:9" ht="13.5">
      <c r="A821" s="108"/>
      <c r="B821" s="113"/>
      <c r="C821" s="92"/>
      <c r="D821" s="127"/>
      <c r="E821" s="92"/>
      <c r="F821" s="92"/>
      <c r="G821" s="92"/>
      <c r="H821" s="92"/>
      <c r="I821" s="93"/>
    </row>
    <row r="822" spans="1:9" ht="13.5">
      <c r="A822" s="108"/>
      <c r="B822" s="113"/>
      <c r="C822" s="92"/>
      <c r="D822" s="127"/>
      <c r="E822" s="92"/>
      <c r="F822" s="92"/>
      <c r="G822" s="92"/>
      <c r="H822" s="92"/>
      <c r="I822" s="93"/>
    </row>
    <row r="823" spans="1:9" ht="13.5">
      <c r="A823" s="108"/>
      <c r="B823" s="113"/>
      <c r="C823" s="92"/>
      <c r="D823" s="127"/>
      <c r="E823" s="92"/>
      <c r="F823" s="92"/>
      <c r="G823" s="92"/>
      <c r="H823" s="92"/>
      <c r="I823" s="93"/>
    </row>
    <row r="824" spans="1:9" ht="13.5">
      <c r="A824" s="108"/>
      <c r="B824" s="113"/>
      <c r="C824" s="92"/>
      <c r="D824" s="127"/>
      <c r="E824" s="92"/>
      <c r="F824" s="92"/>
      <c r="G824" s="92"/>
      <c r="H824" s="92"/>
      <c r="I824" s="93"/>
    </row>
    <row r="825" spans="1:9" ht="13.5">
      <c r="A825" s="108"/>
      <c r="B825" s="113"/>
      <c r="C825" s="92"/>
      <c r="D825" s="127"/>
      <c r="E825" s="92"/>
      <c r="F825" s="92"/>
      <c r="G825" s="92"/>
      <c r="H825" s="92"/>
      <c r="I825" s="93"/>
    </row>
    <row r="826" spans="1:9" ht="13.5">
      <c r="A826" s="108"/>
      <c r="B826" s="113"/>
      <c r="C826" s="92"/>
      <c r="D826" s="127"/>
      <c r="E826" s="92"/>
      <c r="F826" s="92"/>
      <c r="G826" s="92"/>
      <c r="H826" s="92"/>
      <c r="I826" s="93"/>
    </row>
    <row r="827" spans="1:9" ht="13.5">
      <c r="A827" s="108"/>
      <c r="B827" s="113"/>
      <c r="C827" s="92"/>
      <c r="D827" s="127"/>
      <c r="E827" s="92"/>
      <c r="F827" s="92"/>
      <c r="G827" s="92"/>
      <c r="H827" s="92"/>
      <c r="I827" s="93"/>
    </row>
    <row r="828" spans="1:9" ht="13.5">
      <c r="A828" s="108"/>
      <c r="B828" s="113"/>
      <c r="C828" s="92"/>
      <c r="D828" s="127"/>
      <c r="E828" s="92"/>
      <c r="F828" s="92"/>
      <c r="G828" s="92"/>
      <c r="H828" s="92"/>
      <c r="I828" s="93"/>
    </row>
    <row r="829" spans="1:9" ht="13.5">
      <c r="A829" s="108"/>
      <c r="B829" s="113"/>
      <c r="C829" s="92"/>
      <c r="D829" s="127"/>
      <c r="E829" s="92"/>
      <c r="F829" s="92"/>
      <c r="G829" s="92"/>
      <c r="H829" s="92"/>
      <c r="I829" s="93"/>
    </row>
    <row r="830" spans="1:9" ht="13.5">
      <c r="A830" s="108"/>
      <c r="B830" s="113"/>
      <c r="C830" s="92"/>
      <c r="D830" s="127"/>
      <c r="E830" s="92"/>
      <c r="F830" s="92"/>
      <c r="G830" s="92"/>
      <c r="H830" s="92"/>
      <c r="I830" s="93"/>
    </row>
    <row r="831" spans="1:9" ht="13.5">
      <c r="A831" s="108"/>
      <c r="B831" s="113"/>
      <c r="C831" s="92"/>
      <c r="D831" s="127"/>
      <c r="E831" s="92"/>
      <c r="F831" s="92"/>
      <c r="G831" s="92"/>
      <c r="H831" s="92"/>
      <c r="I831" s="93"/>
    </row>
    <row r="832" spans="1:9" ht="13.5">
      <c r="A832" s="108"/>
      <c r="B832" s="113"/>
      <c r="C832" s="92"/>
      <c r="D832" s="127"/>
      <c r="E832" s="92"/>
      <c r="F832" s="92"/>
      <c r="G832" s="92"/>
      <c r="H832" s="92"/>
      <c r="I832" s="93"/>
    </row>
    <row r="833" spans="1:9" ht="13.5">
      <c r="A833" s="108"/>
      <c r="B833" s="113"/>
      <c r="C833" s="92"/>
      <c r="D833" s="127"/>
      <c r="E833" s="92"/>
      <c r="F833" s="92"/>
      <c r="G833" s="92"/>
      <c r="H833" s="92"/>
      <c r="I833" s="93"/>
    </row>
    <row r="834" spans="1:9" ht="13.5">
      <c r="A834" s="108"/>
      <c r="B834" s="113"/>
      <c r="C834" s="92"/>
      <c r="D834" s="127"/>
      <c r="E834" s="92"/>
      <c r="F834" s="92"/>
      <c r="G834" s="92"/>
      <c r="H834" s="92"/>
      <c r="I834" s="93"/>
    </row>
    <row r="835" spans="1:9" ht="13.5">
      <c r="A835" s="108"/>
      <c r="B835" s="113"/>
      <c r="C835" s="92"/>
      <c r="D835" s="127"/>
      <c r="E835" s="92"/>
      <c r="F835" s="92"/>
      <c r="G835" s="92"/>
      <c r="H835" s="92"/>
      <c r="I835" s="93"/>
    </row>
    <row r="836" spans="1:9" ht="13.5">
      <c r="A836" s="108"/>
      <c r="B836" s="113"/>
      <c r="C836" s="92"/>
      <c r="D836" s="127"/>
      <c r="E836" s="92"/>
      <c r="F836" s="92"/>
      <c r="G836" s="92"/>
      <c r="H836" s="92"/>
      <c r="I836" s="93"/>
    </row>
    <row r="837" spans="1:9" ht="13.5">
      <c r="A837" s="108"/>
      <c r="B837" s="113"/>
      <c r="C837" s="92"/>
      <c r="D837" s="127"/>
      <c r="E837" s="92"/>
      <c r="F837" s="92"/>
      <c r="G837" s="92"/>
      <c r="H837" s="92"/>
      <c r="I837" s="93"/>
    </row>
    <row r="838" spans="1:9" ht="13.5">
      <c r="A838" s="108"/>
      <c r="B838" s="113"/>
      <c r="C838" s="92"/>
      <c r="D838" s="127"/>
      <c r="E838" s="92"/>
      <c r="F838" s="92"/>
      <c r="G838" s="92"/>
      <c r="H838" s="92"/>
      <c r="I838" s="93"/>
    </row>
    <row r="839" spans="1:9" ht="13.5">
      <c r="A839" s="108"/>
      <c r="B839" s="113"/>
      <c r="C839" s="92"/>
      <c r="D839" s="127"/>
      <c r="E839" s="92"/>
      <c r="F839" s="92"/>
      <c r="G839" s="92"/>
      <c r="H839" s="92"/>
      <c r="I839" s="93"/>
    </row>
    <row r="840" spans="1:9" ht="13.5">
      <c r="A840" s="108"/>
      <c r="B840" s="113"/>
      <c r="C840" s="92"/>
      <c r="D840" s="127"/>
      <c r="E840" s="92"/>
      <c r="F840" s="92"/>
      <c r="G840" s="92"/>
      <c r="H840" s="92"/>
      <c r="I840" s="93"/>
    </row>
    <row r="841" spans="1:9" ht="13.5">
      <c r="A841" s="108"/>
      <c r="B841" s="113"/>
      <c r="C841" s="92"/>
      <c r="D841" s="127"/>
      <c r="E841" s="92"/>
      <c r="F841" s="92"/>
      <c r="G841" s="92"/>
      <c r="H841" s="92"/>
      <c r="I841" s="93"/>
    </row>
    <row r="842" spans="1:9" ht="13.5">
      <c r="A842" s="108"/>
      <c r="B842" s="113"/>
      <c r="C842" s="92"/>
      <c r="D842" s="127"/>
      <c r="E842" s="92"/>
      <c r="F842" s="92"/>
      <c r="G842" s="92"/>
      <c r="H842" s="92"/>
      <c r="I842" s="93"/>
    </row>
    <row r="843" spans="1:9" ht="13.5">
      <c r="A843" s="108"/>
      <c r="B843" s="113"/>
      <c r="C843" s="92"/>
      <c r="D843" s="127"/>
      <c r="E843" s="92"/>
      <c r="F843" s="92"/>
      <c r="G843" s="92"/>
      <c r="H843" s="92"/>
      <c r="I843" s="93"/>
    </row>
    <row r="844" spans="1:9" ht="13.5">
      <c r="A844" s="108"/>
      <c r="B844" s="113"/>
      <c r="C844" s="92"/>
      <c r="D844" s="127"/>
      <c r="E844" s="92"/>
      <c r="F844" s="92"/>
      <c r="G844" s="92"/>
      <c r="H844" s="92"/>
      <c r="I844" s="93"/>
    </row>
    <row r="845" spans="1:9" ht="13.5">
      <c r="A845" s="108"/>
      <c r="B845" s="113"/>
      <c r="C845" s="92"/>
      <c r="D845" s="127"/>
      <c r="E845" s="92"/>
      <c r="F845" s="92"/>
      <c r="G845" s="92"/>
      <c r="H845" s="92"/>
      <c r="I845" s="93"/>
    </row>
    <row r="846" spans="1:9" ht="13.5">
      <c r="A846" s="108"/>
      <c r="B846" s="113"/>
      <c r="C846" s="92"/>
      <c r="D846" s="127"/>
      <c r="E846" s="92"/>
      <c r="F846" s="92"/>
      <c r="G846" s="92"/>
      <c r="H846" s="92"/>
      <c r="I846" s="93"/>
    </row>
    <row r="847" spans="1:9" ht="13.5">
      <c r="A847" s="108"/>
      <c r="B847" s="113"/>
      <c r="C847" s="92"/>
      <c r="D847" s="127"/>
      <c r="E847" s="92"/>
      <c r="F847" s="92"/>
      <c r="G847" s="92"/>
      <c r="H847" s="92"/>
      <c r="I847" s="93"/>
    </row>
    <row r="848" spans="1:9" ht="13.5">
      <c r="A848" s="108"/>
      <c r="B848" s="113"/>
      <c r="C848" s="92"/>
      <c r="D848" s="127"/>
      <c r="E848" s="92"/>
      <c r="F848" s="92"/>
      <c r="G848" s="92"/>
      <c r="H848" s="92"/>
      <c r="I848" s="93"/>
    </row>
    <row r="849" spans="1:9" ht="13.5">
      <c r="A849" s="108"/>
      <c r="B849" s="113"/>
      <c r="C849" s="92"/>
      <c r="D849" s="127"/>
      <c r="E849" s="92"/>
      <c r="F849" s="92"/>
      <c r="G849" s="92"/>
      <c r="H849" s="92"/>
      <c r="I849" s="93"/>
    </row>
    <row r="850" spans="1:9" ht="13.5">
      <c r="A850" s="108"/>
      <c r="B850" s="113"/>
      <c r="C850" s="92"/>
      <c r="D850" s="127"/>
      <c r="E850" s="92"/>
      <c r="F850" s="92"/>
      <c r="G850" s="92"/>
      <c r="H850" s="92"/>
      <c r="I850" s="93"/>
    </row>
    <row r="851" spans="1:9" ht="13.5">
      <c r="A851" s="108"/>
      <c r="B851" s="113"/>
      <c r="C851" s="92"/>
      <c r="D851" s="127"/>
      <c r="E851" s="92"/>
      <c r="F851" s="92"/>
      <c r="G851" s="92"/>
      <c r="H851" s="92"/>
      <c r="I851" s="93"/>
    </row>
    <row r="852" spans="1:9" ht="13.5">
      <c r="A852" s="108"/>
      <c r="B852" s="113"/>
      <c r="C852" s="92"/>
      <c r="D852" s="127"/>
      <c r="E852" s="92"/>
      <c r="F852" s="92"/>
      <c r="G852" s="92"/>
      <c r="H852" s="92"/>
      <c r="I852" s="93"/>
    </row>
    <row r="853" spans="1:9" ht="13.5">
      <c r="A853" s="108"/>
      <c r="B853" s="113"/>
      <c r="C853" s="92"/>
      <c r="D853" s="127"/>
      <c r="E853" s="92"/>
      <c r="F853" s="92"/>
      <c r="G853" s="92"/>
      <c r="H853" s="92"/>
      <c r="I853" s="93"/>
    </row>
    <row r="854" spans="1:9" ht="13.5">
      <c r="A854" s="108"/>
      <c r="B854" s="113"/>
      <c r="C854" s="92"/>
      <c r="D854" s="127"/>
      <c r="E854" s="92"/>
      <c r="F854" s="92"/>
      <c r="G854" s="92"/>
      <c r="H854" s="92"/>
      <c r="I854" s="93"/>
    </row>
    <row r="855" spans="1:9" ht="13.5">
      <c r="A855" s="108"/>
      <c r="B855" s="113"/>
      <c r="C855" s="92"/>
      <c r="D855" s="127"/>
      <c r="E855" s="92"/>
      <c r="F855" s="92"/>
      <c r="G855" s="92"/>
      <c r="H855" s="92"/>
      <c r="I855" s="93"/>
    </row>
    <row r="856" spans="1:9" ht="13.5">
      <c r="A856" s="108"/>
      <c r="B856" s="113"/>
      <c r="C856" s="92"/>
      <c r="D856" s="127"/>
      <c r="E856" s="92"/>
      <c r="F856" s="92"/>
      <c r="G856" s="92"/>
      <c r="H856" s="92"/>
      <c r="I856" s="93"/>
    </row>
    <row r="857" spans="1:9" ht="13.5">
      <c r="A857" s="108"/>
      <c r="B857" s="113"/>
      <c r="C857" s="92"/>
      <c r="D857" s="127"/>
      <c r="E857" s="92"/>
      <c r="F857" s="92"/>
      <c r="G857" s="92"/>
      <c r="H857" s="92"/>
      <c r="I857" s="93"/>
    </row>
    <row r="858" spans="1:9" ht="13.5">
      <c r="A858" s="108"/>
      <c r="B858" s="113"/>
      <c r="C858" s="92"/>
      <c r="D858" s="127"/>
      <c r="E858" s="92"/>
      <c r="F858" s="92"/>
      <c r="G858" s="92"/>
      <c r="H858" s="92"/>
      <c r="I858" s="93"/>
    </row>
    <row r="859" spans="1:9" ht="13.5">
      <c r="A859" s="108"/>
      <c r="B859" s="113"/>
      <c r="C859" s="92"/>
      <c r="D859" s="127"/>
      <c r="E859" s="92"/>
      <c r="F859" s="92"/>
      <c r="G859" s="92"/>
      <c r="H859" s="92"/>
      <c r="I859" s="93"/>
    </row>
    <row r="860" spans="1:9" ht="13.5">
      <c r="A860" s="108"/>
      <c r="B860" s="113"/>
      <c r="C860" s="92"/>
      <c r="D860" s="127"/>
      <c r="E860" s="92"/>
      <c r="F860" s="92"/>
      <c r="G860" s="92"/>
      <c r="H860" s="92"/>
      <c r="I860" s="93"/>
    </row>
    <row r="861" spans="1:9" ht="13.5">
      <c r="A861" s="108"/>
      <c r="B861" s="113"/>
      <c r="C861" s="92"/>
      <c r="D861" s="127"/>
      <c r="E861" s="92"/>
      <c r="F861" s="92"/>
      <c r="G861" s="92"/>
      <c r="H861" s="92"/>
      <c r="I861" s="93"/>
    </row>
    <row r="862" spans="1:9" ht="13.5">
      <c r="A862" s="108"/>
      <c r="B862" s="113"/>
      <c r="C862" s="92"/>
      <c r="D862" s="127"/>
      <c r="E862" s="92"/>
      <c r="F862" s="92"/>
      <c r="G862" s="92"/>
      <c r="H862" s="92"/>
      <c r="I862" s="93"/>
    </row>
    <row r="863" spans="1:9" ht="13.5">
      <c r="A863" s="108"/>
      <c r="B863" s="113"/>
      <c r="C863" s="92"/>
      <c r="D863" s="127"/>
      <c r="E863" s="92"/>
      <c r="F863" s="92"/>
      <c r="G863" s="92"/>
      <c r="H863" s="92"/>
      <c r="I863" s="93"/>
    </row>
    <row r="864" spans="1:9" ht="13.5">
      <c r="A864" s="108"/>
      <c r="B864" s="113"/>
      <c r="C864" s="92"/>
      <c r="D864" s="127"/>
      <c r="E864" s="92"/>
      <c r="F864" s="92"/>
      <c r="G864" s="92"/>
      <c r="H864" s="92"/>
      <c r="I864" s="93"/>
    </row>
    <row r="865" spans="1:9" ht="13.5">
      <c r="A865" s="108"/>
      <c r="B865" s="113"/>
      <c r="C865" s="92"/>
      <c r="D865" s="127"/>
      <c r="E865" s="92"/>
      <c r="F865" s="92"/>
      <c r="G865" s="92"/>
      <c r="H865" s="92"/>
      <c r="I865" s="93"/>
    </row>
    <row r="866" spans="1:9" ht="13.5">
      <c r="A866" s="108"/>
      <c r="B866" s="113"/>
      <c r="C866" s="92"/>
      <c r="D866" s="127"/>
      <c r="E866" s="92"/>
      <c r="F866" s="92"/>
      <c r="G866" s="92"/>
      <c r="H866" s="92"/>
      <c r="I866" s="93"/>
    </row>
    <row r="867" spans="1:9" ht="13.5">
      <c r="A867" s="108"/>
      <c r="B867" s="113"/>
      <c r="C867" s="92"/>
      <c r="D867" s="127"/>
      <c r="E867" s="92"/>
      <c r="F867" s="92"/>
      <c r="G867" s="92"/>
      <c r="H867" s="92"/>
      <c r="I867" s="93"/>
    </row>
    <row r="868" spans="1:9" ht="13.5">
      <c r="A868" s="108"/>
      <c r="B868" s="113"/>
      <c r="C868" s="92"/>
      <c r="D868" s="127"/>
      <c r="E868" s="92"/>
      <c r="F868" s="92"/>
      <c r="G868" s="92"/>
      <c r="H868" s="92"/>
      <c r="I868" s="93"/>
    </row>
    <row r="869" spans="1:9" ht="13.5">
      <c r="A869" s="108"/>
      <c r="B869" s="113"/>
      <c r="C869" s="92"/>
      <c r="D869" s="127"/>
      <c r="E869" s="92"/>
      <c r="F869" s="92"/>
      <c r="G869" s="92"/>
      <c r="H869" s="92"/>
      <c r="I869" s="93"/>
    </row>
    <row r="870" spans="1:9" ht="13.5">
      <c r="A870" s="108"/>
      <c r="B870" s="113"/>
      <c r="C870" s="92"/>
      <c r="D870" s="127"/>
      <c r="E870" s="92"/>
      <c r="F870" s="92"/>
      <c r="G870" s="92"/>
      <c r="H870" s="92"/>
      <c r="I870" s="93"/>
    </row>
    <row r="871" spans="1:9" ht="13.5">
      <c r="A871" s="108"/>
      <c r="B871" s="113"/>
      <c r="C871" s="92"/>
      <c r="D871" s="127"/>
      <c r="E871" s="92"/>
      <c r="F871" s="92"/>
      <c r="G871" s="92"/>
      <c r="H871" s="92"/>
      <c r="I871" s="93"/>
    </row>
    <row r="872" spans="1:9" ht="13.5">
      <c r="A872" s="108"/>
      <c r="B872" s="113"/>
      <c r="C872" s="92"/>
      <c r="D872" s="127"/>
      <c r="E872" s="92"/>
      <c r="F872" s="92"/>
      <c r="G872" s="92"/>
      <c r="H872" s="92"/>
      <c r="I872" s="93"/>
    </row>
    <row r="873" spans="1:9" ht="13.5">
      <c r="A873" s="108"/>
      <c r="B873" s="113"/>
      <c r="C873" s="92"/>
      <c r="D873" s="127"/>
      <c r="E873" s="92"/>
      <c r="F873" s="92"/>
      <c r="G873" s="92"/>
      <c r="H873" s="92"/>
      <c r="I873" s="93"/>
    </row>
    <row r="874" spans="1:9" ht="13.5">
      <c r="A874" s="108"/>
      <c r="B874" s="113"/>
      <c r="C874" s="92"/>
      <c r="D874" s="127"/>
      <c r="E874" s="92"/>
      <c r="F874" s="92"/>
      <c r="G874" s="92"/>
      <c r="H874" s="92"/>
      <c r="I874" s="93"/>
    </row>
    <row r="875" spans="1:9" ht="13.5">
      <c r="A875" s="108"/>
      <c r="B875" s="113"/>
      <c r="C875" s="92"/>
      <c r="D875" s="127"/>
      <c r="E875" s="92"/>
      <c r="F875" s="92"/>
      <c r="G875" s="92"/>
      <c r="H875" s="92"/>
      <c r="I875" s="93"/>
    </row>
    <row r="876" spans="1:9" ht="13.5">
      <c r="A876" s="108"/>
      <c r="B876" s="113"/>
      <c r="C876" s="92"/>
      <c r="D876" s="127"/>
      <c r="E876" s="92"/>
      <c r="F876" s="92"/>
      <c r="G876" s="92"/>
      <c r="H876" s="92"/>
      <c r="I876" s="93"/>
    </row>
    <row r="877" spans="1:9" ht="13.5">
      <c r="A877" s="108"/>
      <c r="B877" s="113"/>
      <c r="C877" s="92"/>
      <c r="D877" s="127"/>
      <c r="E877" s="92"/>
      <c r="F877" s="92"/>
      <c r="G877" s="92"/>
      <c r="H877" s="92"/>
      <c r="I877" s="93"/>
    </row>
    <row r="878" spans="1:9" ht="13.5">
      <c r="A878" s="108"/>
      <c r="B878" s="113"/>
      <c r="C878" s="92"/>
      <c r="D878" s="127"/>
      <c r="E878" s="92"/>
      <c r="F878" s="92"/>
      <c r="G878" s="92"/>
      <c r="H878" s="92"/>
      <c r="I878" s="93"/>
    </row>
    <row r="879" spans="1:9" ht="13.5">
      <c r="A879" s="108"/>
      <c r="B879" s="113"/>
      <c r="C879" s="92"/>
      <c r="D879" s="127"/>
      <c r="E879" s="92"/>
      <c r="F879" s="92"/>
      <c r="G879" s="92"/>
      <c r="H879" s="92"/>
      <c r="I879" s="93"/>
    </row>
    <row r="880" spans="1:9" ht="13.5">
      <c r="A880" s="108"/>
      <c r="B880" s="113"/>
      <c r="C880" s="92"/>
      <c r="D880" s="127"/>
      <c r="E880" s="92"/>
      <c r="F880" s="92"/>
      <c r="G880" s="92"/>
      <c r="H880" s="92"/>
      <c r="I880" s="93"/>
    </row>
    <row r="881" spans="1:9" ht="13.5">
      <c r="A881" s="108"/>
      <c r="B881" s="113"/>
      <c r="C881" s="92"/>
      <c r="D881" s="127"/>
      <c r="E881" s="92"/>
      <c r="F881" s="92"/>
      <c r="G881" s="92"/>
      <c r="H881" s="92"/>
      <c r="I881" s="93"/>
    </row>
    <row r="882" spans="1:9" ht="13.5">
      <c r="A882" s="108"/>
      <c r="B882" s="113"/>
      <c r="C882" s="92"/>
      <c r="D882" s="127"/>
      <c r="E882" s="92"/>
      <c r="F882" s="92"/>
      <c r="G882" s="92"/>
      <c r="H882" s="92"/>
      <c r="I882" s="93"/>
    </row>
    <row r="883" spans="1:9" ht="13.5">
      <c r="A883" s="108"/>
      <c r="B883" s="113"/>
      <c r="C883" s="92"/>
      <c r="D883" s="127"/>
      <c r="E883" s="92"/>
      <c r="F883" s="92"/>
      <c r="G883" s="92"/>
      <c r="H883" s="92"/>
      <c r="I883" s="93"/>
    </row>
    <row r="884" spans="1:9" ht="13.5">
      <c r="A884" s="108"/>
      <c r="B884" s="113"/>
      <c r="C884" s="92"/>
      <c r="D884" s="127"/>
      <c r="E884" s="92"/>
      <c r="F884" s="92"/>
      <c r="G884" s="92"/>
      <c r="H884" s="92"/>
      <c r="I884" s="93"/>
    </row>
    <row r="885" spans="1:9" ht="13.5">
      <c r="A885" s="108"/>
      <c r="B885" s="113"/>
      <c r="C885" s="92"/>
      <c r="D885" s="127"/>
      <c r="E885" s="92"/>
      <c r="F885" s="92"/>
      <c r="G885" s="92"/>
      <c r="H885" s="92"/>
      <c r="I885" s="93"/>
    </row>
    <row r="886" spans="1:9" ht="13.5">
      <c r="A886" s="108"/>
      <c r="B886" s="113"/>
      <c r="C886" s="92"/>
      <c r="D886" s="127"/>
      <c r="E886" s="92"/>
      <c r="F886" s="92"/>
      <c r="G886" s="92"/>
      <c r="H886" s="92"/>
      <c r="I886" s="93"/>
    </row>
    <row r="887" spans="1:9" ht="13.5">
      <c r="A887" s="108"/>
      <c r="B887" s="113"/>
      <c r="C887" s="92"/>
      <c r="D887" s="127"/>
      <c r="E887" s="92"/>
      <c r="F887" s="92"/>
      <c r="G887" s="92"/>
      <c r="H887" s="92"/>
      <c r="I887" s="93"/>
    </row>
    <row r="888" spans="1:9" ht="13.5">
      <c r="A888" s="108"/>
      <c r="B888" s="113"/>
      <c r="C888" s="92"/>
      <c r="D888" s="127"/>
      <c r="E888" s="92"/>
      <c r="F888" s="92"/>
      <c r="G888" s="92"/>
      <c r="H888" s="92"/>
      <c r="I888" s="93"/>
    </row>
    <row r="889" spans="1:9" ht="13.5">
      <c r="A889" s="108"/>
      <c r="B889" s="113"/>
      <c r="C889" s="92"/>
      <c r="D889" s="127"/>
      <c r="E889" s="92"/>
      <c r="F889" s="92"/>
      <c r="G889" s="92"/>
      <c r="H889" s="92"/>
      <c r="I889" s="93"/>
    </row>
    <row r="890" spans="1:9" ht="13.5">
      <c r="A890" s="108"/>
      <c r="B890" s="113"/>
      <c r="C890" s="92"/>
      <c r="D890" s="127"/>
      <c r="E890" s="92"/>
      <c r="F890" s="92"/>
      <c r="G890" s="92"/>
      <c r="H890" s="92"/>
      <c r="I890" s="93"/>
    </row>
    <row r="891" spans="1:9" ht="13.5">
      <c r="A891" s="108"/>
      <c r="B891" s="113"/>
      <c r="C891" s="92"/>
      <c r="D891" s="127"/>
      <c r="E891" s="92"/>
      <c r="F891" s="92"/>
      <c r="G891" s="92"/>
      <c r="H891" s="92"/>
      <c r="I891" s="93"/>
    </row>
    <row r="892" spans="1:9" ht="13.5">
      <c r="A892" s="108"/>
      <c r="B892" s="113"/>
      <c r="C892" s="92"/>
      <c r="D892" s="127"/>
      <c r="E892" s="92"/>
      <c r="F892" s="92"/>
      <c r="G892" s="92"/>
      <c r="H892" s="92"/>
      <c r="I892" s="93"/>
    </row>
    <row r="893" spans="1:9" ht="13.5">
      <c r="A893" s="108"/>
      <c r="B893" s="113"/>
      <c r="C893" s="92"/>
      <c r="D893" s="127"/>
      <c r="E893" s="92"/>
      <c r="F893" s="92"/>
      <c r="G893" s="92"/>
      <c r="H893" s="92"/>
      <c r="I893" s="93"/>
    </row>
    <row r="894" spans="1:9" ht="13.5">
      <c r="A894" s="108"/>
      <c r="B894" s="113"/>
      <c r="C894" s="92"/>
      <c r="D894" s="127"/>
      <c r="E894" s="92"/>
      <c r="F894" s="92"/>
      <c r="G894" s="92"/>
      <c r="H894" s="92"/>
      <c r="I894" s="93"/>
    </row>
    <row r="895" spans="1:9" ht="13.5">
      <c r="A895" s="108"/>
      <c r="B895" s="113"/>
      <c r="C895" s="92"/>
      <c r="D895" s="127"/>
      <c r="E895" s="92"/>
      <c r="F895" s="92"/>
      <c r="G895" s="92"/>
      <c r="H895" s="92"/>
      <c r="I895" s="93"/>
    </row>
    <row r="896" spans="1:9" ht="13.5">
      <c r="A896" s="108"/>
      <c r="B896" s="113"/>
      <c r="C896" s="92"/>
      <c r="D896" s="127"/>
      <c r="E896" s="92"/>
      <c r="F896" s="92"/>
      <c r="G896" s="92"/>
      <c r="H896" s="92"/>
      <c r="I896" s="93"/>
    </row>
    <row r="897" spans="1:9" ht="13.5">
      <c r="A897" s="108"/>
      <c r="B897" s="113"/>
      <c r="C897" s="92"/>
      <c r="D897" s="127"/>
      <c r="E897" s="92"/>
      <c r="F897" s="92"/>
      <c r="G897" s="92"/>
      <c r="H897" s="92"/>
      <c r="I897" s="93"/>
    </row>
    <row r="898" spans="1:9" ht="13.5">
      <c r="A898" s="108"/>
      <c r="B898" s="113"/>
      <c r="C898" s="92"/>
      <c r="D898" s="127"/>
      <c r="E898" s="92"/>
      <c r="F898" s="92"/>
      <c r="G898" s="92"/>
      <c r="H898" s="92"/>
      <c r="I898" s="93"/>
    </row>
    <row r="899" spans="1:9" ht="13.5">
      <c r="A899" s="108"/>
      <c r="B899" s="113"/>
      <c r="C899" s="92"/>
      <c r="D899" s="127"/>
      <c r="E899" s="92"/>
      <c r="F899" s="92"/>
      <c r="G899" s="92"/>
      <c r="H899" s="92"/>
      <c r="I899" s="93"/>
    </row>
    <row r="900" spans="1:9" ht="13.5">
      <c r="A900" s="108"/>
      <c r="B900" s="113"/>
      <c r="C900" s="92"/>
      <c r="D900" s="127"/>
      <c r="E900" s="92"/>
      <c r="F900" s="92"/>
      <c r="G900" s="92"/>
      <c r="H900" s="92"/>
      <c r="I900" s="93"/>
    </row>
    <row r="901" spans="1:9" ht="13.5">
      <c r="A901" s="108"/>
      <c r="B901" s="113"/>
      <c r="C901" s="92"/>
      <c r="D901" s="127"/>
      <c r="E901" s="92"/>
      <c r="F901" s="92"/>
      <c r="G901" s="92"/>
      <c r="H901" s="92"/>
      <c r="I901" s="93"/>
    </row>
    <row r="902" spans="1:9" ht="13.5">
      <c r="A902" s="108"/>
      <c r="B902" s="113"/>
      <c r="C902" s="92"/>
      <c r="D902" s="127"/>
      <c r="E902" s="92"/>
      <c r="F902" s="92"/>
      <c r="G902" s="92"/>
      <c r="H902" s="92"/>
      <c r="I902" s="93"/>
    </row>
    <row r="903" spans="1:9" ht="13.5">
      <c r="A903" s="108"/>
      <c r="B903" s="113"/>
      <c r="C903" s="92"/>
      <c r="D903" s="127"/>
      <c r="E903" s="92"/>
      <c r="F903" s="92"/>
      <c r="G903" s="92"/>
      <c r="H903" s="92"/>
      <c r="I903" s="93"/>
    </row>
    <row r="904" spans="1:9" ht="13.5">
      <c r="A904" s="108"/>
      <c r="B904" s="113"/>
      <c r="C904" s="92"/>
      <c r="D904" s="127"/>
      <c r="E904" s="92"/>
      <c r="F904" s="92"/>
      <c r="G904" s="92"/>
      <c r="H904" s="92"/>
      <c r="I904" s="93"/>
    </row>
    <row r="905" spans="1:9" ht="13.5">
      <c r="A905" s="108"/>
      <c r="B905" s="113"/>
      <c r="C905" s="92"/>
      <c r="D905" s="127"/>
      <c r="E905" s="92"/>
      <c r="F905" s="92"/>
      <c r="G905" s="92"/>
      <c r="H905" s="92"/>
      <c r="I905" s="93"/>
    </row>
    <row r="906" spans="1:9" ht="13.5">
      <c r="A906" s="108"/>
      <c r="B906" s="113"/>
      <c r="C906" s="92"/>
      <c r="D906" s="127"/>
      <c r="E906" s="92"/>
      <c r="F906" s="92"/>
      <c r="G906" s="92"/>
      <c r="H906" s="92"/>
      <c r="I906" s="93"/>
    </row>
    <row r="907" spans="1:9" ht="13.5">
      <c r="A907" s="108"/>
      <c r="B907" s="113"/>
      <c r="C907" s="92"/>
      <c r="D907" s="127"/>
      <c r="E907" s="92"/>
      <c r="F907" s="92"/>
      <c r="G907" s="92"/>
      <c r="H907" s="92"/>
      <c r="I907" s="93"/>
    </row>
    <row r="908" spans="1:9" ht="13.5">
      <c r="A908" s="108"/>
      <c r="B908" s="113"/>
      <c r="C908" s="92"/>
      <c r="D908" s="127"/>
      <c r="E908" s="92"/>
      <c r="F908" s="92"/>
      <c r="G908" s="92"/>
      <c r="H908" s="92"/>
      <c r="I908" s="93"/>
    </row>
    <row r="909" spans="1:9" ht="13.5">
      <c r="A909" s="108"/>
      <c r="B909" s="113"/>
      <c r="C909" s="92"/>
      <c r="D909" s="127"/>
      <c r="E909" s="92"/>
      <c r="F909" s="92"/>
      <c r="G909" s="92"/>
      <c r="H909" s="92"/>
      <c r="I909" s="93"/>
    </row>
    <row r="910" spans="1:9" ht="13.5">
      <c r="A910" s="108"/>
      <c r="B910" s="113"/>
      <c r="C910" s="92"/>
      <c r="D910" s="127"/>
      <c r="E910" s="92"/>
      <c r="F910" s="92"/>
      <c r="G910" s="92"/>
      <c r="H910" s="92"/>
      <c r="I910" s="93"/>
    </row>
    <row r="911" spans="1:9" ht="13.5">
      <c r="A911" s="108"/>
      <c r="B911" s="113"/>
      <c r="C911" s="92"/>
      <c r="D911" s="127"/>
      <c r="E911" s="92"/>
      <c r="F911" s="92"/>
      <c r="G911" s="92"/>
      <c r="H911" s="92"/>
      <c r="I911" s="93"/>
    </row>
    <row r="912" spans="1:9" ht="13.5">
      <c r="A912" s="108"/>
      <c r="B912" s="113"/>
      <c r="C912" s="92"/>
      <c r="D912" s="127"/>
      <c r="E912" s="92"/>
      <c r="F912" s="92"/>
      <c r="G912" s="92"/>
      <c r="H912" s="92"/>
      <c r="I912" s="93"/>
    </row>
    <row r="913" spans="1:9" ht="13.5">
      <c r="A913" s="108"/>
      <c r="B913" s="113"/>
      <c r="C913" s="92"/>
      <c r="D913" s="127"/>
      <c r="E913" s="92"/>
      <c r="F913" s="92"/>
      <c r="G913" s="92"/>
      <c r="H913" s="92"/>
      <c r="I913" s="93"/>
    </row>
    <row r="914" spans="1:9" ht="13.5">
      <c r="A914" s="108"/>
      <c r="B914" s="113"/>
      <c r="C914" s="92"/>
      <c r="D914" s="127"/>
      <c r="E914" s="92"/>
      <c r="F914" s="92"/>
      <c r="G914" s="92"/>
      <c r="H914" s="92"/>
      <c r="I914" s="93"/>
    </row>
    <row r="915" spans="1:9" ht="13.5">
      <c r="A915" s="108"/>
      <c r="B915" s="113"/>
      <c r="C915" s="92"/>
      <c r="D915" s="127"/>
      <c r="E915" s="92"/>
      <c r="F915" s="92"/>
      <c r="G915" s="92"/>
      <c r="H915" s="92"/>
      <c r="I915" s="93"/>
    </row>
    <row r="916" spans="1:9" ht="13.5">
      <c r="A916" s="108"/>
      <c r="B916" s="113"/>
      <c r="C916" s="92"/>
      <c r="D916" s="127"/>
      <c r="E916" s="92"/>
      <c r="F916" s="92"/>
      <c r="G916" s="92"/>
      <c r="H916" s="92"/>
      <c r="I916" s="93"/>
    </row>
    <row r="917" spans="1:9" ht="13.5">
      <c r="A917" s="108"/>
      <c r="B917" s="113"/>
      <c r="C917" s="92"/>
      <c r="D917" s="127"/>
      <c r="E917" s="92"/>
      <c r="F917" s="92"/>
      <c r="G917" s="92"/>
      <c r="H917" s="92"/>
      <c r="I917" s="93"/>
    </row>
    <row r="918" spans="1:9" ht="13.5">
      <c r="A918" s="108"/>
      <c r="B918" s="113"/>
      <c r="C918" s="92"/>
      <c r="D918" s="127"/>
      <c r="E918" s="92"/>
      <c r="F918" s="92"/>
      <c r="G918" s="92"/>
      <c r="H918" s="92"/>
      <c r="I918" s="93"/>
    </row>
    <row r="919" spans="1:9" ht="13.5">
      <c r="A919" s="108"/>
      <c r="B919" s="113"/>
      <c r="C919" s="92"/>
      <c r="D919" s="127"/>
      <c r="E919" s="92"/>
      <c r="F919" s="92"/>
      <c r="G919" s="92"/>
      <c r="H919" s="92"/>
      <c r="I919" s="93"/>
    </row>
    <row r="920" spans="1:9" ht="13.5">
      <c r="A920" s="108"/>
      <c r="B920" s="113"/>
      <c r="C920" s="92"/>
      <c r="D920" s="127"/>
      <c r="E920" s="92"/>
      <c r="F920" s="92"/>
      <c r="G920" s="92"/>
      <c r="H920" s="92"/>
      <c r="I920" s="93"/>
    </row>
    <row r="921" spans="1:9" ht="13.5">
      <c r="A921" s="108"/>
      <c r="B921" s="113"/>
      <c r="C921" s="92"/>
      <c r="D921" s="127"/>
      <c r="E921" s="92"/>
      <c r="F921" s="92"/>
      <c r="G921" s="92"/>
      <c r="H921" s="92"/>
      <c r="I921" s="93"/>
    </row>
    <row r="922" spans="1:9" ht="13.5">
      <c r="A922" s="108"/>
      <c r="B922" s="113"/>
      <c r="C922" s="92"/>
      <c r="D922" s="127"/>
      <c r="E922" s="92"/>
      <c r="F922" s="92"/>
      <c r="G922" s="92"/>
      <c r="H922" s="92"/>
      <c r="I922" s="93"/>
    </row>
    <row r="923" spans="1:9" ht="13.5">
      <c r="A923" s="108"/>
      <c r="B923" s="113"/>
      <c r="C923" s="92"/>
      <c r="D923" s="127"/>
      <c r="E923" s="92"/>
      <c r="F923" s="92"/>
      <c r="G923" s="92"/>
      <c r="H923" s="92"/>
      <c r="I923" s="93"/>
    </row>
    <row r="924" spans="1:9" ht="13.5">
      <c r="A924" s="108"/>
      <c r="B924" s="113"/>
      <c r="C924" s="92"/>
      <c r="D924" s="127"/>
      <c r="E924" s="92"/>
      <c r="F924" s="92"/>
      <c r="G924" s="92"/>
      <c r="H924" s="92"/>
      <c r="I924" s="93"/>
    </row>
    <row r="925" spans="1:9" ht="13.5">
      <c r="A925" s="108"/>
      <c r="B925" s="113"/>
      <c r="C925" s="92"/>
      <c r="D925" s="127"/>
      <c r="E925" s="92"/>
      <c r="F925" s="92"/>
      <c r="G925" s="92"/>
      <c r="H925" s="92"/>
      <c r="I925" s="93"/>
    </row>
    <row r="926" spans="1:9" ht="13.5">
      <c r="A926" s="108"/>
      <c r="B926" s="113"/>
      <c r="C926" s="92"/>
      <c r="D926" s="127"/>
      <c r="E926" s="92"/>
      <c r="F926" s="92"/>
      <c r="G926" s="92"/>
      <c r="H926" s="92"/>
      <c r="I926" s="93"/>
    </row>
    <row r="927" spans="1:9" ht="13.5">
      <c r="A927" s="108"/>
      <c r="B927" s="113"/>
      <c r="C927" s="92"/>
      <c r="D927" s="127"/>
      <c r="E927" s="92"/>
      <c r="F927" s="92"/>
      <c r="G927" s="92"/>
      <c r="H927" s="92"/>
      <c r="I927" s="93"/>
    </row>
    <row r="928" spans="1:9" ht="13.5">
      <c r="A928" s="108"/>
      <c r="B928" s="113"/>
      <c r="C928" s="92"/>
      <c r="D928" s="127"/>
      <c r="E928" s="92"/>
      <c r="F928" s="92"/>
      <c r="G928" s="92"/>
      <c r="H928" s="92"/>
      <c r="I928" s="93"/>
    </row>
    <row r="929" spans="1:9" ht="13.5">
      <c r="A929" s="108"/>
      <c r="B929" s="113"/>
      <c r="C929" s="92"/>
      <c r="D929" s="127"/>
      <c r="E929" s="92"/>
      <c r="F929" s="92"/>
      <c r="G929" s="92"/>
      <c r="H929" s="92"/>
      <c r="I929" s="93"/>
    </row>
    <row r="930" spans="1:9" ht="13.5">
      <c r="A930" s="108"/>
      <c r="B930" s="113"/>
      <c r="C930" s="92"/>
      <c r="D930" s="127"/>
      <c r="E930" s="92"/>
      <c r="F930" s="92"/>
      <c r="G930" s="92"/>
      <c r="H930" s="92"/>
      <c r="I930" s="93"/>
    </row>
    <row r="931" spans="1:9" ht="13.5">
      <c r="A931" s="108"/>
      <c r="B931" s="113"/>
      <c r="C931" s="92"/>
      <c r="D931" s="127"/>
      <c r="E931" s="92"/>
      <c r="F931" s="92"/>
      <c r="G931" s="92"/>
      <c r="H931" s="92"/>
      <c r="I931" s="93"/>
    </row>
    <row r="932" spans="1:9" ht="13.5">
      <c r="A932" s="108"/>
      <c r="B932" s="113"/>
      <c r="C932" s="92"/>
      <c r="D932" s="127"/>
      <c r="E932" s="92"/>
      <c r="F932" s="92"/>
      <c r="G932" s="92"/>
      <c r="H932" s="92"/>
      <c r="I932" s="93"/>
    </row>
    <row r="933" spans="1:9" ht="13.5">
      <c r="A933" s="108"/>
      <c r="B933" s="113"/>
      <c r="C933" s="92"/>
      <c r="D933" s="127"/>
      <c r="E933" s="92"/>
      <c r="F933" s="92"/>
      <c r="G933" s="92"/>
      <c r="H933" s="92"/>
      <c r="I933" s="93"/>
    </row>
    <row r="934" spans="1:9" ht="13.5">
      <c r="A934" s="108"/>
      <c r="B934" s="113"/>
      <c r="C934" s="92"/>
      <c r="D934" s="127"/>
      <c r="E934" s="92"/>
      <c r="F934" s="92"/>
      <c r="G934" s="92"/>
      <c r="H934" s="92"/>
      <c r="I934" s="93"/>
    </row>
    <row r="935" spans="1:9" ht="13.5">
      <c r="A935" s="108"/>
      <c r="B935" s="113"/>
      <c r="C935" s="92"/>
      <c r="D935" s="127"/>
      <c r="E935" s="92"/>
      <c r="F935" s="92"/>
      <c r="G935" s="92"/>
      <c r="H935" s="92"/>
      <c r="I935" s="93"/>
    </row>
    <row r="936" spans="1:9" ht="13.5">
      <c r="A936" s="108"/>
      <c r="B936" s="113"/>
      <c r="C936" s="92"/>
      <c r="D936" s="127"/>
      <c r="E936" s="92"/>
      <c r="F936" s="92"/>
      <c r="G936" s="92"/>
      <c r="H936" s="92"/>
      <c r="I936" s="93"/>
    </row>
    <row r="937" spans="1:9" ht="13.5">
      <c r="A937" s="108"/>
      <c r="B937" s="113"/>
      <c r="C937" s="92"/>
      <c r="D937" s="127"/>
      <c r="E937" s="92"/>
      <c r="F937" s="92"/>
      <c r="G937" s="92"/>
      <c r="H937" s="92"/>
      <c r="I937" s="93"/>
    </row>
    <row r="938" spans="1:9" ht="13.5">
      <c r="A938" s="108"/>
      <c r="B938" s="113"/>
      <c r="C938" s="92"/>
      <c r="D938" s="127"/>
      <c r="E938" s="92"/>
      <c r="F938" s="92"/>
      <c r="G938" s="92"/>
      <c r="H938" s="92"/>
      <c r="I938" s="93"/>
    </row>
    <row r="939" spans="1:9" ht="13.5">
      <c r="A939" s="108"/>
      <c r="B939" s="113"/>
      <c r="C939" s="92"/>
      <c r="D939" s="127"/>
      <c r="E939" s="92"/>
      <c r="F939" s="92"/>
      <c r="G939" s="92"/>
      <c r="H939" s="92"/>
      <c r="I939" s="93"/>
    </row>
    <row r="940" spans="1:9" ht="13.5">
      <c r="A940" s="108"/>
      <c r="B940" s="113"/>
      <c r="C940" s="92"/>
      <c r="D940" s="127"/>
      <c r="E940" s="92"/>
      <c r="F940" s="92"/>
      <c r="G940" s="92"/>
      <c r="H940" s="92"/>
      <c r="I940" s="93"/>
    </row>
    <row r="941" spans="1:9" ht="13.5">
      <c r="A941" s="108"/>
      <c r="B941" s="113"/>
      <c r="C941" s="92"/>
      <c r="D941" s="127"/>
      <c r="E941" s="92"/>
      <c r="F941" s="92"/>
      <c r="G941" s="92"/>
      <c r="H941" s="92"/>
      <c r="I941" s="93"/>
    </row>
    <row r="942" spans="1:9" ht="13.5">
      <c r="A942" s="108"/>
      <c r="B942" s="113"/>
      <c r="C942" s="92"/>
      <c r="D942" s="127"/>
      <c r="E942" s="92"/>
      <c r="F942" s="92"/>
      <c r="G942" s="92"/>
      <c r="H942" s="92"/>
      <c r="I942" s="93"/>
    </row>
    <row r="943" spans="1:9" ht="13.5">
      <c r="A943" s="108"/>
      <c r="B943" s="113"/>
      <c r="C943" s="92"/>
      <c r="D943" s="127"/>
      <c r="E943" s="92"/>
      <c r="F943" s="92"/>
      <c r="G943" s="92"/>
      <c r="H943" s="92"/>
      <c r="I943" s="93"/>
    </row>
    <row r="944" spans="1:9" ht="13.5">
      <c r="A944" s="108"/>
      <c r="B944" s="113"/>
      <c r="C944" s="92"/>
      <c r="D944" s="127"/>
      <c r="E944" s="92"/>
      <c r="F944" s="92"/>
      <c r="G944" s="92"/>
      <c r="H944" s="92"/>
      <c r="I944" s="93"/>
    </row>
    <row r="945" spans="1:9" ht="13.5">
      <c r="A945" s="108"/>
      <c r="B945" s="113"/>
      <c r="C945" s="92"/>
      <c r="D945" s="127"/>
      <c r="E945" s="92"/>
      <c r="F945" s="92"/>
      <c r="G945" s="92"/>
      <c r="H945" s="92"/>
      <c r="I945" s="93"/>
    </row>
    <row r="946" spans="1:9" ht="13.5">
      <c r="A946" s="108"/>
      <c r="B946" s="113"/>
      <c r="C946" s="92"/>
      <c r="D946" s="127"/>
      <c r="E946" s="92"/>
      <c r="F946" s="92"/>
      <c r="G946" s="92"/>
      <c r="H946" s="92"/>
      <c r="I946" s="93"/>
    </row>
    <row r="947" spans="1:9" ht="13.5">
      <c r="A947" s="108"/>
      <c r="B947" s="113"/>
      <c r="C947" s="92"/>
      <c r="D947" s="127"/>
      <c r="E947" s="92"/>
      <c r="F947" s="92"/>
      <c r="G947" s="92"/>
      <c r="H947" s="92"/>
      <c r="I947" s="93"/>
    </row>
    <row r="948" spans="1:9" ht="13.5">
      <c r="A948" s="108"/>
      <c r="B948" s="113"/>
      <c r="C948" s="92"/>
      <c r="D948" s="127"/>
      <c r="E948" s="92"/>
      <c r="F948" s="92"/>
      <c r="G948" s="92"/>
      <c r="H948" s="92"/>
      <c r="I948" s="93"/>
    </row>
    <row r="949" spans="1:9" ht="13.5">
      <c r="A949" s="108"/>
      <c r="B949" s="113"/>
      <c r="C949" s="92"/>
      <c r="D949" s="127"/>
      <c r="E949" s="92"/>
      <c r="F949" s="92"/>
      <c r="G949" s="92"/>
      <c r="H949" s="92"/>
      <c r="I949" s="93"/>
    </row>
    <row r="950" spans="1:9" ht="13.5">
      <c r="A950" s="108"/>
      <c r="B950" s="113"/>
      <c r="C950" s="92"/>
      <c r="D950" s="127"/>
      <c r="E950" s="92"/>
      <c r="F950" s="92"/>
      <c r="G950" s="92"/>
      <c r="H950" s="92"/>
      <c r="I950" s="93"/>
    </row>
    <row r="951" spans="1:9" ht="13.5">
      <c r="A951" s="108"/>
      <c r="B951" s="113"/>
      <c r="C951" s="92"/>
      <c r="D951" s="127"/>
      <c r="E951" s="92"/>
      <c r="F951" s="92"/>
      <c r="G951" s="92"/>
      <c r="H951" s="92"/>
      <c r="I951" s="93"/>
    </row>
    <row r="952" spans="1:9" ht="13.5">
      <c r="A952" s="108"/>
      <c r="B952" s="113"/>
      <c r="C952" s="92"/>
      <c r="D952" s="127"/>
      <c r="E952" s="92"/>
      <c r="F952" s="92"/>
      <c r="G952" s="92"/>
      <c r="H952" s="92"/>
      <c r="I952" s="93"/>
    </row>
    <row r="953" spans="1:9" ht="13.5">
      <c r="A953" s="108"/>
      <c r="B953" s="113"/>
      <c r="C953" s="92"/>
      <c r="D953" s="127"/>
      <c r="E953" s="92"/>
      <c r="F953" s="92"/>
      <c r="G953" s="92"/>
      <c r="H953" s="92"/>
      <c r="I953" s="93"/>
    </row>
    <row r="954" spans="1:9" ht="13.5">
      <c r="A954" s="108"/>
      <c r="B954" s="113"/>
      <c r="C954" s="92"/>
      <c r="D954" s="127"/>
      <c r="E954" s="92"/>
      <c r="F954" s="92"/>
      <c r="G954" s="92"/>
      <c r="H954" s="92"/>
      <c r="I954" s="93"/>
    </row>
    <row r="955" spans="1:9" ht="13.5">
      <c r="A955" s="108"/>
      <c r="B955" s="113"/>
      <c r="C955" s="92"/>
      <c r="D955" s="127"/>
      <c r="E955" s="92"/>
      <c r="F955" s="92"/>
      <c r="G955" s="92"/>
      <c r="H955" s="92"/>
      <c r="I955" s="93"/>
    </row>
    <row r="956" spans="1:9" ht="13.5">
      <c r="A956" s="108"/>
      <c r="B956" s="113"/>
      <c r="C956" s="92"/>
      <c r="D956" s="127"/>
      <c r="E956" s="92"/>
      <c r="F956" s="92"/>
      <c r="G956" s="92"/>
      <c r="H956" s="92"/>
      <c r="I956" s="93"/>
    </row>
    <row r="957" spans="1:9" ht="13.5">
      <c r="A957" s="108"/>
      <c r="B957" s="113"/>
      <c r="C957" s="92"/>
      <c r="D957" s="127"/>
      <c r="E957" s="92"/>
      <c r="F957" s="92"/>
      <c r="G957" s="92"/>
      <c r="H957" s="92"/>
      <c r="I957" s="93"/>
    </row>
    <row r="958" spans="1:9" ht="13.5">
      <c r="A958" s="108"/>
      <c r="B958" s="113"/>
      <c r="C958" s="92"/>
      <c r="D958" s="127"/>
      <c r="E958" s="92"/>
      <c r="F958" s="92"/>
      <c r="G958" s="92"/>
      <c r="H958" s="92"/>
      <c r="I958" s="93"/>
    </row>
    <row r="959" spans="1:9" ht="13.5">
      <c r="A959" s="108"/>
      <c r="B959" s="113"/>
      <c r="C959" s="92"/>
      <c r="D959" s="127"/>
      <c r="E959" s="92"/>
      <c r="F959" s="92"/>
      <c r="G959" s="92"/>
      <c r="H959" s="92"/>
      <c r="I959" s="93"/>
    </row>
    <row r="960" spans="1:9" ht="13.5">
      <c r="A960" s="108"/>
      <c r="B960" s="113"/>
      <c r="C960" s="92"/>
      <c r="D960" s="127"/>
      <c r="E960" s="92"/>
      <c r="F960" s="92"/>
      <c r="G960" s="92"/>
      <c r="H960" s="92"/>
      <c r="I960" s="93"/>
    </row>
    <row r="961" spans="1:9" ht="13.5">
      <c r="A961" s="108"/>
      <c r="B961" s="113"/>
      <c r="C961" s="92"/>
      <c r="D961" s="127"/>
      <c r="E961" s="92"/>
      <c r="F961" s="92"/>
      <c r="G961" s="92"/>
      <c r="H961" s="92"/>
      <c r="I961" s="93"/>
    </row>
    <row r="962" spans="1:9" ht="13.5">
      <c r="A962" s="108"/>
      <c r="B962" s="113"/>
      <c r="C962" s="92"/>
      <c r="D962" s="127"/>
      <c r="E962" s="92"/>
      <c r="F962" s="92"/>
      <c r="G962" s="92"/>
      <c r="H962" s="92"/>
      <c r="I962" s="93"/>
    </row>
    <row r="963" spans="1:9" ht="13.5">
      <c r="A963" s="108"/>
      <c r="B963" s="113"/>
      <c r="C963" s="92"/>
      <c r="D963" s="127"/>
      <c r="E963" s="92"/>
      <c r="F963" s="92"/>
      <c r="G963" s="92"/>
      <c r="H963" s="92"/>
      <c r="I963" s="93"/>
    </row>
    <row r="964" spans="1:9" ht="13.5">
      <c r="A964" s="108"/>
      <c r="B964" s="113"/>
      <c r="C964" s="92"/>
      <c r="D964" s="127"/>
      <c r="E964" s="92"/>
      <c r="F964" s="92"/>
      <c r="G964" s="92"/>
      <c r="H964" s="92"/>
      <c r="I964" s="93"/>
    </row>
    <row r="965" spans="1:9" ht="13.5">
      <c r="A965" s="108"/>
      <c r="B965" s="113"/>
      <c r="C965" s="92"/>
      <c r="D965" s="127"/>
      <c r="E965" s="92"/>
      <c r="F965" s="92"/>
      <c r="G965" s="92"/>
      <c r="H965" s="92"/>
      <c r="I965" s="93"/>
    </row>
    <row r="966" spans="1:9" ht="13.5">
      <c r="A966" s="108"/>
      <c r="B966" s="113"/>
      <c r="C966" s="92"/>
      <c r="D966" s="127"/>
      <c r="E966" s="92"/>
      <c r="F966" s="92"/>
      <c r="G966" s="92"/>
      <c r="H966" s="92"/>
      <c r="I966" s="93"/>
    </row>
    <row r="967" spans="1:9" ht="13.5">
      <c r="A967" s="103"/>
      <c r="B967" s="114"/>
      <c r="C967" s="94"/>
      <c r="D967" s="72"/>
      <c r="E967" s="94"/>
      <c r="F967" s="94"/>
      <c r="G967" s="94"/>
      <c r="H967" s="94"/>
      <c r="I967" s="95"/>
    </row>
    <row r="968" spans="1:9" ht="13.5">
      <c r="A968" s="103"/>
      <c r="B968" s="114"/>
      <c r="C968" s="94"/>
      <c r="D968" s="72"/>
      <c r="E968" s="94"/>
      <c r="F968" s="94"/>
      <c r="G968" s="94"/>
      <c r="H968" s="94"/>
      <c r="I968" s="95"/>
    </row>
    <row r="969" spans="1:9" ht="13.5">
      <c r="A969" s="103"/>
      <c r="B969" s="114"/>
      <c r="C969" s="94"/>
      <c r="D969" s="72"/>
      <c r="E969" s="94"/>
      <c r="F969" s="94"/>
      <c r="G969" s="94"/>
      <c r="H969" s="94"/>
      <c r="I969" s="95"/>
    </row>
    <row r="970" spans="1:9" ht="13.5">
      <c r="A970" s="103"/>
      <c r="B970" s="114"/>
      <c r="C970" s="94"/>
      <c r="D970" s="72"/>
      <c r="E970" s="94"/>
      <c r="F970" s="94"/>
      <c r="G970" s="94"/>
      <c r="H970" s="94"/>
      <c r="I970" s="95"/>
    </row>
    <row r="971" spans="1:9" ht="13.5">
      <c r="A971" s="103"/>
      <c r="B971" s="114"/>
      <c r="C971" s="94"/>
      <c r="D971" s="72"/>
      <c r="E971" s="94"/>
      <c r="F971" s="94"/>
      <c r="G971" s="94"/>
      <c r="H971" s="94"/>
      <c r="I971" s="95"/>
    </row>
    <row r="972" spans="1:9" ht="13.5">
      <c r="A972" s="103"/>
      <c r="B972" s="114"/>
      <c r="C972" s="94"/>
      <c r="D972" s="72"/>
      <c r="E972" s="94"/>
      <c r="F972" s="94"/>
      <c r="G972" s="94"/>
      <c r="H972" s="94"/>
      <c r="I972" s="95"/>
    </row>
    <row r="973" spans="1:9" ht="13.5">
      <c r="A973" s="103"/>
      <c r="B973" s="114"/>
      <c r="C973" s="94"/>
      <c r="D973" s="72"/>
      <c r="E973" s="94"/>
      <c r="F973" s="94"/>
      <c r="G973" s="94"/>
      <c r="H973" s="94"/>
      <c r="I973" s="95"/>
    </row>
    <row r="974" spans="1:9" ht="13.5">
      <c r="A974" s="103"/>
      <c r="B974" s="114"/>
      <c r="C974" s="94"/>
      <c r="D974" s="72"/>
      <c r="E974" s="94"/>
      <c r="F974" s="94"/>
      <c r="G974" s="94"/>
      <c r="H974" s="94"/>
      <c r="I974" s="95"/>
    </row>
    <row r="975" spans="1:9" ht="13.5">
      <c r="A975" s="103"/>
      <c r="B975" s="114"/>
      <c r="C975" s="94"/>
      <c r="D975" s="72"/>
      <c r="E975" s="94"/>
      <c r="F975" s="94"/>
      <c r="G975" s="94"/>
      <c r="H975" s="94"/>
      <c r="I975" s="95"/>
    </row>
    <row r="976" spans="1:9" ht="13.5">
      <c r="A976" s="103"/>
      <c r="B976" s="114"/>
      <c r="C976" s="94"/>
      <c r="D976" s="72"/>
      <c r="E976" s="94"/>
      <c r="F976" s="94"/>
      <c r="G976" s="94"/>
      <c r="H976" s="94"/>
      <c r="I976" s="95"/>
    </row>
    <row r="977" spans="1:9" ht="13.5">
      <c r="A977" s="103"/>
      <c r="B977" s="114"/>
      <c r="C977" s="94"/>
      <c r="D977" s="72"/>
      <c r="E977" s="94"/>
      <c r="F977" s="94"/>
      <c r="G977" s="94"/>
      <c r="H977" s="94"/>
      <c r="I977" s="95"/>
    </row>
    <row r="978" spans="1:9" ht="13.5">
      <c r="A978" s="103"/>
      <c r="B978" s="114"/>
      <c r="C978" s="94"/>
      <c r="D978" s="72"/>
      <c r="E978" s="94"/>
      <c r="F978" s="94"/>
      <c r="G978" s="94"/>
      <c r="H978" s="94"/>
      <c r="I978" s="95"/>
    </row>
    <row r="979" spans="1:9" ht="13.5">
      <c r="A979" s="103"/>
      <c r="B979" s="114"/>
      <c r="C979" s="94"/>
      <c r="D979" s="72"/>
      <c r="E979" s="94"/>
      <c r="F979" s="94"/>
      <c r="G979" s="94"/>
      <c r="H979" s="94"/>
      <c r="I979" s="95"/>
    </row>
    <row r="980" spans="1:9" ht="13.5">
      <c r="A980" s="103"/>
      <c r="B980" s="114"/>
      <c r="C980" s="94"/>
      <c r="D980" s="72"/>
      <c r="E980" s="94"/>
      <c r="F980" s="94"/>
      <c r="G980" s="94"/>
      <c r="H980" s="94"/>
      <c r="I980" s="95"/>
    </row>
    <row r="981" spans="1:9" ht="13.5">
      <c r="A981" s="103"/>
      <c r="B981" s="114"/>
      <c r="C981" s="94"/>
      <c r="D981" s="72"/>
      <c r="E981" s="94"/>
      <c r="F981" s="94"/>
      <c r="G981" s="94"/>
      <c r="H981" s="94"/>
      <c r="I981" s="95"/>
    </row>
    <row r="982" spans="1:9" ht="13.5">
      <c r="A982" s="103"/>
      <c r="B982" s="114"/>
      <c r="C982" s="94"/>
      <c r="D982" s="72"/>
      <c r="E982" s="94"/>
      <c r="F982" s="94"/>
      <c r="G982" s="94"/>
      <c r="H982" s="94"/>
      <c r="I982" s="95"/>
    </row>
    <row r="983" spans="1:9" ht="13.5">
      <c r="A983" s="103"/>
      <c r="B983" s="114"/>
      <c r="C983" s="94"/>
      <c r="D983" s="72"/>
      <c r="E983" s="94"/>
      <c r="F983" s="94"/>
      <c r="G983" s="94"/>
      <c r="H983" s="94"/>
      <c r="I983" s="95"/>
    </row>
    <row r="984" spans="1:9" ht="13.5">
      <c r="A984" s="103"/>
      <c r="B984" s="114"/>
      <c r="C984" s="94"/>
      <c r="D984" s="72"/>
      <c r="E984" s="94"/>
      <c r="F984" s="94"/>
      <c r="G984" s="94"/>
      <c r="H984" s="94"/>
      <c r="I984" s="95"/>
    </row>
    <row r="985" spans="1:9" ht="13.5">
      <c r="A985" s="103"/>
      <c r="B985" s="114"/>
      <c r="C985" s="94"/>
      <c r="D985" s="72"/>
      <c r="E985" s="94"/>
      <c r="F985" s="94"/>
      <c r="G985" s="94"/>
      <c r="H985" s="94"/>
      <c r="I985" s="95"/>
    </row>
    <row r="986" spans="1:9" ht="13.5">
      <c r="A986" s="103"/>
      <c r="B986" s="114"/>
      <c r="C986" s="94"/>
      <c r="D986" s="72"/>
      <c r="E986" s="94"/>
      <c r="F986" s="94"/>
      <c r="G986" s="94"/>
      <c r="H986" s="94"/>
      <c r="I986" s="95"/>
    </row>
    <row r="987" spans="1:9" ht="13.5">
      <c r="A987" s="103"/>
      <c r="B987" s="114"/>
      <c r="C987" s="94"/>
      <c r="D987" s="72"/>
      <c r="E987" s="94"/>
      <c r="F987" s="94"/>
      <c r="G987" s="94"/>
      <c r="H987" s="94"/>
      <c r="I987" s="95"/>
    </row>
    <row r="988" spans="1:9" ht="13.5">
      <c r="A988" s="103"/>
      <c r="B988" s="114"/>
      <c r="C988" s="94"/>
      <c r="D988" s="72"/>
      <c r="E988" s="94"/>
      <c r="F988" s="94"/>
      <c r="G988" s="94"/>
      <c r="H988" s="94"/>
      <c r="I988" s="95"/>
    </row>
    <row r="989" spans="1:9" ht="13.5">
      <c r="A989" s="103"/>
      <c r="B989" s="114"/>
      <c r="C989" s="94"/>
      <c r="D989" s="72"/>
      <c r="E989" s="94"/>
      <c r="F989" s="94"/>
      <c r="G989" s="94"/>
      <c r="H989" s="94"/>
      <c r="I989" s="95"/>
    </row>
    <row r="990" spans="1:9" ht="13.5">
      <c r="A990" s="103"/>
      <c r="B990" s="114"/>
      <c r="C990" s="94"/>
      <c r="D990" s="72"/>
      <c r="E990" s="94"/>
      <c r="F990" s="94"/>
      <c r="G990" s="94"/>
      <c r="H990" s="94"/>
      <c r="I990" s="95"/>
    </row>
    <row r="991" spans="1:9" ht="13.5">
      <c r="A991" s="103"/>
      <c r="B991" s="114"/>
      <c r="C991" s="94"/>
      <c r="D991" s="72"/>
      <c r="E991" s="94"/>
      <c r="F991" s="94"/>
      <c r="G991" s="94"/>
      <c r="H991" s="94"/>
      <c r="I991" s="95"/>
    </row>
    <row r="992" spans="1:9" ht="13.5">
      <c r="A992" s="103"/>
      <c r="B992" s="114"/>
      <c r="C992" s="94"/>
      <c r="D992" s="72"/>
      <c r="E992" s="94"/>
      <c r="F992" s="94"/>
      <c r="G992" s="94"/>
      <c r="H992" s="94"/>
      <c r="I992" s="95"/>
    </row>
    <row r="993" spans="1:9" ht="13.5">
      <c r="A993" s="103"/>
      <c r="B993" s="114"/>
      <c r="C993" s="94"/>
      <c r="D993" s="72"/>
      <c r="E993" s="94"/>
      <c r="F993" s="94"/>
      <c r="G993" s="94"/>
      <c r="H993" s="94"/>
      <c r="I993" s="95"/>
    </row>
    <row r="994" spans="1:9" ht="13.5">
      <c r="A994" s="103"/>
      <c r="B994" s="114"/>
      <c r="C994" s="94"/>
      <c r="D994" s="72"/>
      <c r="E994" s="94"/>
      <c r="F994" s="94"/>
      <c r="G994" s="94"/>
      <c r="H994" s="94"/>
      <c r="I994" s="95"/>
    </row>
    <row r="995" spans="1:9" ht="13.5">
      <c r="A995" s="103"/>
      <c r="B995" s="114"/>
      <c r="C995" s="94"/>
      <c r="D995" s="72"/>
      <c r="E995" s="94"/>
      <c r="F995" s="94"/>
      <c r="G995" s="94"/>
      <c r="H995" s="94"/>
      <c r="I995" s="95"/>
    </row>
    <row r="996" spans="1:9" ht="13.5">
      <c r="A996" s="103"/>
      <c r="B996" s="114"/>
      <c r="C996" s="94"/>
      <c r="D996" s="72"/>
      <c r="E996" s="94"/>
      <c r="F996" s="94"/>
      <c r="G996" s="94"/>
      <c r="H996" s="94"/>
      <c r="I996" s="95"/>
    </row>
    <row r="997" spans="1:9" ht="13.5">
      <c r="A997" s="103"/>
      <c r="B997" s="114"/>
      <c r="C997" s="94"/>
      <c r="D997" s="72"/>
      <c r="E997" s="94"/>
      <c r="F997" s="94"/>
      <c r="G997" s="94"/>
      <c r="H997" s="94"/>
      <c r="I997" s="95"/>
    </row>
    <row r="998" spans="1:9" ht="13.5">
      <c r="A998" s="103"/>
      <c r="B998" s="114"/>
      <c r="C998" s="94"/>
      <c r="D998" s="72"/>
      <c r="E998" s="94"/>
      <c r="F998" s="94"/>
      <c r="G998" s="94"/>
      <c r="H998" s="94"/>
      <c r="I998" s="95"/>
    </row>
    <row r="999" spans="1:9" ht="13.5">
      <c r="A999" s="103"/>
      <c r="B999" s="114"/>
      <c r="C999" s="94"/>
      <c r="D999" s="72"/>
      <c r="E999" s="94"/>
      <c r="F999" s="94"/>
      <c r="G999" s="94"/>
      <c r="H999" s="94"/>
      <c r="I999" s="95"/>
    </row>
    <row r="1000" spans="1:9" ht="13.5">
      <c r="A1000" s="103"/>
      <c r="B1000" s="114"/>
      <c r="C1000" s="94"/>
      <c r="D1000" s="72"/>
      <c r="E1000" s="94"/>
      <c r="F1000" s="94"/>
      <c r="G1000" s="94"/>
      <c r="H1000" s="94"/>
      <c r="I1000" s="95"/>
    </row>
    <row r="1001" spans="1:9" ht="13.5">
      <c r="A1001" s="103"/>
      <c r="B1001" s="114"/>
      <c r="C1001" s="94"/>
      <c r="D1001" s="72"/>
      <c r="E1001" s="94"/>
      <c r="F1001" s="94"/>
      <c r="G1001" s="94"/>
      <c r="H1001" s="94"/>
      <c r="I1001" s="95"/>
    </row>
    <row r="1002" spans="1:9" ht="13.5">
      <c r="A1002" s="103"/>
      <c r="B1002" s="114"/>
      <c r="C1002" s="94"/>
      <c r="D1002" s="72"/>
      <c r="E1002" s="94"/>
      <c r="F1002" s="94"/>
      <c r="G1002" s="94"/>
      <c r="H1002" s="94"/>
      <c r="I1002" s="95"/>
    </row>
    <row r="1003" spans="1:9" ht="13.5">
      <c r="A1003" s="103"/>
      <c r="B1003" s="114"/>
      <c r="C1003" s="94"/>
      <c r="D1003" s="72"/>
      <c r="E1003" s="94"/>
      <c r="F1003" s="94"/>
      <c r="G1003" s="94"/>
      <c r="H1003" s="94"/>
      <c r="I1003" s="95"/>
    </row>
    <row r="1004" spans="1:9" ht="13.5">
      <c r="A1004" s="103"/>
      <c r="B1004" s="114"/>
      <c r="C1004" s="94"/>
      <c r="D1004" s="72"/>
      <c r="E1004" s="94"/>
      <c r="F1004" s="94"/>
      <c r="G1004" s="94"/>
      <c r="H1004" s="94"/>
      <c r="I1004" s="95"/>
    </row>
    <row r="1005" spans="1:9" ht="13.5">
      <c r="A1005" s="103"/>
      <c r="B1005" s="114"/>
      <c r="C1005" s="94"/>
      <c r="D1005" s="72"/>
      <c r="E1005" s="94"/>
      <c r="F1005" s="94"/>
      <c r="G1005" s="94"/>
      <c r="H1005" s="94"/>
      <c r="I1005" s="95"/>
    </row>
    <row r="1006" spans="1:9" ht="13.5">
      <c r="A1006" s="103"/>
      <c r="B1006" s="114"/>
      <c r="C1006" s="94"/>
      <c r="D1006" s="72"/>
      <c r="E1006" s="94"/>
      <c r="F1006" s="94"/>
      <c r="G1006" s="94"/>
      <c r="H1006" s="94"/>
      <c r="I1006" s="95"/>
    </row>
    <row r="1007" spans="1:9" ht="13.5">
      <c r="A1007" s="103"/>
      <c r="B1007" s="114"/>
      <c r="C1007" s="94"/>
      <c r="D1007" s="72"/>
      <c r="E1007" s="94"/>
      <c r="F1007" s="94"/>
      <c r="G1007" s="94"/>
      <c r="H1007" s="94"/>
      <c r="I1007" s="95"/>
    </row>
    <row r="1008" spans="1:9" ht="13.5">
      <c r="A1008" s="103"/>
      <c r="B1008" s="114"/>
      <c r="C1008" s="94"/>
      <c r="D1008" s="72"/>
      <c r="E1008" s="94"/>
      <c r="F1008" s="94"/>
      <c r="G1008" s="94"/>
      <c r="H1008" s="94"/>
      <c r="I1008" s="95"/>
    </row>
    <row r="1009" spans="1:9" ht="13.5">
      <c r="A1009" s="103"/>
      <c r="B1009" s="114"/>
      <c r="C1009" s="94"/>
      <c r="D1009" s="72"/>
      <c r="E1009" s="94"/>
      <c r="F1009" s="94"/>
      <c r="G1009" s="94"/>
      <c r="H1009" s="94"/>
      <c r="I1009" s="95"/>
    </row>
    <row r="1010" spans="1:9" ht="13.5">
      <c r="A1010" s="103"/>
      <c r="B1010" s="114"/>
      <c r="C1010" s="94"/>
      <c r="D1010" s="72"/>
      <c r="E1010" s="94"/>
      <c r="F1010" s="94"/>
      <c r="G1010" s="94"/>
      <c r="H1010" s="94"/>
      <c r="I1010" s="95"/>
    </row>
    <row r="1011" spans="1:9" ht="13.5">
      <c r="A1011" s="103"/>
      <c r="B1011" s="114"/>
      <c r="C1011" s="94"/>
      <c r="D1011" s="72"/>
      <c r="E1011" s="94"/>
      <c r="F1011" s="94"/>
      <c r="G1011" s="94"/>
      <c r="H1011" s="94"/>
      <c r="I1011" s="95"/>
    </row>
    <row r="1012" spans="1:9" ht="13.5">
      <c r="A1012" s="103"/>
      <c r="B1012" s="114"/>
      <c r="C1012" s="94"/>
      <c r="D1012" s="72"/>
      <c r="E1012" s="94"/>
      <c r="F1012" s="94"/>
      <c r="G1012" s="94"/>
      <c r="H1012" s="94"/>
      <c r="I1012" s="95"/>
    </row>
    <row r="1013" spans="1:9" ht="13.5">
      <c r="A1013" s="103"/>
      <c r="B1013" s="114"/>
      <c r="C1013" s="94"/>
      <c r="D1013" s="72"/>
      <c r="E1013" s="94"/>
      <c r="F1013" s="94"/>
      <c r="G1013" s="94"/>
      <c r="H1013" s="94"/>
      <c r="I1013" s="95"/>
    </row>
    <row r="1014" spans="1:9" ht="13.5">
      <c r="A1014" s="103"/>
      <c r="B1014" s="114"/>
      <c r="C1014" s="94"/>
      <c r="D1014" s="72"/>
      <c r="E1014" s="94"/>
      <c r="F1014" s="94"/>
      <c r="G1014" s="94"/>
      <c r="H1014" s="94"/>
      <c r="I1014" s="95"/>
    </row>
    <row r="1015" spans="1:9" ht="13.5">
      <c r="A1015" s="103"/>
      <c r="B1015" s="114"/>
      <c r="C1015" s="94"/>
      <c r="D1015" s="72"/>
      <c r="E1015" s="94"/>
      <c r="F1015" s="94"/>
      <c r="G1015" s="94"/>
      <c r="H1015" s="94"/>
      <c r="I1015" s="95"/>
    </row>
    <row r="1016" spans="1:9" ht="13.5">
      <c r="A1016" s="103"/>
      <c r="B1016" s="114"/>
      <c r="C1016" s="94"/>
      <c r="D1016" s="72"/>
      <c r="E1016" s="94"/>
      <c r="F1016" s="94"/>
      <c r="G1016" s="94"/>
      <c r="H1016" s="94"/>
      <c r="I1016" s="95"/>
    </row>
    <row r="1017" spans="1:9" ht="13.5">
      <c r="A1017" s="103"/>
      <c r="B1017" s="114"/>
      <c r="C1017" s="94"/>
      <c r="D1017" s="72"/>
      <c r="E1017" s="94"/>
      <c r="F1017" s="94"/>
      <c r="G1017" s="94"/>
      <c r="H1017" s="94"/>
      <c r="I1017" s="95"/>
    </row>
    <row r="1018" spans="1:9" ht="13.5">
      <c r="A1018" s="103"/>
      <c r="B1018" s="114"/>
      <c r="C1018" s="94"/>
      <c r="D1018" s="72"/>
      <c r="E1018" s="94"/>
      <c r="F1018" s="94"/>
      <c r="G1018" s="94"/>
      <c r="H1018" s="94"/>
      <c r="I1018" s="95"/>
    </row>
    <row r="1019" spans="1:9" ht="13.5">
      <c r="A1019" s="103"/>
      <c r="B1019" s="114"/>
      <c r="C1019" s="94"/>
      <c r="D1019" s="72"/>
      <c r="E1019" s="94"/>
      <c r="F1019" s="94"/>
      <c r="G1019" s="94"/>
      <c r="H1019" s="94"/>
      <c r="I1019" s="95"/>
    </row>
    <row r="1020" spans="1:9" ht="13.5">
      <c r="A1020" s="103"/>
      <c r="B1020" s="114"/>
      <c r="C1020" s="94"/>
      <c r="D1020" s="72"/>
      <c r="E1020" s="94"/>
      <c r="F1020" s="94"/>
      <c r="G1020" s="94"/>
      <c r="H1020" s="94"/>
      <c r="I1020" s="95"/>
    </row>
    <row r="1021" spans="1:9" ht="13.5">
      <c r="A1021" s="103"/>
      <c r="B1021" s="114"/>
      <c r="C1021" s="94"/>
      <c r="D1021" s="72"/>
      <c r="E1021" s="94"/>
      <c r="F1021" s="94"/>
      <c r="G1021" s="94"/>
      <c r="H1021" s="94"/>
      <c r="I1021" s="95"/>
    </row>
    <row r="1022" spans="1:9" ht="13.5">
      <c r="A1022" s="103"/>
      <c r="B1022" s="114"/>
      <c r="C1022" s="94"/>
      <c r="D1022" s="72"/>
      <c r="E1022" s="94"/>
      <c r="F1022" s="94"/>
      <c r="G1022" s="94"/>
      <c r="H1022" s="94"/>
      <c r="I1022" s="95"/>
    </row>
    <row r="1023" spans="1:9" ht="13.5">
      <c r="A1023" s="103"/>
      <c r="B1023" s="114"/>
      <c r="C1023" s="94"/>
      <c r="D1023" s="72"/>
      <c r="E1023" s="94"/>
      <c r="F1023" s="94"/>
      <c r="G1023" s="94"/>
      <c r="H1023" s="94"/>
      <c r="I1023" s="95"/>
    </row>
    <row r="1024" spans="1:9" ht="13.5">
      <c r="A1024" s="103"/>
      <c r="B1024" s="114"/>
      <c r="C1024" s="94"/>
      <c r="D1024" s="72"/>
      <c r="E1024" s="94"/>
      <c r="F1024" s="94"/>
      <c r="G1024" s="94"/>
      <c r="H1024" s="94"/>
      <c r="I1024" s="95"/>
    </row>
    <row r="1025" spans="1:9" ht="13.5">
      <c r="A1025" s="103"/>
      <c r="B1025" s="114"/>
      <c r="C1025" s="94"/>
      <c r="D1025" s="72"/>
      <c r="E1025" s="94"/>
      <c r="F1025" s="94"/>
      <c r="G1025" s="94"/>
      <c r="H1025" s="94"/>
      <c r="I1025" s="95"/>
    </row>
    <row r="1026" spans="1:9" ht="13.5">
      <c r="A1026" s="103"/>
      <c r="B1026" s="114"/>
      <c r="C1026" s="94"/>
      <c r="D1026" s="72"/>
      <c r="E1026" s="94"/>
      <c r="F1026" s="94"/>
      <c r="G1026" s="94"/>
      <c r="H1026" s="94"/>
      <c r="I1026" s="95"/>
    </row>
    <row r="1027" spans="1:9" ht="13.5">
      <c r="A1027" s="103"/>
      <c r="B1027" s="114"/>
      <c r="C1027" s="94"/>
      <c r="D1027" s="72"/>
      <c r="E1027" s="94"/>
      <c r="F1027" s="94"/>
      <c r="G1027" s="94"/>
      <c r="H1027" s="94"/>
      <c r="I1027" s="95"/>
    </row>
    <row r="1028" spans="1:9" ht="13.5">
      <c r="A1028" s="103"/>
      <c r="B1028" s="114"/>
      <c r="C1028" s="94"/>
      <c r="D1028" s="72"/>
      <c r="E1028" s="94"/>
      <c r="F1028" s="94"/>
      <c r="G1028" s="94"/>
      <c r="H1028" s="94"/>
      <c r="I1028" s="95"/>
    </row>
    <row r="1029" spans="1:9" ht="13.5">
      <c r="A1029" s="103"/>
      <c r="B1029" s="114"/>
      <c r="C1029" s="94"/>
      <c r="D1029" s="72"/>
      <c r="E1029" s="94"/>
      <c r="F1029" s="94"/>
      <c r="G1029" s="94"/>
      <c r="H1029" s="94"/>
      <c r="I1029" s="95"/>
    </row>
    <row r="1030" spans="1:9" ht="13.5">
      <c r="A1030" s="103"/>
      <c r="B1030" s="114"/>
      <c r="C1030" s="94"/>
      <c r="D1030" s="72"/>
      <c r="E1030" s="94"/>
      <c r="F1030" s="94"/>
      <c r="G1030" s="94"/>
      <c r="H1030" s="94"/>
      <c r="I1030" s="95"/>
    </row>
    <row r="1031" spans="1:9" ht="13.5">
      <c r="A1031" s="103"/>
      <c r="B1031" s="114"/>
      <c r="C1031" s="94"/>
      <c r="D1031" s="72"/>
      <c r="E1031" s="94"/>
      <c r="F1031" s="94"/>
      <c r="G1031" s="94"/>
      <c r="H1031" s="94"/>
      <c r="I1031" s="95"/>
    </row>
    <row r="1032" spans="1:9" ht="13.5">
      <c r="A1032" s="103"/>
      <c r="B1032" s="114"/>
      <c r="C1032" s="94"/>
      <c r="D1032" s="72"/>
      <c r="E1032" s="94"/>
      <c r="F1032" s="94"/>
      <c r="G1032" s="94"/>
      <c r="H1032" s="94"/>
      <c r="I1032" s="95"/>
    </row>
    <row r="1033" spans="1:9" ht="13.5">
      <c r="A1033" s="103"/>
      <c r="B1033" s="114"/>
      <c r="C1033" s="94"/>
      <c r="D1033" s="72"/>
      <c r="E1033" s="94"/>
      <c r="F1033" s="94"/>
      <c r="G1033" s="94"/>
      <c r="H1033" s="94"/>
      <c r="I1033" s="95"/>
    </row>
    <row r="1034" spans="1:9" ht="13.5">
      <c r="A1034" s="103"/>
      <c r="B1034" s="114"/>
      <c r="C1034" s="94"/>
      <c r="D1034" s="72"/>
      <c r="E1034" s="94"/>
      <c r="F1034" s="94"/>
      <c r="G1034" s="94"/>
      <c r="H1034" s="94"/>
      <c r="I1034" s="95"/>
    </row>
    <row r="1035" spans="1:9" ht="13.5">
      <c r="A1035" s="103"/>
      <c r="B1035" s="114"/>
      <c r="C1035" s="94"/>
      <c r="D1035" s="72"/>
      <c r="E1035" s="94"/>
      <c r="F1035" s="94"/>
      <c r="G1035" s="94"/>
      <c r="H1035" s="94"/>
      <c r="I1035" s="95"/>
    </row>
    <row r="1036" spans="1:9" ht="13.5">
      <c r="A1036" s="103"/>
      <c r="B1036" s="114"/>
      <c r="C1036" s="94"/>
      <c r="D1036" s="72"/>
      <c r="E1036" s="94"/>
      <c r="F1036" s="94"/>
      <c r="G1036" s="94"/>
      <c r="H1036" s="94"/>
      <c r="I1036" s="95"/>
    </row>
    <row r="1037" spans="1:9" ht="13.5">
      <c r="A1037" s="103"/>
      <c r="B1037" s="114"/>
      <c r="C1037" s="94"/>
      <c r="D1037" s="72"/>
      <c r="E1037" s="94"/>
      <c r="F1037" s="94"/>
      <c r="G1037" s="94"/>
      <c r="H1037" s="94"/>
      <c r="I1037" s="95"/>
    </row>
    <row r="1038" spans="1:9" ht="13.5">
      <c r="A1038" s="103"/>
      <c r="B1038" s="114"/>
      <c r="C1038" s="94"/>
      <c r="D1038" s="72"/>
      <c r="E1038" s="94"/>
      <c r="F1038" s="94"/>
      <c r="G1038" s="94"/>
      <c r="H1038" s="94"/>
      <c r="I1038" s="95"/>
    </row>
    <row r="1039" spans="1:9" ht="13.5">
      <c r="A1039" s="103"/>
      <c r="B1039" s="114"/>
      <c r="C1039" s="94"/>
      <c r="D1039" s="72"/>
      <c r="E1039" s="94"/>
      <c r="F1039" s="94"/>
      <c r="G1039" s="94"/>
      <c r="H1039" s="94"/>
      <c r="I1039" s="95"/>
    </row>
    <row r="1040" spans="1:9" ht="13.5">
      <c r="A1040" s="103"/>
      <c r="B1040" s="114"/>
      <c r="C1040" s="94"/>
      <c r="D1040" s="72"/>
      <c r="E1040" s="94"/>
      <c r="F1040" s="94"/>
      <c r="G1040" s="94"/>
      <c r="H1040" s="94"/>
      <c r="I1040" s="95"/>
    </row>
    <row r="1041" spans="1:9" ht="13.5">
      <c r="A1041" s="103"/>
      <c r="B1041" s="114"/>
      <c r="C1041" s="94"/>
      <c r="D1041" s="72"/>
      <c r="E1041" s="94"/>
      <c r="F1041" s="94"/>
      <c r="G1041" s="94"/>
      <c r="H1041" s="94"/>
      <c r="I1041" s="95"/>
    </row>
    <row r="1042" spans="1:9" ht="13.5">
      <c r="A1042" s="103"/>
      <c r="B1042" s="114"/>
      <c r="C1042" s="94"/>
      <c r="D1042" s="72"/>
      <c r="E1042" s="94"/>
      <c r="F1042" s="94"/>
      <c r="G1042" s="94"/>
      <c r="H1042" s="94"/>
      <c r="I1042" s="95"/>
    </row>
    <row r="1043" spans="1:9" ht="13.5">
      <c r="A1043" s="103"/>
      <c r="B1043" s="114"/>
      <c r="C1043" s="94"/>
      <c r="D1043" s="72"/>
      <c r="E1043" s="94"/>
      <c r="F1043" s="94"/>
      <c r="G1043" s="94"/>
      <c r="H1043" s="94"/>
      <c r="I1043" s="95"/>
    </row>
    <row r="1044" spans="1:9" ht="13.5">
      <c r="A1044" s="103"/>
      <c r="B1044" s="114"/>
      <c r="C1044" s="94"/>
      <c r="D1044" s="72"/>
      <c r="E1044" s="94"/>
      <c r="F1044" s="94"/>
      <c r="G1044" s="94"/>
      <c r="H1044" s="94"/>
      <c r="I1044" s="95"/>
    </row>
    <row r="1045" spans="1:9" ht="13.5">
      <c r="A1045" s="103"/>
      <c r="B1045" s="114"/>
      <c r="C1045" s="94"/>
      <c r="D1045" s="72"/>
      <c r="E1045" s="94"/>
      <c r="F1045" s="94"/>
      <c r="G1045" s="94"/>
      <c r="H1045" s="94"/>
      <c r="I1045" s="95"/>
    </row>
    <row r="1046" spans="1:9" ht="13.5">
      <c r="A1046" s="103"/>
      <c r="B1046" s="114"/>
      <c r="C1046" s="94"/>
      <c r="D1046" s="72"/>
      <c r="E1046" s="94"/>
      <c r="F1046" s="94"/>
      <c r="G1046" s="94"/>
      <c r="H1046" s="94"/>
      <c r="I1046" s="95"/>
    </row>
    <row r="1047" spans="1:9" ht="13.5">
      <c r="A1047" s="103"/>
      <c r="B1047" s="114"/>
      <c r="C1047" s="94"/>
      <c r="D1047" s="72"/>
      <c r="E1047" s="94"/>
      <c r="F1047" s="94"/>
      <c r="G1047" s="94"/>
      <c r="H1047" s="94"/>
      <c r="I1047" s="95"/>
    </row>
    <row r="1048" spans="1:9" ht="13.5">
      <c r="A1048" s="103"/>
      <c r="B1048" s="114"/>
      <c r="C1048" s="94"/>
      <c r="D1048" s="72"/>
      <c r="E1048" s="94"/>
      <c r="F1048" s="94"/>
      <c r="G1048" s="94"/>
      <c r="H1048" s="94"/>
      <c r="I1048" s="95"/>
    </row>
    <row r="1049" spans="1:9" ht="13.5">
      <c r="A1049" s="103"/>
      <c r="B1049" s="114"/>
      <c r="C1049" s="94"/>
      <c r="D1049" s="72"/>
      <c r="E1049" s="94"/>
      <c r="F1049" s="94"/>
      <c r="G1049" s="94"/>
      <c r="H1049" s="94"/>
      <c r="I1049" s="95"/>
    </row>
    <row r="1050" spans="1:9" ht="13.5">
      <c r="A1050" s="103"/>
      <c r="B1050" s="114"/>
      <c r="C1050" s="94"/>
      <c r="D1050" s="72"/>
      <c r="E1050" s="94"/>
      <c r="F1050" s="94"/>
      <c r="G1050" s="94"/>
      <c r="H1050" s="94"/>
      <c r="I1050" s="95"/>
    </row>
    <row r="1051" spans="1:9" ht="13.5">
      <c r="A1051" s="103"/>
      <c r="B1051" s="114"/>
      <c r="C1051" s="94"/>
      <c r="D1051" s="72"/>
      <c r="E1051" s="94"/>
      <c r="F1051" s="94"/>
      <c r="G1051" s="94"/>
      <c r="H1051" s="94"/>
      <c r="I1051" s="95"/>
    </row>
    <row r="1052" spans="1:9" ht="13.5">
      <c r="A1052" s="103"/>
      <c r="B1052" s="114"/>
      <c r="C1052" s="94"/>
      <c r="D1052" s="72"/>
      <c r="E1052" s="94"/>
      <c r="F1052" s="94"/>
      <c r="G1052" s="94"/>
      <c r="H1052" s="94"/>
      <c r="I1052" s="95"/>
    </row>
    <row r="1053" spans="1:9" ht="13.5">
      <c r="A1053" s="103"/>
      <c r="B1053" s="114"/>
      <c r="C1053" s="94"/>
      <c r="D1053" s="72"/>
      <c r="E1053" s="94"/>
      <c r="F1053" s="94"/>
      <c r="G1053" s="94"/>
      <c r="H1053" s="94"/>
      <c r="I1053" s="95"/>
    </row>
    <row r="1054" spans="1:9" ht="13.5">
      <c r="A1054" s="103"/>
      <c r="B1054" s="114"/>
      <c r="C1054" s="94"/>
      <c r="D1054" s="72"/>
      <c r="E1054" s="94"/>
      <c r="F1054" s="94"/>
      <c r="G1054" s="94"/>
      <c r="H1054" s="94"/>
      <c r="I1054" s="95"/>
    </row>
    <row r="1055" spans="1:9" ht="13.5">
      <c r="A1055" s="103"/>
      <c r="B1055" s="114"/>
      <c r="C1055" s="94"/>
      <c r="D1055" s="72"/>
      <c r="E1055" s="94"/>
      <c r="F1055" s="94"/>
      <c r="G1055" s="94"/>
      <c r="H1055" s="94"/>
      <c r="I1055" s="95"/>
    </row>
    <row r="1056" spans="1:9" ht="13.5">
      <c r="A1056" s="103"/>
      <c r="B1056" s="114"/>
      <c r="C1056" s="94"/>
      <c r="D1056" s="72"/>
      <c r="E1056" s="94"/>
      <c r="F1056" s="94"/>
      <c r="G1056" s="94"/>
      <c r="H1056" s="94"/>
      <c r="I1056" s="95"/>
    </row>
    <row r="1057" spans="1:9" ht="13.5">
      <c r="A1057" s="103"/>
      <c r="B1057" s="114"/>
      <c r="C1057" s="94"/>
      <c r="D1057" s="72"/>
      <c r="E1057" s="94"/>
      <c r="F1057" s="94"/>
      <c r="G1057" s="94"/>
      <c r="H1057" s="94"/>
      <c r="I1057" s="95"/>
    </row>
    <row r="1058" spans="1:9" ht="13.5">
      <c r="A1058" s="103"/>
      <c r="B1058" s="114"/>
      <c r="C1058" s="94"/>
      <c r="D1058" s="72"/>
      <c r="E1058" s="94"/>
      <c r="F1058" s="94"/>
      <c r="G1058" s="94"/>
      <c r="H1058" s="94"/>
      <c r="I1058" s="95"/>
    </row>
    <row r="1059" spans="1:9" ht="13.5">
      <c r="A1059" s="103"/>
      <c r="B1059" s="114"/>
      <c r="C1059" s="94"/>
      <c r="D1059" s="72"/>
      <c r="E1059" s="94"/>
      <c r="F1059" s="94"/>
      <c r="G1059" s="94"/>
      <c r="H1059" s="94"/>
      <c r="I1059" s="95"/>
    </row>
    <row r="1060" spans="1:9" ht="13.5">
      <c r="A1060" s="103"/>
      <c r="B1060" s="114"/>
      <c r="C1060" s="94"/>
      <c r="D1060" s="72"/>
      <c r="E1060" s="94"/>
      <c r="F1060" s="94"/>
      <c r="G1060" s="94"/>
      <c r="H1060" s="94"/>
      <c r="I1060" s="95"/>
    </row>
    <row r="1061" spans="1:9" ht="13.5">
      <c r="A1061" s="103"/>
      <c r="B1061" s="114"/>
      <c r="C1061" s="94"/>
      <c r="D1061" s="72"/>
      <c r="E1061" s="94"/>
      <c r="F1061" s="94"/>
      <c r="G1061" s="94"/>
      <c r="H1061" s="94"/>
      <c r="I1061" s="95"/>
    </row>
  </sheetData>
  <sheetProtection/>
  <mergeCells count="9">
    <mergeCell ref="C14:I14"/>
    <mergeCell ref="A1:F1"/>
    <mergeCell ref="A2:F2"/>
    <mergeCell ref="A12:A13"/>
    <mergeCell ref="B12:B13"/>
    <mergeCell ref="C12:C13"/>
    <mergeCell ref="D12:D13"/>
    <mergeCell ref="E12:E13"/>
    <mergeCell ref="F12:I12"/>
  </mergeCells>
  <printOptions horizontalCentered="1"/>
  <pageMargins left="0.5905511811023623" right="0.3937007874015748" top="0.3937007874015748" bottom="0.5905511811023623" header="0" footer="0"/>
  <pageSetup horizontalDpi="600" verticalDpi="600" orientation="landscape" paperSize="9" scale="45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</cp:lastModifiedBy>
  <cp:lastPrinted>2022-05-18T12:20:07Z</cp:lastPrinted>
  <dcterms:created xsi:type="dcterms:W3CDTF">1997-01-10T22:22:50Z</dcterms:created>
  <dcterms:modified xsi:type="dcterms:W3CDTF">2022-05-20T18:04:02Z</dcterms:modified>
  <cp:category/>
  <cp:version/>
  <cp:contentType/>
  <cp:contentStatus/>
</cp:coreProperties>
</file>