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3"/>
  </bookViews>
  <sheets>
    <sheet name="RIP-RAP" sheetId="1" r:id="rId1"/>
    <sheet name="MEMÓRIA DESONERADA" sheetId="2" r:id="rId2"/>
    <sheet name="PLANILHA ORÇAMENTÁRIA" sheetId="3" r:id="rId3"/>
    <sheet name="CRONOGRAMA" sheetId="4" r:id="rId4"/>
  </sheets>
  <externalReferences>
    <externalReference r:id="rId7"/>
    <externalReference r:id="rId8"/>
    <externalReference r:id="rId9"/>
    <externalReference r:id="rId10"/>
  </externalReferences>
  <definedNames>
    <definedName name="__shared_1_0_0">#REF!*#REF!</definedName>
    <definedName name="__shared_1_1_0">#REF!*#REF!</definedName>
    <definedName name="__shared_1_2_0">#REF!*#REF!</definedName>
    <definedName name="__shared_1_3_0">#REF!*#REF!</definedName>
    <definedName name="__shared_1_3_1">#REF!*#REF!</definedName>
    <definedName name="__shared_1_4_0">#REF!*#REF!</definedName>
    <definedName name="__shared_1_5_0">#REF!*#REF!</definedName>
    <definedName name="__shared_2_0_0">#REF!*#REF!</definedName>
    <definedName name="__shared_3_0_0">SUM(#REF!)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3">'CRONOGRAMA'!$A$1:$AA$27</definedName>
    <definedName name="_xlnm.Print_Area" localSheetId="1">'MEMÓRIA DESONERADA'!$A$1:$I$1940</definedName>
    <definedName name="_xlnm.Print_Area" localSheetId="2">'PLANILHA ORÇAMENTÁRIA'!$A$1:$I$296</definedName>
    <definedName name="_xlnm.Print_Area" localSheetId="0">'RIP-RAP'!$A$1:$T$49</definedName>
    <definedName name="BDI">#REF!</definedName>
    <definedName name="cronog">#REF!</definedName>
    <definedName name="MEM_A">#REF!</definedName>
    <definedName name="MEN_B">#REF!</definedName>
    <definedName name="OnerADO">#REF!</definedName>
    <definedName name="ORÇ_A">#REF!</definedName>
    <definedName name="ORÇ_B">#REF!</definedName>
    <definedName name="ORÇ_D">#REF!</definedName>
    <definedName name="orcamento">#REF!</definedName>
    <definedName name="orcb">#REF!</definedName>
    <definedName name="pc">#REF!</definedName>
    <definedName name="_xlnm.Print_Titles" localSheetId="1">'MEMÓRIA DESONERADA'!$10:$11</definedName>
    <definedName name="_xlnm.Print_Titles" localSheetId="2">'PLANILHA ORÇAMENTÁRIA'!$1:$11</definedName>
    <definedName name="Z_27E34C0B_7B30_4E7B_9C40_5EAE0A3A6A79_.wvu.PrintArea" localSheetId="0" hidden="1">'RIP-RAP'!$A$10:$T$48</definedName>
  </definedNames>
  <calcPr fullCalcOnLoad="1"/>
</workbook>
</file>

<file path=xl/sharedStrings.xml><?xml version="1.0" encoding="utf-8"?>
<sst xmlns="http://schemas.openxmlformats.org/spreadsheetml/2006/main" count="6690" uniqueCount="1688">
  <si>
    <t xml:space="preserve">Estado do Rio de Janeiro                                                        </t>
  </si>
  <si>
    <t>Prefeitura Municipal de Barra Mansa</t>
  </si>
  <si>
    <t xml:space="preserve">Secretaria Municipal de Planejamento Urbano </t>
  </si>
  <si>
    <t>APROVAÇÃO: Eng. Eros dos Santos</t>
  </si>
  <si>
    <t>ITEM</t>
  </si>
  <si>
    <t>CODIGO EMOP/ SINAPI</t>
  </si>
  <si>
    <t>DISCRIMINAÇÃO</t>
  </si>
  <si>
    <t>UN</t>
  </si>
  <si>
    <t>QUANT.</t>
  </si>
  <si>
    <t>PREÇOS (R$)</t>
  </si>
  <si>
    <t>UNIT s/ BDI</t>
  </si>
  <si>
    <t>UNITc/ BDI</t>
  </si>
  <si>
    <t>TOTAL s/ BDI</t>
  </si>
  <si>
    <t>TOTAL c/ BDI</t>
  </si>
  <si>
    <t>1.0</t>
  </si>
  <si>
    <t>SERVIÇOS PRELIMINARES</t>
  </si>
  <si>
    <t>1.1</t>
  </si>
  <si>
    <t>M2</t>
  </si>
  <si>
    <t>X</t>
  </si>
  <si>
    <t>2.0</t>
  </si>
  <si>
    <t>3.0</t>
  </si>
  <si>
    <t>PINTURA</t>
  </si>
  <si>
    <t>4.0</t>
  </si>
  <si>
    <t>M</t>
  </si>
  <si>
    <t>5.0</t>
  </si>
  <si>
    <t>ESQUADRIAS</t>
  </si>
  <si>
    <t>6.0</t>
  </si>
  <si>
    <t>7.0</t>
  </si>
  <si>
    <t>Orçamentista: Engº Alfredo Cunha</t>
  </si>
  <si>
    <t xml:space="preserve">CRONOGRAMA  FÍSICO-FINANCEIRO </t>
  </si>
  <si>
    <t>SERVIÇO</t>
  </si>
  <si>
    <t>30 DIAS</t>
  </si>
  <si>
    <t>60 DIAS</t>
  </si>
  <si>
    <t>TOTAL</t>
  </si>
  <si>
    <t>R$</t>
  </si>
  <si>
    <t>%</t>
  </si>
  <si>
    <t>TOTAL DA OBRA POR MEDIÇÃO</t>
  </si>
  <si>
    <t>TOTAL ACUMULADO DA OBRA</t>
  </si>
  <si>
    <t>Desembolso por medição %</t>
  </si>
  <si>
    <t>Desembolso acumulado %</t>
  </si>
  <si>
    <t>90 DIAS</t>
  </si>
  <si>
    <t>ORÇAMENTO:  Engº Alfredo Cunha</t>
  </si>
  <si>
    <t>10806</t>
  </si>
  <si>
    <t>PLACA DE IDENTIFICACAO DE OBRA PUBLICA,TIPO BANNER/PLOTER, CONSTITUIDA POR LONAE IMPRESSAO DIGITAL</t>
  </si>
  <si>
    <t>KG</t>
  </si>
  <si>
    <t>20132</t>
  </si>
  <si>
    <t>MAO-DE-OBRA DE SERVENTE DA CONSTRUCAO CIVIL, INCLUSIVE ENCARGOS SOCIAIS DESONERADOS</t>
  </si>
  <si>
    <t>H</t>
  </si>
  <si>
    <t>M3</t>
  </si>
  <si>
    <t>SI00000088316</t>
  </si>
  <si>
    <t>SERVENTE COM ENCARGOS COMPLEMENTARES</t>
  </si>
  <si>
    <t>SI00000088309</t>
  </si>
  <si>
    <t>PEDREIRO COM ENCARGOS COMPLEMENTARES</t>
  </si>
  <si>
    <t>1.2</t>
  </si>
  <si>
    <t>1.3</t>
  </si>
  <si>
    <t>1.4</t>
  </si>
  <si>
    <t>1.5</t>
  </si>
  <si>
    <t>1.6</t>
  </si>
  <si>
    <t>20039</t>
  </si>
  <si>
    <t>MAO-DE-OBRA DE BOMBEIRO HIDRAULICO DA CONSTRUCAO CIVIL, INCLUSIVE ENCARGOS SOCIAIS DESONERADOS</t>
  </si>
  <si>
    <t>1.7</t>
  </si>
  <si>
    <t>1.8</t>
  </si>
  <si>
    <t>CHI</t>
  </si>
  <si>
    <t>CHP</t>
  </si>
  <si>
    <t>1.9</t>
  </si>
  <si>
    <t>1.10</t>
  </si>
  <si>
    <t>1.11</t>
  </si>
  <si>
    <t>1.12</t>
  </si>
  <si>
    <t>1.13</t>
  </si>
  <si>
    <t>20046</t>
  </si>
  <si>
    <t>MAO-DE-OBRA DE CARPINTEIRO DE FORMA DE CONCRETO, INCLUSIVE ENCARGOS SOCIAIS DESONERADOS</t>
  </si>
  <si>
    <t>SI00000088267</t>
  </si>
  <si>
    <t>ENCANADOR OU BOMBEIRO HIDRÁULICO COM ENCARGOS COMPLEMENTARES</t>
  </si>
  <si>
    <t>ESTRUTURA DE CONCRETO ARMADO</t>
  </si>
  <si>
    <t>SUB-TOTAL 1.0</t>
  </si>
  <si>
    <t>2.1</t>
  </si>
  <si>
    <t>ALVENARIA E REVESTIMENTOS</t>
  </si>
  <si>
    <t>3.1</t>
  </si>
  <si>
    <t>3.2</t>
  </si>
  <si>
    <t>3.3</t>
  </si>
  <si>
    <t>3.4</t>
  </si>
  <si>
    <t>3.5</t>
  </si>
  <si>
    <t>3.6</t>
  </si>
  <si>
    <t>3.7</t>
  </si>
  <si>
    <t>0004517</t>
  </si>
  <si>
    <t>SARRAFO *2,5 X 7,5* CM EM PINUS, MISTA OU EQUIVALENTE DA REGIAO - BRUTA</t>
  </si>
  <si>
    <t>3.8</t>
  </si>
  <si>
    <t>3.9</t>
  </si>
  <si>
    <t>3.10</t>
  </si>
  <si>
    <t>3.11</t>
  </si>
  <si>
    <t>3.13</t>
  </si>
  <si>
    <t>3.14</t>
  </si>
  <si>
    <t>SUB-TOTAL 3.0</t>
  </si>
  <si>
    <t>SUB-TOTAL 4.0</t>
  </si>
  <si>
    <t>MOBILIÁRIO E ACESSÓRIOS</t>
  </si>
  <si>
    <t>SUB-TOTAL 5.0</t>
  </si>
  <si>
    <t>INSTALAÇÕES HIDROSSANITÁRIAS</t>
  </si>
  <si>
    <t>02339</t>
  </si>
  <si>
    <t>ADESIVO PLASTICO PARA PVC RIGIDO, EM BISNAGA DE 75G</t>
  </si>
  <si>
    <t>7.1</t>
  </si>
  <si>
    <t>SUB-TOTAL 6.0</t>
  </si>
  <si>
    <t>INSTALAÇÕES ELÉTRICAS</t>
  </si>
  <si>
    <t>7.2</t>
  </si>
  <si>
    <t>7.3</t>
  </si>
  <si>
    <t>7.4</t>
  </si>
  <si>
    <t>7.5</t>
  </si>
  <si>
    <t>7.6</t>
  </si>
  <si>
    <t>8.0</t>
  </si>
  <si>
    <t>COBERTURA</t>
  </si>
  <si>
    <t>SUB-TOTAL 7.0</t>
  </si>
  <si>
    <t>8.1</t>
  </si>
  <si>
    <t>8.2</t>
  </si>
  <si>
    <t>8.3</t>
  </si>
  <si>
    <t>8.4</t>
  </si>
  <si>
    <t>8.5</t>
  </si>
  <si>
    <t>02617</t>
  </si>
  <si>
    <t>TUBO DE PVC RIGIDO, PONTA/BOLSA COM VIROLA, EM BARRAS DE 6,00M, DE 100MM</t>
  </si>
  <si>
    <t>02616</t>
  </si>
  <si>
    <t>TUBO DE PVC RIGIDO, PONTA/BOLSA COM VIROLA, EM BARRAS DE 6,00M, DE 75MM</t>
  </si>
  <si>
    <t>9.0</t>
  </si>
  <si>
    <t>SUB-TOTAL 8.0</t>
  </si>
  <si>
    <t>9.1</t>
  </si>
  <si>
    <t>9.2</t>
  </si>
  <si>
    <t>9.3</t>
  </si>
  <si>
    <t>9.4</t>
  </si>
  <si>
    <t>9.5</t>
  </si>
  <si>
    <t>9.6</t>
  </si>
  <si>
    <t>L</t>
  </si>
  <si>
    <t>SUB-TOTAL 9.0</t>
  </si>
  <si>
    <t>10.0</t>
  </si>
  <si>
    <t>PARTE EXTERNA</t>
  </si>
  <si>
    <t>SUB-TOTAL 10.0</t>
  </si>
  <si>
    <t>11.0</t>
  </si>
  <si>
    <t>TRANSPORTE E BOTA-FORA</t>
  </si>
  <si>
    <t>11.1</t>
  </si>
  <si>
    <t>11.2</t>
  </si>
  <si>
    <t>T</t>
  </si>
  <si>
    <t>30425</t>
  </si>
  <si>
    <t>19.004.0012-E CAMINHAO BASCUL. NO TOCO, 5M3 (CI)</t>
  </si>
  <si>
    <t>30423</t>
  </si>
  <si>
    <t>19.004.0012-C CAMINHAO BASCUL. NO TOCO, 5M3 (CP)</t>
  </si>
  <si>
    <t>30597</t>
  </si>
  <si>
    <t>19.005.0030-E PA CARREGADEIRA,MOTOR DIESEL 100CV,CAPACIDADE RASA 1,3M3 (CI)</t>
  </si>
  <si>
    <t>30595</t>
  </si>
  <si>
    <t>19.005.0030-C PA CARREGADEIRA,MOTOR DIESEL 100CV,CAPACIDADE RASA 1,3M3 (CP)</t>
  </si>
  <si>
    <t>04.011.0051-B</t>
  </si>
  <si>
    <t>CARGA E DESCARGA MECANICA,COM PA-CARREGADEIRA,COM 1,30M3 DECAPACIDADE,UTILIZANDO CAMINHAO BASCULANTE A OLEO DIESEL,COMCAPACIDADE UTIL DE 8T,CONSIDERADOS PARA O CAMINHAO OS TEMPOSDE ESPERA,MANOBRA,CARGA E DESCARGA E PARA A CARREGADEIRA OSTEMPOS DE ESPERA E OPERACAO PARA CARGAS DE 50T POR DIA DE 8H</t>
  </si>
  <si>
    <t>04.005.0123-B</t>
  </si>
  <si>
    <t>TRANSPORTE DE CARGA DE QUALQUER NATUREZA,EXCLUSIVE AS DESPESAS DE CARGA E DESCARGA,TANTO DE ESPERA DO CAMINHAO COMO DO SERVENTE OU EQUIPAMENTO AUXILIAR,A VELOCIDADE MEDIA DE 30KM/H,EM CAMINHAO BASCULANTE A OLEO DIESEL,COM CAPACIDADE UTIL DE8T</t>
  </si>
  <si>
    <t>T X KM</t>
  </si>
  <si>
    <t>11.3</t>
  </si>
  <si>
    <t>11.4</t>
  </si>
  <si>
    <t>TAXA DE DESCARGA NO CTR</t>
  </si>
  <si>
    <t>04.006.0014-B</t>
  </si>
  <si>
    <t>CARGA E DESCARGA MANUAL DE MATERIAL QUE EXIJA O CONCURSO DEMAIS DE UM SERVENTE PARA CADA PECA:VERGALHOES,VIGAS DE MADEIRA,CAIXAS E MEIOS-FIOS,EM CAMINHAO DE CARROCERIA FIXA A OLEODIESEL,COM CAPACIDADE UTIL DE 7,5T,INCLUSIVE O TEMPO DE CARGA,DESCARGA E MANOBRA</t>
  </si>
  <si>
    <t>30416</t>
  </si>
  <si>
    <t>19.004.0004-E CAMINHAO CARROC. FIXA 7,5T (CI)</t>
  </si>
  <si>
    <t>30414</t>
  </si>
  <si>
    <t>19.004.0004-C CAMINHAO CARROC. FIXA, 7,5T (CP)</t>
  </si>
  <si>
    <t>11.5</t>
  </si>
  <si>
    <t>04.005.0005-A</t>
  </si>
  <si>
    <t>TRANSPORTE DE CARGA DE QUALQUER NATUREZA,EXCLUSIVE AS DESPESAS DE CARGA E DESCARGA,TANTO DE ESPERA DO CAMINHAO COMO DO SERVENTE OU EQUIPAMENTO AUXILIAR,A VELOCIDADE MEDIA DE 35KM/H,EM CAMINHAO DE CARROCERIA FIXA A OLEO DIESEL,COM CAPACIDADEUTIL DE 7,5T</t>
  </si>
  <si>
    <t>SUB-TOTAL 11.0</t>
  </si>
  <si>
    <t>t</t>
  </si>
  <si>
    <t>7.7</t>
  </si>
  <si>
    <t>7.8</t>
  </si>
  <si>
    <t>7.9</t>
  </si>
  <si>
    <t>7.10</t>
  </si>
  <si>
    <t>7.11</t>
  </si>
  <si>
    <t>7.12</t>
  </si>
  <si>
    <t>7.13</t>
  </si>
  <si>
    <t>0038383</t>
  </si>
  <si>
    <t>LIXA D'AGUA EM FOLHA, GRAO 100</t>
  </si>
  <si>
    <t>0020083</t>
  </si>
  <si>
    <t>SOLUCAO PREPARADORA / LIMPADORA PARA PVC, FRASCO COM 1000 CM3</t>
  </si>
  <si>
    <t>0000122</t>
  </si>
  <si>
    <t>ADESIVO PLASTICO PARA PVC, FRASCO COM *850* GR</t>
  </si>
  <si>
    <t>SI00000088248</t>
  </si>
  <si>
    <t>AUXILIAR DE ENCANADOR OU BOMBEIRO HIDRÁULICO COM ENCARGOS COMPLEMENTARES</t>
  </si>
  <si>
    <t>15.036.0053-A</t>
  </si>
  <si>
    <t>TUBO DE PVC RIGIDO DE 150MM,SOLDAVEL,INCLUSIVE CONEXOES E EMENDAS,EXCLUSIVE ABERTURA E FECHAMENTO DE RASGO.FORNECIMENTOE ASSENTAMENTO</t>
  </si>
  <si>
    <t>05070</t>
  </si>
  <si>
    <t>TUBO DE PVC RIGIDO LEVE CIRCULAR EM BARRAS DE 6,00M, COM PONTA E BOLSA LISAS, DE150MM</t>
  </si>
  <si>
    <t>15.036.0048-A</t>
  </si>
  <si>
    <t>TUBO DE PVC RIGIDO DE 100MM,SOLDAVEL,EXCLUSIVE EMENDAS,CONEXOES,ABERTURA E FECHAMENTO DE RASGO.FORNECIMENTO E ASSENTAMENTO</t>
  </si>
  <si>
    <t>15.036.0047-A</t>
  </si>
  <si>
    <t>TUBO DE PVC RIGIDO DE 75MM,SOLDAVEL,EXCLUSIVE EMENDAS,CONEXOES,ABERTURA E FECHAMENTO DE RASGO.FORNECIMENTO E ASSENTAMENTO</t>
  </si>
  <si>
    <t>15.036.0046-A</t>
  </si>
  <si>
    <t>TUBO DE PVC RIGIDO DE 50MM,SOLDAVEL,EXCLUSIVE EMENDAS,CONEXOES,ABERTURA E FECHAMENTO DE RASGO.FORNECIMENTO E ASSENTAMENTO</t>
  </si>
  <si>
    <t>02615</t>
  </si>
  <si>
    <t>TUBO DE PVC RIGIDO, PONTA/BOLSA COM VIROLA, EM BARRAS DE 6,00M, DE 050MM</t>
  </si>
  <si>
    <t>15.036.0045-A</t>
  </si>
  <si>
    <t>TUBO DE PVC RIGIDO DE 40MM,SOLDAVEL,EXCLUSIVE EMENDAS,CONEXOES,ABERTURA E FECHAMENTO DE RASGO.FORNECIMENTO E ASSENTAMENTO</t>
  </si>
  <si>
    <t>02614</t>
  </si>
  <si>
    <t>TUBO DE PVC RIGIDO SOLDAVEL, PONTA/BOLSA, PARA ESGOTO, EM BARRAS DE 6,00M, DE 040MM</t>
  </si>
  <si>
    <t>SI00000089748</t>
  </si>
  <si>
    <t>CURVA CURTA 90 GRAUS, PVC, SERIE NORMAL, ESGOTO PREDIAL, DN 100 MM, JUNTA ELÁSTICA, FORNECIDO E INSTALADO EM RAMAL DE DESCARGA OU RAMAL DE ESGOTO SANITÁRIO. AF_12/2014</t>
  </si>
  <si>
    <t>0020078</t>
  </si>
  <si>
    <t>PASTA LUBRIFICANTE PARA TUBOS E CONEXOES COM JUNTA ELASTICA, EMBALAGEM DE *400* GR (USO EM PVC, ACO, POLIETILENO E OUTROS)</t>
  </si>
  <si>
    <t>0001966</t>
  </si>
  <si>
    <t>0000301</t>
  </si>
  <si>
    <t>ANEL BORRACHA PARA TUBO ESGOTO PREDIAL, DN 100 MM (NBR 5688)</t>
  </si>
  <si>
    <t>0000297</t>
  </si>
  <si>
    <t>ANEL BORRACHA PARA TUBO ESGOTO PREDIAL, DN 75 MM (NBR 5688)</t>
  </si>
  <si>
    <t>0003670</t>
  </si>
  <si>
    <t>JUNCAO SIMPLES, PVC, 45 GRAUS, DN 100 X 100 MM, SERIE NORMAL PARA ESGOTO PREDIAL</t>
  </si>
  <si>
    <t>SI00000089724</t>
  </si>
  <si>
    <t>JOELHO 90 GRAUS, PVC, SERIE NORMAL, ESGOTO PREDIAL, DN 40 MM, JUNTA SOLDÁVEL, FORNECIDO E INSTALADO EM RAMAL DE DESCARGA OU RAMAL DE ESGOTO SANITÁRIO. AF_12/2014</t>
  </si>
  <si>
    <t>0003517</t>
  </si>
  <si>
    <t>0000299</t>
  </si>
  <si>
    <t>ANEL BORRACHA, DN 100 MM, PARA TUBO SERIE REFORCADA ESGOTO PREDIAL</t>
  </si>
  <si>
    <t>SI00000089708</t>
  </si>
  <si>
    <t>CAIXA SIFONADA, PVC, DN 150 X 185 X 75 MM, JUNTA ELÁSTICA, FORNECIDA E INSTALADA EM RAMAL DE DESCARGA OU EM RAMAL DE ESGOTO SANITÁRIO. AF_12/2014</t>
  </si>
  <si>
    <t>0011714</t>
  </si>
  <si>
    <t>CAIXA SIFONADA, PVC, 150 X *185* X 75 MM, COM GRELHA QUADRADA, BRANCA</t>
  </si>
  <si>
    <t>SI00000098108</t>
  </si>
  <si>
    <t>CAIXA DE GORDURA DUPLA (CAPACIDADE: 126 L), RETANGULAR, EM ALVENARIA COM BLOCOS DE CONCRETO, DIMENSÕES INTERNAS = 0,4X0,7 M, ALTURA INTERNA = 0,8 M. AF_12/2020</t>
  </si>
  <si>
    <t>0006193</t>
  </si>
  <si>
    <t>TABUA  NAO  APARELHADA  *2,5 X 20* CM, EM MACARANDUBA, ANGELIM OU EQUIVALENTE DA REGIAO - BRUTA</t>
  </si>
  <si>
    <t>0005069</t>
  </si>
  <si>
    <t>PREGO DE ACO POLIDO COM CABECA 17 X 27 (2 1/2 X 11)</t>
  </si>
  <si>
    <t>0004491</t>
  </si>
  <si>
    <t>PONTALETE *7,5 X 7,5* CM EM PINUS, MISTA OU EQUIVALENTE DA REGIAO - BRUTA</t>
  </si>
  <si>
    <t>0002692</t>
  </si>
  <si>
    <t>DESMOLDANTE PROTETOR PARA FORMAS DE MADEIRA, DE BASE OLEOSA EMULSIONADA EM AGUA</t>
  </si>
  <si>
    <t>0000650</t>
  </si>
  <si>
    <t>BLOCO DE VEDACAO DE CONCRETO, 9 X 19 X 39 CM (CLASSE C - NBR 6136)</t>
  </si>
  <si>
    <t>SI00000101616</t>
  </si>
  <si>
    <t>SI00000100475</t>
  </si>
  <si>
    <t>SI00000097734</t>
  </si>
  <si>
    <t>SI00000097733</t>
  </si>
  <si>
    <t>SI00000094970</t>
  </si>
  <si>
    <t>SI00000094970 CONCRETO FCK = 20MPA, TRAÇO 1:2,7:3 (EM MASSA SECA DE CIMENTO/ AREIA MÉDIA/ BRITA 1) - PREPARO MECÂNICO COM BETONEIRA 600 L. AF_05/2021</t>
  </si>
  <si>
    <t>SI00000087316</t>
  </si>
  <si>
    <t>SI00000087316 ARGAMASSA TRAÇO 1:4 (EM VOLUME DE CIMENTO E AREIA GROSSA ÚMIDA) PARA CHAPISCO CONVENCIONAL, PREPARO MECÂNICO COM BETONEIRA 400 L. AF_08/2019</t>
  </si>
  <si>
    <t>SI00000099260</t>
  </si>
  <si>
    <t>CAIXA ENTERRADA HIDRÁULICA RETANGULAR, EM ALVENARIA COM BLOCOS DE CONCRETO, DIMENSÕES INTERNAS: 0,6X0,6X0,6 M PARA REDE DE DRENAGEM. AF_12/2020</t>
  </si>
  <si>
    <t>SI00000097735</t>
  </si>
  <si>
    <t>SI00000097735 PEÇA RETANGULAR PRÉ-MOLDADA, VOLUME DE CONCRETO DE 30 A 100 LITROS, TAXA DE AÇO APROXIMADA DE 30KG/M³. AF_01/2018</t>
  </si>
  <si>
    <t>SI00000088628</t>
  </si>
  <si>
    <t>SI00000088628 ARGAMASSA TRAÇO 1:3 (EM VOLUME DE CIMENTO E AREIA MÉDIA ÚMIDA), PREPARO MECÂNICO COM BETONEIRA 400 L. AF_08/2019</t>
  </si>
  <si>
    <t>SI00000005679</t>
  </si>
  <si>
    <t>SI00000005679 RETROESCAVADEIRA SOBRE RODAS COM CARREGADEIRA, TRAÇÃO 4X4, POTÊNCIA LÍQ. 88 HP, CAÇAMBA CARREG. CAP. MÍN. 1 M3, CAÇAMBA RETRO CAP. 0,26 M3, PESO OPERACIONAL MÍN. 6.674 KG, PROFUNDIDADE ESCAVAÇÃO MÁX. 4,37 M - CHI DIURNO. AF_06/2014</t>
  </si>
  <si>
    <t>SI00000005678</t>
  </si>
  <si>
    <t>SI00000005678 RETROESCAVADEIRA SOBRE RODAS COM CARREGADEIRA, TRAÇÃO 4X4, POTÊNCIA LÍQ. 88 HP, CAÇAMBA CARREG. CAP. MÍN. 1 M3, CAÇAMBA RETRO CAP. 0,26 M3, PESO OPERACIONAL MÍN. 6.674 KG, PROFUNDIDADE ESCAVAÇÃO MÁX. 4,37 M - CHP DIURNO. AF_06/2014</t>
  </si>
  <si>
    <t>2.2</t>
  </si>
  <si>
    <t>02.020.0003-A</t>
  </si>
  <si>
    <t>PLACA DE IDENTIFICACAO DE OBRA PUBLICA,TIPO BANNER/PLOTTER,CONSTITUIDA POR LONA E IMPRESSAO DIGITAL,EXCLUSIVE SUPORTE DEMADEIRA.FORNECIMENTO E COLOCACAO</t>
  </si>
  <si>
    <t>MERCADO</t>
  </si>
  <si>
    <t>120 DIAS</t>
  </si>
  <si>
    <t>150 DIAS</t>
  </si>
  <si>
    <t>180 DIAS</t>
  </si>
  <si>
    <t>210 DIAS</t>
  </si>
  <si>
    <t>240 DIAS</t>
  </si>
  <si>
    <t>270 DIAS</t>
  </si>
  <si>
    <t>mercado</t>
  </si>
  <si>
    <t>30270</t>
  </si>
  <si>
    <t>11.002.0035-B LANCAMENTO CONC.S/ARM.2,0M3/H, HORIZ.</t>
  </si>
  <si>
    <t xml:space="preserve">CARGA E DESCARGA MECANICA,COM PA-CARREGADEIRA,COM 1,30M3 DECAPACIDADE,UTILIZANDO CAMINHAO BASCULANTE A OLEO DIESEL,COMCAPACIDADE UTIL DE 8T,CONSIDERADOS PARA O CAMINHAO OS TEMPOSDE ESPERA,MANOBRA,CARGA E DESCARGA E PARA A CARREGADEIRA OSTEMPOS DE ESPERA E OPERACAO PARA CARGAS DE 50T POR DIA DE 8H </t>
  </si>
  <si>
    <t xml:space="preserve">CTR BARRA MANSA </t>
  </si>
  <si>
    <t>SUB-TOTAL 2.0</t>
  </si>
  <si>
    <t>0011732</t>
  </si>
  <si>
    <t>GRELHA PVC CROMADA REDONDA, 150 MM</t>
  </si>
  <si>
    <t>CAIXA SIFONADA, PVC, DN 150 X 185 X 75 MM, JUNTA ELÁSTICA, FORNECIDA E INSTALADA EM RAMAL DE DESCARGA OU EM RAMAL DE ESGOTO SANITÁRIO. AF_12/2014, INCLUSIVE GRELHA REDONDA CROMADA.</t>
  </si>
  <si>
    <t>SI00000089708 ALTERADO</t>
  </si>
  <si>
    <t>9.7</t>
  </si>
  <si>
    <t xml:space="preserve">COMPOSIÇÃO DE PREÇOS  - BDI 28,82% </t>
  </si>
  <si>
    <t>CURVA PVC CURTA 90 GRAUS, DN 100 MM, PARA ESGOTO PREDIAL</t>
  </si>
  <si>
    <t>JOELHO PVC, SOLDAVEL, BB, 90 GRAUS, SEM ANEL, DN 40 MM, PARA ESGOTO PREDIAL SECUNDARIO</t>
  </si>
  <si>
    <t>PREPARO DE FUNDO DE VALA COM LARGURA MENOR QUE 1,5 M (ACERTO DO SOLO NATURAL). AF_08/2020</t>
  </si>
  <si>
    <t>ARGAMASSA TRAÇO 1:3 (EM VOLUME DE CIMENTO E AREIA MÉDIA ÚMIDA) COM ADIÇÃO DE IMPERMEABILIZANTE, PREPARO MECÂNICO COM BETONEIRA 400 L. AF_08/2019</t>
  </si>
  <si>
    <t>PEÇA RETANGULAR PRÉ-MOLDADA, VOLUME DE CONCRETO DE 10 A 30 LITROS, TAXA DE AÇO APROXIMADA DE 30KG/M³. AF_01/2018</t>
  </si>
  <si>
    <t>PEÇA RETANGULAR PRÉ-MOLDADA, VOLUME DE CONCRETO DE ATÉ 10 LITROS, TAXA DE AÇO APROXIMADA DE 30KG/M³. AF_01/2018</t>
  </si>
  <si>
    <t>CONCRETO FCK = 20MPA, TRAÇO 1:2,7:3 (EM MASSA SECA DE CIMENTO/ AREIA MÉDIA/ BRITA 1) - PREPARO MECÂNICO COM BETONEIRA 600 L. AF_05/2021</t>
  </si>
  <si>
    <t>ARGAMASSA TRAÇO 1:4 (EM VOLUME DE CIMENTO E AREIA GROSSA ÚMIDA) PARA CHAPISCO CONVENCIONAL, PREPARO MECÂNICO COM BETONEIRA 400 L. AF_08/2019</t>
  </si>
  <si>
    <t>TOTAL GERAL=</t>
  </si>
  <si>
    <t>300 DIAS</t>
  </si>
  <si>
    <t>330 DIAS</t>
  </si>
  <si>
    <t>360 DIAS</t>
  </si>
  <si>
    <r>
      <t>Secretaria Municipal de Planejamento Urbano</t>
    </r>
    <r>
      <rPr>
        <sz val="22"/>
        <color indexed="8"/>
        <rFont val="Arial"/>
        <family val="2"/>
      </rPr>
      <t xml:space="preserve"> </t>
    </r>
  </si>
  <si>
    <t>Data-Base:   EMOP -  RJ / SINAPI e SCO-RJ- Desonerado - Base FEV-2022</t>
  </si>
  <si>
    <t>PLACA DE IDENTIFICACAO DE OBRA PUBLICA,TIPO BANNER/PLOTTER,CONSTITUIDA POR LONA E IMPRESSAO DIGITAL,EXCLUSIVE SUPORTE DE MADEIRA.FORNECIMENTO E COLOCACAO</t>
  </si>
  <si>
    <t xml:space="preserve">Serviço :  Reforma e Ampliação do EM Julio Branco
</t>
  </si>
  <si>
    <t>PROJETO: Arquiteto Hugo</t>
  </si>
  <si>
    <t>LEVANTAMENTO: Arquiteto Hugo</t>
  </si>
  <si>
    <t>0003893</t>
  </si>
  <si>
    <t>LUVA DE CORRER, PVC, DN 100 MM, PARA ESGOTO PREDIAL</t>
  </si>
  <si>
    <t>0000296</t>
  </si>
  <si>
    <t>ANEL BORRACHA PARA TUBO ESGOTO PREDIAL, DN 50 MM (NBR 5688)</t>
  </si>
  <si>
    <t>0003895</t>
  </si>
  <si>
    <t>LUVA DE CORRER, PVC, DN 75 MM, PARA ESGOTO PREDIAL</t>
  </si>
  <si>
    <t>LUVA DE CORRER, PVC, SERIE NORMAL, ESGOTO PREDIAL, DN 40 MM, JUNTA ELÁSTICA, FORNECIDO E INSTALADO EM PRUMADA DE ESGOTO SANITÁRIO OU VENTILAÇÃO. AF_08/2022</t>
  </si>
  <si>
    <t>SI00000089776</t>
  </si>
  <si>
    <t>LUVA DE CORRER, PVC, SERIE NORMAL, ESGOTO PREDIAL, DN 75 MM, JUNTA ELÁSTICA, FORNECIDO E INSTALADO EM RAMAL DE DESCARGA OU RAMAL DE ESGOTO SANITÁRIO. AF_08/2022</t>
  </si>
  <si>
    <t>SI00000089779</t>
  </si>
  <si>
    <t>LUVA DE CORRER, PVC, SERIE NORMAL, ESGOTO PREDIAL, DN 100 MM, JUNTA ELÁSTICA, FORNECIDO E INSTALADO EM RAMAL DE DESCARGA OU RAMAL DE ESGOTO SANITÁRIO. AF_08/2022</t>
  </si>
  <si>
    <t>SI00000104171</t>
  </si>
  <si>
    <t>LUVA DE CORRER, PVC, SERIE R, ÁGUA PLUVIAL, DN 150 MM, JUNTA ELÁSTICA, FORNECIDO E INSTALADO EM RAMAL DE ENCAMINHAMENTO. AF_06/2022</t>
  </si>
  <si>
    <t>0020166</t>
  </si>
  <si>
    <t>LUVA DE CORRER, PVC SERIE R, 150 MM, PARA ESGOTO PREDIAL</t>
  </si>
  <si>
    <t>JOELHO 90 GRAUS, PVC, SERIE NORMAL, ESGOTO PREDIAL, DN 40 MM, JUNTA SOLDÁVEL, FORNECIDO E INSTALADO EM RAMAL DE DESCARGA OU RAMAL DE ESGOTO SANITÁRIO. AF_08/2022</t>
  </si>
  <si>
    <t>SI00000089726</t>
  </si>
  <si>
    <t>JOELHO 45 GRAUS, PVC, SERIE NORMAL, ESGOTO PREDIAL, DN 40 MM, JUNTA SOLDÁVEL, FORNECIDO E INSTALADO EM RAMAL DE DESCARGA OU RAMAL DE ESGOTO SANITÁRIO. AF_08/2022</t>
  </si>
  <si>
    <t>0003516</t>
  </si>
  <si>
    <t>JOELHO PVC, SOLDAVEL, BB, 45 GRAUS, DN 40 MM, PARA ESGOTO PREDIAL</t>
  </si>
  <si>
    <t>SI00000089737</t>
  </si>
  <si>
    <t>JOELHO 90 GRAUS, PVC, SERIE NORMAL, ESGOTO PREDIAL, DN 75 MM, JUNTA ELÁSTICA, FORNECIDO E INSTALADO EM RAMAL DE DESCARGA OU RAMAL DE ESGOTO SANITÁRIO. AF_08/2022</t>
  </si>
  <si>
    <t>0003509</t>
  </si>
  <si>
    <t>JOELHO PVC, SOLDAVEL, PB, 90 GRAUS, DN 75 MM, PARA ESGOTO PREDIAL</t>
  </si>
  <si>
    <t>SI00000089739</t>
  </si>
  <si>
    <t>JOELHO 45 GRAUS, PVC, SERIE NORMAL, ESGOTO PREDIAL, DN 75 MM, JUNTA ELÁSTICA, FORNECIDO E INSTALADO EM RAMAL DE DESCARGA OU RAMAL DE ESGOTO SANITÁRIO. AF_08/2022</t>
  </si>
  <si>
    <t>0003519</t>
  </si>
  <si>
    <t>JOELHO PVC, SOLDAVEL, PB, 45 GRAUS, DN 75 MM, PARA ESGOTO PREDIAL</t>
  </si>
  <si>
    <t>SI00000089744</t>
  </si>
  <si>
    <t>JOELHO 90 GRAUS, PVC, SERIE NORMAL, ESGOTO PREDIAL, DN 100 MM, JUNTA ELÁSTICA, FORNECIDO E INSTALADO EM RAMAL DE DESCARGA OU RAMAL DE ESGOTO SANITÁRIO. AF_08/2022</t>
  </si>
  <si>
    <t>0003520</t>
  </si>
  <si>
    <t>JOELHO PVC, SOLDAVEL, PB, 90 GRAUS, DN 100 MM, PARA ESGOTO PREDIAL</t>
  </si>
  <si>
    <t>SI00000089746</t>
  </si>
  <si>
    <t>JOELHO 45 GRAUS, PVC, SERIE NORMAL, ESGOTO PREDIAL, DN 100 MM, JUNTA ELÁSTICA, FORNECIDO E INSTALADO EM RAMAL DE DESCARGA OU RAMAL DE ESGOTO SANITÁRIO. AF_08/2022</t>
  </si>
  <si>
    <t>0003528</t>
  </si>
  <si>
    <t>JOELHO PVC, SOLDAVEL, PB, 45 GRAUS, DN 100 MM, PARA ESGOTO PREDIAL</t>
  </si>
  <si>
    <t>SI00000089854</t>
  </si>
  <si>
    <t>JOELHO 90 GRAUS, PVC, SERIE NORMAL, ESGOTO PREDIAL, DN 150 MM, JUNTA ELÁSTICA, FORNECIDO E INSTALADO EM SUBCOLETOR AÉREO DE ESGOTO SANITÁRIO. AF_08/2022</t>
  </si>
  <si>
    <t>0037950</t>
  </si>
  <si>
    <t>JOELHO PVC, SOLDAVEL, PB, 90 GRAUS, DN 150 MM, PARA ESGOTO PREDIAL</t>
  </si>
  <si>
    <t>0000305</t>
  </si>
  <si>
    <t>ANEL BORRACHA, PARA TUBO PVC, REDE COLETOR ESGOTO, DN 150 MM (NBR 7362)</t>
  </si>
  <si>
    <t>SI00000089834</t>
  </si>
  <si>
    <t>JUNÇÃO SIMPLES, PVC, SERIE NORMAL, ESGOTO PREDIAL, DN 100 X 100 MM, JUNTA ELÁSTICA, FORNECIDO E INSTALADO EM PRUMADA DE ESGOTO SANITÁRIO OU VENTILAÇÃO. AF_08/2022</t>
  </si>
  <si>
    <t>SI00000104345</t>
  </si>
  <si>
    <t>JUNÇÃO DE REDUÇÃO INVERTIDA, PVC, SÉRIE NORMAL, ESGOTO PREDIAL, DN 100 X 50 MM, JUNTA ELÁSTICA, FORNECIDO E INSTALADO EM RAMAL DE DESCARGA OU RAMAL DE ESGOTO SANITÁRIO. AF_08/2022</t>
  </si>
  <si>
    <t>JUNCAO DE REDUCAO INVERTIDA, PVC SOLDAVEL, 100 X 50 MM, SERIE NORMAL PARA ESGOTO PREDIAL</t>
  </si>
  <si>
    <t>JUNÇÃO DE REDUÇÃO INVERTIDA, PVC, SÉRIE NORMAL, ESGOTO PREDIAL, DN 100 X 40 MM, JUNTA ELÁSTICA, FORNECIDO E INSTALADO EM RAMAL DE DESCARGA OU RAMAL DE ESGOTO SANITÁRIO. AF_08/2022</t>
  </si>
  <si>
    <t>SI00000104345 ALTERADA</t>
  </si>
  <si>
    <t>SI00000101616 PREPARO DE FUNDO DE VALA COM LARGURA MENOR QUE 1,5 M (ACERTO DO SOLO NATURAL). AF_08/2020</t>
  </si>
  <si>
    <t>SI00000089482</t>
  </si>
  <si>
    <t>CAIXA SIFONADA, PVC, DN 100 X 100 X 50 MM, FORNECIDA E INSTALADA EM RAMAIS DE ENCAMINHAMENTO DE ÁGUA PLUVIAL. AF_06/2022</t>
  </si>
  <si>
    <t>0005103</t>
  </si>
  <si>
    <t>CAIXA SIFONADA PVC, 100 X 100 X 50 MM, COM GRELHA REDONDA, BRANCA</t>
  </si>
  <si>
    <t>05.035.0009-A</t>
  </si>
  <si>
    <t>CERCA CONSTRUIDA COM MOURAO DE PONTA INCLINADA,ALTURA UTIL DE 2,50M E 0,70M CRAVADO NO SOLO COM CONCRETO FCK=15MPA,ESPACADOS DE 3,00M,FECHAMENTO COM TELA DE ARAME,MALHA 8X8CM,# 10,FIXADA COM ARAME GALVANIZADO Nº 6 E 3 (TRES) FIOS DE ARAME FARPADO NA PARTE SUPERIOR,INCLUSIVE MURETA DE CONCRETO CICLOPICO E TODOS OS MATERIAIS.FORNECIMENTO E COLOCACAO</t>
  </si>
  <si>
    <t>07275</t>
  </si>
  <si>
    <t>MOURAO CURVO DE CONCRETO ARMADO, CONFORME NBR 7176, MEDIDAS APROXIMADAS DE 2,90M, MAIS 0,44M DE PONTA INCLINADA</t>
  </si>
  <si>
    <t>02863</t>
  </si>
  <si>
    <t>ARAME GALVANIZADO Nº 06</t>
  </si>
  <si>
    <t>02862</t>
  </si>
  <si>
    <t>TELA DE ARAME GALVANIZADO FIO Nº 10, MALHA LOSANGO, DE (8X8)CM</t>
  </si>
  <si>
    <t>00004</t>
  </si>
  <si>
    <t>ARAME RECOZIDO Nº 18</t>
  </si>
  <si>
    <t>00002</t>
  </si>
  <si>
    <t>ARAME FARPADO GALVANIZADO, 2,1MM (BWG N.14)</t>
  </si>
  <si>
    <t>30861</t>
  </si>
  <si>
    <t>20.004.0033-B ATERRO COMPACT. MEC.-RODOVIARIO</t>
  </si>
  <si>
    <t>30309</t>
  </si>
  <si>
    <t>11.011.0030-B CORTE ACO CA-50B DIAM.ENTRE 8MM A 12,5MM</t>
  </si>
  <si>
    <t>30302</t>
  </si>
  <si>
    <t>11.009.0014-B BARRA ACO CA-50,DIAM.DE 8 A 12,5MM</t>
  </si>
  <si>
    <t>30279</t>
  </si>
  <si>
    <t>11.003.0014-B CONCRETO CICLOPICO C/ CONCR. FCK 10MPA</t>
  </si>
  <si>
    <t>30277</t>
  </si>
  <si>
    <t>11.003.0003-B CONCRETO P/PECAS ARMADAS FCK 20MPA</t>
  </si>
  <si>
    <t>05.001.0134-A</t>
  </si>
  <si>
    <t>ARRANCAMENTO DE PORTAS,JANELAS E CAIXILHOS DE AR CONDICIONADO OU OUTROS</t>
  </si>
  <si>
    <t>20115</t>
  </si>
  <si>
    <t>MAO-DE-OBRA DE PEDREIRO, INCLUSIVE ENCARGOS SOCIAIS DESONERADOS</t>
  </si>
  <si>
    <t>05.001.0015-A</t>
  </si>
  <si>
    <t>DEMOLICAO DE PISO DE LADRILHO COM RESPECTIVA CAMADA DE ARGAMASSA DE ASSENTAMENTO,INCLUSIVE EMPILHAMENTO LATERAL DENTRO DO CANTEIRO DE SERVICO</t>
  </si>
  <si>
    <t>05.001.0031-A</t>
  </si>
  <si>
    <t>DEMOLICAO DE PISO DE ALTA RESISTENCIA,EXCLUSIVE CAMADA DE ASSENTAMENTO(CONTRAPISO)</t>
  </si>
  <si>
    <t>05.002.0001-A</t>
  </si>
  <si>
    <t>DEMOLICAO,COM EQUIPAMENTO DE AR COMPRIMIDO,DE PISOS OU PAVIMENTOS DE CONCRETO SIMPLES,INCLUSIVE EMPILHAMENTO LATERAL DENTRO DO CANTEIRO DE SERVICO</t>
  </si>
  <si>
    <t>30089</t>
  </si>
  <si>
    <t>05.002.0010-B DEMOLICAO PAVIMENT.CONCR., ESP. 20CM</t>
  </si>
  <si>
    <t>30088</t>
  </si>
  <si>
    <t>05.002.0009-B DEMOLICAO PAVIMENT.CONCR., ESP. 15CM</t>
  </si>
  <si>
    <t>SI00000097627</t>
  </si>
  <si>
    <t>DEMOLIÇÃO DE PILARES E VIGAS EM CONCRETO ARMADO, DE FORMA MECANIZADA COM MARTELETE, SEM REAPROVEITAMENTO. AF_12/2017</t>
  </si>
  <si>
    <t>0041954</t>
  </si>
  <si>
    <t>CABO DE ACO GALVANIZADO, DIAMETRO 9,53 MM (3/8"), COM ALMA DE FIBRA 6 X 25 F</t>
  </si>
  <si>
    <t>SI00000005952</t>
  </si>
  <si>
    <t>SI00000005952 MARTELETE OU ROMPEDOR PNEUMÁTICO MANUAL, 28 KG, COM SILENCIADOR - CHI DIURNO. AF_07/2016</t>
  </si>
  <si>
    <t>SI00000005795</t>
  </si>
  <si>
    <t>SI00000005795 MARTELETE OU ROMPEDOR PNEUMÁTICO MANUAL, 28 KG, COM SILENCIADOR - CHP DIURNO. AF_07/2016</t>
  </si>
  <si>
    <t>05.001.0023-A</t>
  </si>
  <si>
    <t>DEMOLICAO MANUAL DE ALVENARIA DE TIJOLOS FURADOS,INCLUSIVE EMPILHAMENTO LATERAL DENTRO DO CANTEIRO DE SERVICO</t>
  </si>
  <si>
    <t>UNID.</t>
  </si>
  <si>
    <t>unid</t>
  </si>
  <si>
    <t>PREÇO</t>
  </si>
  <si>
    <t>Veicol Vidraçaria</t>
  </si>
  <si>
    <t>Cosiba Serviços Industriais</t>
  </si>
  <si>
    <t>C L Vidraçaria e Construções</t>
  </si>
  <si>
    <t>PREÇO MEDIANO=</t>
  </si>
  <si>
    <t>4.1</t>
  </si>
  <si>
    <t>Janela de correr 4 folhas (2 Folhas Móveis) em Vidro Temperado Incolor 6mm +Kit  branco, medindo: 3,500 x 1500mm. CONFORME PROJETO</t>
  </si>
  <si>
    <t>Janela de correr 4 folhas (2 Folhas Móveis) em Vidro Temperado Incolor 6mm +Kit  branco, medindo: 2,500 x 1500mm. CONFORME PROJETO</t>
  </si>
  <si>
    <t>Janela de correr 4 folhas (2 Folhas Móveis) em Vidro Temperado Incolor 6mm +Kit  branco, medindo: 2,900 x 1500mm. CONFORME PROJETO</t>
  </si>
  <si>
    <t>Janela basculante, 2 folhas, em Vidro Temperado Incolor 6mm +Kit  branco, medindo: 1,500 x 700mm. CONFORME PROJETO</t>
  </si>
  <si>
    <t>Janela pivotante, 1 folha, em Vidro Temperado Incolor 6mm +Kit  branco, medindo: 900 x 1,800mm. CONFORME PROJETO</t>
  </si>
  <si>
    <t>00022</t>
  </si>
  <si>
    <t>ALUMINIO EM PERFIL TUBULAR EXTRUDADO, LIGA COMUM</t>
  </si>
  <si>
    <t>20131</t>
  </si>
  <si>
    <t>MAO-DE-OBRA DE SERRALHEIRO DA CONSTRUCAOCIVIL, INCLUSIVE ENCARGOS SOCIAIS DESONERADOS</t>
  </si>
  <si>
    <t>14.006.0010-A</t>
  </si>
  <si>
    <t>PORTA DE MADEIRA DE LEI EM COMPENSADO DE 80X210X3,5CM FOLHEADA NAS 2 FACES,ADUELA DE 13X3CM E ALIZARES DE 5X2CM,EXCLUSIVE FERRAGENS.FORNECIMENTO E COLOCACAO</t>
  </si>
  <si>
    <t>02259</t>
  </si>
  <si>
    <t>ALIZAR EM MADEIRA DE LEI, DE (5X2)CM, GRUPO V</t>
  </si>
  <si>
    <t>02258</t>
  </si>
  <si>
    <t>ADUELA EM MADEIRA DE LEI, DE (13X3)CM, GRUPO V</t>
  </si>
  <si>
    <t>00760</t>
  </si>
  <si>
    <t>PORTA LISA, SEMI-OCA PARA PINTURA, DE (80X210X3,5)CM</t>
  </si>
  <si>
    <t>00453</t>
  </si>
  <si>
    <t>PREGO COM OU SEM CABECA, EM CAIXAS DE 50KG, OU QUANTIDADES EQUIVALENTES, Nº12X12A 18X30</t>
  </si>
  <si>
    <t>20045</t>
  </si>
  <si>
    <t>MAO-DE-OBRA DE CARPINTEIRO DE ESQUADRIASDE MADEIRA, INCLUSIVE ENCARGOS SOCIAISDESONERADOS</t>
  </si>
  <si>
    <t>30998</t>
  </si>
  <si>
    <t>58.002.0412-B TACO DE ALVENARIA (2,5 X 10 X 20)CM</t>
  </si>
  <si>
    <t>14.006.0012-A</t>
  </si>
  <si>
    <t>PORTA DE MADEIRA DE LEI EM COMPENSADO DE 70X210X3,5CM,FOLHEADA NAS 2 FACES,ADUELA DE 13X3CM E ALIZARES DE 5X2CM,EXCLUSIVE FERRAGENS.FORNECIMENTO E COLOCACAO</t>
  </si>
  <si>
    <t>00761</t>
  </si>
  <si>
    <t>PORTA LISA, SEMI-OCA PARA PINTURA, DE (70X210X3,5)CM</t>
  </si>
  <si>
    <t>14.003.0225-A</t>
  </si>
  <si>
    <t>PORTA DE ALUMINIO ANODIZADO AO NATURAL,PERFIL SERIE 25,EM VENEZIANA,EXCLUSIVE FECHADURA.FORNECIMENTO E COLOCACAO</t>
  </si>
  <si>
    <t>SI00000091341</t>
  </si>
  <si>
    <t>PORTA EM ALUMÍNIO DE ABRIR TIPO VENEZIANA COM GUARNIÇÃO, FIXAÇÃO COM PARAFUSOS - FORNECIMENTO E INSTALAÇÃO. AF_12/2019</t>
  </si>
  <si>
    <t>0039025</t>
  </si>
  <si>
    <t>PORTA DE ABRIR EM ALUMINIO TIPO VENEZIANA, ACABAMENTO ANODIZADO NATURAL, SEM GUARNICAO/ALIZAR/VISTA, 87 X 210 CM</t>
  </si>
  <si>
    <t>0036888</t>
  </si>
  <si>
    <t>GUARNICAO / MOLDURA / ARREMATE DE ACABAMENTO PARA ESQUADRIA, EM ALUMINIO PERFIL 25, ACABAMENTO ANODIZADO BRANCO OU BRILHANTE, PARA 1 FACE</t>
  </si>
  <si>
    <t>0007568</t>
  </si>
  <si>
    <t>BUCHA DE NYLON SEM ABA S10, COM PARAFUSO DE 6,10 X 65 MM EM ACO ZINCADO COM ROSCA SOBERBA, CABECA CHATA E FENDA PHILLIPS</t>
  </si>
  <si>
    <t>0000142</t>
  </si>
  <si>
    <t>SELANTE ELASTICO MONOCOMPONENTE A BASE DE POLIURETANO (PU) PARA JUNTAS DIVERSAS</t>
  </si>
  <si>
    <t>310ML</t>
  </si>
  <si>
    <t>11439</t>
  </si>
  <si>
    <t>PORTA LISA, SEMI-OCA PARA PINTURA, DE (90X210X3,5)CM</t>
  </si>
  <si>
    <t>14.006.0220-A</t>
  </si>
  <si>
    <t>PORTA DE MADEIRA DE LEI DE CORRER EM COMPENSADO DE 80X210X3,5CM,PENDURADA EM ROLDANAS,CORRENDO DENTRO DE TRILHO OCO,GUIADA POR CANALETA EMBUTIDA NO PISO COM MARCO DE 7X3CM,EXCLUSIVE FERRAGENS.FORNECIMENTO E COLOCACAO</t>
  </si>
  <si>
    <t>02260</t>
  </si>
  <si>
    <t>MARCO EM MADEIRA DE LEI, DE (7X3)CM, GRUPO V</t>
  </si>
  <si>
    <t>14.006.0220-6</t>
  </si>
  <si>
    <t>PORTA DE MADEIRA DE LEI DE CORRER EM COMPENSADO DE 90X210X3,5CM,PENDURADA EM ROLDANAS,CORRENDO DENTRO DE TRILHO OCO,GUIADA POR CANALETA EMBUTIDA NO PISO COM MARCO DE 7X3CM,EXCLUSIVE FERRAGENS.FORNECIMENTO E COLOCACAO</t>
  </si>
  <si>
    <t>14.002.0070-A</t>
  </si>
  <si>
    <t>PORTAO DE FERRO DE UMA OU DUAS FOLHAS COM ALTURA DE 1,00 A 1,50M E LARGURA DE 1,00 A 3,00M,FORMADO P/BARRAS VERTICAIS DE1.1/4"X1/4",ESPACADAS DE 12,5CM,CONTORNO E MARCOS EM BARRASDE 1.1/4"X3/8",TENDO AO CENTRO UMA FAIXA DE CHAPA DE FERROGALVANIZADO Nº16,DE 20CM DE ALTURA,COM FECHO PARA COLOCACAODE CADEADO,EXCLUSIVE ESTE.FORNECIMENTO E COLOCACAO</t>
  </si>
  <si>
    <t>11794</t>
  </si>
  <si>
    <t>CHAPA DE ACO GALVANIZADO, Nº16 (1,55)MM</t>
  </si>
  <si>
    <t>11242</t>
  </si>
  <si>
    <t>BARRA CHATA DE ACO, DE 3/8"X1.1/4"</t>
  </si>
  <si>
    <t>SI00000096645</t>
  </si>
  <si>
    <t>TUBO, PPR, DN 32, CLASSE PN 12,  INSTALADO EM RAMAL DE DISTRIBUIÇÃO DE ÁGUA   FORNECIMENTO E INSTALAÇÃO. AF_08/2022</t>
  </si>
  <si>
    <t>0038971</t>
  </si>
  <si>
    <t>TUBO PPR, CLASSE PN 12, DN 32 MM</t>
  </si>
  <si>
    <t>SI00000104091</t>
  </si>
  <si>
    <t>TERMOFUSORA PARA TUBOS E CONEXÕES EM PPR COM DIÂMETROS DE 20 A 63 MM, POTÊNCIA DE 800 W, TENSAO 220 V - CHP DIURNO. AF_05/2022</t>
  </si>
  <si>
    <t>SI00000096671</t>
  </si>
  <si>
    <t>TUBO, PPR, DN 50, CLASSE PN 12,  INSTALADO EM PRUMADA DE ÁGUA   FORNECIMENTO E INSTALAÇÃO. AF_08/2022</t>
  </si>
  <si>
    <t>0038973</t>
  </si>
  <si>
    <t>TUBO PPR, CLASSE PN 12, DN 50 MM</t>
  </si>
  <si>
    <t>SI00000096673</t>
  </si>
  <si>
    <t>TUBO, PPR, DN 75, CLASSE PN 12,  INSTALADO EM PRUMADA DE ÁGUA   FORNECIMENTO E INSTALAÇÃO. AF_08/2022</t>
  </si>
  <si>
    <t>0038975</t>
  </si>
  <si>
    <t>TUBO PPR, CLASSE PN 12, DN 75 MM</t>
  </si>
  <si>
    <t>SI00000104098</t>
  </si>
  <si>
    <t>TERMOFUSORA PARA TUBOS E CONEXÕES EM PPR COM DIÂMETROS DE 75 A 110 MM, POTÊNCIA DE *1100* W, TENSÃO 220 V - CHI DIURNO. AF_05/2022</t>
  </si>
  <si>
    <t>SI00000104097</t>
  </si>
  <si>
    <t>TERMOFUSORA PARA TUBOS E CONEXÕES EM PPR COM DIÂMETROS DE 75 A 110 MM, POTÊNCIA DE *1100* W, TENSÃO 220 V - CHP DIURNO. AF_05/2022</t>
  </si>
  <si>
    <t>SI00000104194</t>
  </si>
  <si>
    <t>TUBO, PPR, DN 20, CLASSE PN20, INSTALADO EM RAMAL OU SUB-RAMAL DE ÁGUA - FORNECIMENTO E INSTALAÇÃO. AF_08/2022</t>
  </si>
  <si>
    <t>0036274</t>
  </si>
  <si>
    <t>TUBO PPR PN 20, DN 20 MM, PARA AGUA QUENTE PREDIAL</t>
  </si>
  <si>
    <t>SI00000096635</t>
  </si>
  <si>
    <t>TUBO, PPR, DN 25, CLASSE PN 20,  INSTALADO EM RAMAL OU SUB-RAMAL DE ÁGUA   FORNECIMENTO E INSTALAÇÃO. AF_08/2022</t>
  </si>
  <si>
    <t>0036278</t>
  </si>
  <si>
    <t>TUBO PPR PN 20, DN 25 MM, PARA AGUA QUENTE PREDIAL</t>
  </si>
  <si>
    <t>SI00000104092</t>
  </si>
  <si>
    <t>TERMOFUSORA PARA TUBOS E CONEXÕES EM PPR COM DIÂMETROS DE 20 A 63 MM, POTÊNCIA DE 800 W, TENSAO 220 V - CHI DIURNO. AF_05/2022</t>
  </si>
  <si>
    <t>SI00000104200</t>
  </si>
  <si>
    <t>LUVA, PPR, DN 20 MM, INSTALADO EM RAMAL OU SUB-RAMAL DE ÁGUA - FORNECIMENTO E INSTALAÇÃO. AF_08/2022</t>
  </si>
  <si>
    <t>0036320</t>
  </si>
  <si>
    <t>LUVA SIMPLES PPR, F/F, SOLDAVEL, DN 20 MM, PARA AGUA QUENTE PREDIAL</t>
  </si>
  <si>
    <t>SI00000096639</t>
  </si>
  <si>
    <t>LUVA, PPR, DN 25 MM, CLASSE PN 25, INSTALADO EM RAMAL OU SUB-RAMAL DE ÁGUA   FORNECIMENTO E INSTALAÇÃO. AF_08/2022</t>
  </si>
  <si>
    <t>0036324</t>
  </si>
  <si>
    <t>LUVA SIMPLES PPR, F/F, SOLDAVEL, DN 25 MM, PARA AGUA QUENTE PREDIAL</t>
  </si>
  <si>
    <t>SI00000096659</t>
  </si>
  <si>
    <t>LUVA, PPR, DN 32 MM, CLASSE PN 25, INSTALADO EM RAMAL DE DISTRIBUIÇÃO DE ÁGUA   FORNECIMENTO E INSTALAÇÃO. AF_08/2022</t>
  </si>
  <si>
    <t>0038441</t>
  </si>
  <si>
    <t>LUVA SIMPLES PPR, F/F, SOLDAVEL, DN 32 MM, PARA AGUA QUENTE PREDIAL</t>
  </si>
  <si>
    <t>SI00000096705</t>
  </si>
  <si>
    <t>LUVA, PPR, DN 50 MM, CLASSE PN 25, INSTALADO EM PRUMADA DE ÁGUA   FORNECIMENTO E INSTALAÇÃO. AF_08/2022</t>
  </si>
  <si>
    <t>0038443</t>
  </si>
  <si>
    <t>LUVA SIMPLES PPR, F/F, SOLDAVEL, DN 50 MM, PARA AGUA QUENTE PREDIAL</t>
  </si>
  <si>
    <t>SI00000096637</t>
  </si>
  <si>
    <t>JOELHO 90 GRAUS, PPR, DN 25 MM, CLASSE PN 25, INSTALADO EM RAMAL OU SUB-RAMAL DE ÁGUA   FORNECIMENTO E INSTALAÇÃO. AF_08/2022</t>
  </si>
  <si>
    <t>0036360</t>
  </si>
  <si>
    <t>JOELHO PPR, 90 GRAUS, SOLDAVEL, F/F, DN 25 MM, PARA AGUA QUENTE PREDIAL</t>
  </si>
  <si>
    <t>SI00000096652</t>
  </si>
  <si>
    <t>JOELHO 90 GRAUS, PPR, DN 32 MM, CLASSE PN 25, INSTALADO EM RAMAL DE DISTRIBUIÇÃO - FORNECIMENTO E INSTALAÇÃO. AF_08/2022</t>
  </si>
  <si>
    <t>0038434</t>
  </si>
  <si>
    <t>JOELHO PPR, 90 GRAUS, SOLDAVEL, F/F, DN 32 MM, PARA AGUA QUENTE PREDIAL</t>
  </si>
  <si>
    <t>SI00000096690</t>
  </si>
  <si>
    <t>JOELHO 90 GRAUS, PPR, DN 50 MM, CLASSE PN 25, INSTALADO EM PRUMADA DE ÁGUA   FORNECIMENTO E INSTALAÇÃO . AF_08/2022</t>
  </si>
  <si>
    <t>0038436</t>
  </si>
  <si>
    <t>JOELHO PPR, 90 GRAUS, SOLDAVEL, F/F, DN 50 MM, PARA AGUA QUENTE PREDIAL</t>
  </si>
  <si>
    <t>SI00000096653</t>
  </si>
  <si>
    <t>JOELHO 45 GRAUS, PPR, DN 32 MM, CLASSE PN 25, INSTALADO EM RAMAL DE DISTRIBUIÇÃO DE ÁGUA - FORNECIMENTO E INSTALAÇÃO. AF_08/2022</t>
  </si>
  <si>
    <t>0038433</t>
  </si>
  <si>
    <t>JOELHO PPR, 45 GRAUS, SOLDAVEL, F/F, DN 32 MM, PARA AGUA QUENTE PREDIAL</t>
  </si>
  <si>
    <t>SI00000096691</t>
  </si>
  <si>
    <t>JOELHO 45 GRAUS, PPR, DN 50 MM, CLASSE PN 25, INSTALADO EM PRUMADA DE ÁGUA   FORNECIMENTO E INSTALAÇÃO . AF_08/2022</t>
  </si>
  <si>
    <t>0038988</t>
  </si>
  <si>
    <t>JOELHO PPR 45 GRAUS, SOLDAVEL, F/F, DN 50 MM, PARA AQUA QUENTE E FRIA PREDIAL</t>
  </si>
  <si>
    <t>SI00000096665</t>
  </si>
  <si>
    <t>TÊ NORMAL, PPR, DN 25 MM, CLASSE PN 25, INSTALADO EM RAMAL DE DISTRIBUIÇÃO DE ÁGUA   FORNECIMENTO E INSTALAÇÃO. AF_08/2022</t>
  </si>
  <si>
    <t>0036298</t>
  </si>
  <si>
    <t>TE NORMAL, PPR, F/F/F, SOLDAVEL, 90 GRAUS, DN 25 X 25 X 25 MM, PARA AGUA QUENTE PREDIAL</t>
  </si>
  <si>
    <t>SI00000096666</t>
  </si>
  <si>
    <t>TÊ NORMAL, PPR, DN 32 MM, CLASSE PN 25, INSTALADO EM RAMAL DE DISTRIBUIÇÃO DE ÁGUA   FORNECIMENTO E INSTALAÇÃO. AF_08/2022</t>
  </si>
  <si>
    <t>0038456</t>
  </si>
  <si>
    <t>TE NORMAL, PPR, F/F/F, SOLDAVEL, 90 GRAUS, DN 32 X 32 X 32 MM, PARA AGUA QUENTE PREDIAL</t>
  </si>
  <si>
    <t>SI00000096713</t>
  </si>
  <si>
    <t>TÊ NORMAL, PPR, DN 50 MM, CLASSE PN 25, INSTALADO EM PRUMADA DE ÁGUA   FORNECIMENTO E INSTALAÇÃO . AF_08/2022</t>
  </si>
  <si>
    <t>0038458</t>
  </si>
  <si>
    <t>TE NORMAL, PPR, F/F/F, SOLDAVEL, 90 GRAUS, DN 50 X 50 X 50 MM, PARA AGUA QUENTE PREDIAL</t>
  </si>
  <si>
    <t>SI00000104191</t>
  </si>
  <si>
    <t>BUCHA DE REDUÇÃO, PPR, DN 25 X 20 MM, INSTALADO EM RAMAL OU SUB-RAMAL DE ÁGUA - FORNECIMENTO E INSTALAÇÃO. AF_08/2022</t>
  </si>
  <si>
    <t>0036327</t>
  </si>
  <si>
    <t>BUCHA DE REDUCAO, PPR, DN 25 X 20 MM, PARA AGUA QUENTE PREDIAL</t>
  </si>
  <si>
    <t>SI00000096662</t>
  </si>
  <si>
    <t>BUCHA DE REDUÇÃO, PPR, 32 X 25, CLASSE PN 25, INSTALADO EM RAMAL DE DISTRIBUIÇÃO DE ÁGUA   FORNECIMENTO E INSTALAÇÃO. AF_08/2022</t>
  </si>
  <si>
    <t>0038992</t>
  </si>
  <si>
    <t>BUCHA DE REDUCAO, PPR, DN 32 X 25 MM, PARA AGUA QUENTE E FRIA PREDIAL</t>
  </si>
  <si>
    <t>SI00000096704</t>
  </si>
  <si>
    <t>BUCHA DE REDUÇÃO, PPR, 40 X 25, CLASSE PN 25, INSTALADO EM PRUMADA DE ÁGUA   FORNECIMENTO E INSTALAÇÃO . AF_08/2022</t>
  </si>
  <si>
    <t>0044177</t>
  </si>
  <si>
    <t>BUCHA DE REDUCAO, PPR, DN 50 X 32 MM, PARA AGUA QUENTE E FRIA PREDIAL</t>
  </si>
  <si>
    <t>SI00000096704 ALTERADO</t>
  </si>
  <si>
    <t>BUCHA DE REDUÇÃO, PPR, 50 X 25, CLASSE PN 25, INSTALADO EM PRUMADA DE ÁGUA   FORNECIMENTO E INSTALAÇÃO . AF_08/2022</t>
  </si>
  <si>
    <t>SI00000089349</t>
  </si>
  <si>
    <t>REGISTRO DE PRESSÃO BRUTO, LATÃO, ROSCÁVEL, 1/2" - FORNECIMENTO E INSTALAÇÃO. AF_08/2021</t>
  </si>
  <si>
    <t>0011752</t>
  </si>
  <si>
    <t>REGISTRO PRESSAO BRUTO EM LATAO FORJADO, BITOLA 1/2 " (REF 1400)</t>
  </si>
  <si>
    <t>0003148</t>
  </si>
  <si>
    <t>FITA VEDA ROSCA EM ROLOS DE 18 MM X 50 M (L X C)</t>
  </si>
  <si>
    <t>SI00000089351</t>
  </si>
  <si>
    <t>REGISTRO DE PRESSÃO BRUTO, LATÃO,  ROSCÁVEL, 3/4'' - FORNECIMENTO E INSTALAÇÃO. AF_08/2021</t>
  </si>
  <si>
    <t>0011753</t>
  </si>
  <si>
    <t>REGISTRO PRESSAO BRUTO EM LATAO FORJADO, BITOLA 3/4 " (REF 1400)</t>
  </si>
  <si>
    <t>SI00000094496</t>
  </si>
  <si>
    <t>REGISTRO DE GAVETA BRUTO, LATÃO, ROSCÁVEL, 1 1/4" - FORNECIMENTO E INSTALAÇÃO. AF_08/2021</t>
  </si>
  <si>
    <t>0006017</t>
  </si>
  <si>
    <t>REGISTRO GAVETA BRUTO EM LATAO FORJADO, BITOLA 1 1/4 " (REF 1509)</t>
  </si>
  <si>
    <t>SI00000089987</t>
  </si>
  <si>
    <t>REGISTRO DE GAVETA BRUTO, LATÃO, ROSCÁVEL, 3/4", COM ACABAMENTO E CANOPLA CROMADOS - FORNECIMENTO E INSTALAÇÃO. AF_08/2021</t>
  </si>
  <si>
    <t>0006005</t>
  </si>
  <si>
    <t>REGISTRO GAVETA COM ACABAMENTO E CANOPLA CROMADOS, SIMPLES, BITOLA 3/4 " (REF 1509)</t>
  </si>
  <si>
    <t>SI00000089986</t>
  </si>
  <si>
    <t>REGISTRO DE GAVETA BRUTO, LATÃO, ROSCÁVEL, 1/2", COM ACABAMENTO E CANOPLA CROMADOS - FORNECIMENTO E INSTALAÇÃO. AF_08/2021</t>
  </si>
  <si>
    <t>0006006</t>
  </si>
  <si>
    <t>REGISTRO GAVETA COM ACABAMENTO E CANOPLA CROMADOS, SIMPLES, BITOLA 1/2 " (REF 1509)</t>
  </si>
  <si>
    <t>Porta em vidro temperado incolor 10mm, 2 folhas, sendo 1fixa e 1 de correr + kit na cor
branco + Fechadura, medindo: 2,00 x 2,10 metros. CONFORME PROJETO</t>
  </si>
  <si>
    <t>15.008.0080-A</t>
  </si>
  <si>
    <t>CABO DE COBRE FLEXIVEL COM ISOLAMENTO TERMOPLASTICO,COMPREENDENDO:PREPARO,CORTE E ENFIACAO EM ELETRODUTOS,NA BITOLA DE 1,5MM2, 450/750V.FORNECIMENTO E COLOCACAO</t>
  </si>
  <si>
    <t>05706</t>
  </si>
  <si>
    <t>CABO DE COBRE FLEXIVEL COM ISOLAMENTO TERMOPLASTICO, DE 450/750V, DE 1,5MM2</t>
  </si>
  <si>
    <t>02317</t>
  </si>
  <si>
    <t>FITA ISOLANTE, ROLO DE 19MMX20M</t>
  </si>
  <si>
    <t>20060</t>
  </si>
  <si>
    <t>MAO-DE-OBRA DE ELETRICISTA DA CONSTRUCAOCIVIL, INCLUSIVE ENCARGOS SOCIAIS DESONERADOS</t>
  </si>
  <si>
    <t>15.008.0085-A</t>
  </si>
  <si>
    <t>CABO DE COBRE FLEXIVEL COM ISOLAMENTO TERMOPLASTICO,COMPREENDENDO:PREPARO,CORTE E ENFIACAO EM ELETRODUTOS,NA BITOLA DE 2,5MM2, 450/750V.FORNECIMENTO E COLOCACAO</t>
  </si>
  <si>
    <t>05707</t>
  </si>
  <si>
    <t>CABO DE COBRE FLEXIVEL COM ISOLAMENTO TERMOPLASTICO, DE 450/750V, DE 2,5MM2</t>
  </si>
  <si>
    <t>15.008.0090-A</t>
  </si>
  <si>
    <t>CABO DE COBRE FLEXIVEL COM ISOLAMENTO TERMOPLASTICO,COMPREENDENDO:PREPARO,CORTE E ENFIACAO EM ELETRODUTOS NA BITOLA DE 4MM2, 450/750V.FORNECIMENTO E COLOCACAO</t>
  </si>
  <si>
    <t>05708</t>
  </si>
  <si>
    <t>CABO DE COBRE FLEXIVEL COM ISOLAMENTO TERMOPLASTICO, DE 450/750V, DE 4MM2</t>
  </si>
  <si>
    <t>15.008.0095-A</t>
  </si>
  <si>
    <t>CABO DE COBRE FLEXIVEL COM ISOLAMENTO TERMOPLASTICO,COMPREENDENDO:PREPARO,CORTE E ENFIACAO EM ELETRODUTOS,NA BITOLA DE 6MM2, 450/750V.FORNECIMENTO E COLOCACAO</t>
  </si>
  <si>
    <t>05709</t>
  </si>
  <si>
    <t>CABO DE COBRE FLEXIVEL COM ISOLAMENTO TERMOPLASTICO, DE 450/750V, DE 6MM2</t>
  </si>
  <si>
    <t>15.008.0100-A</t>
  </si>
  <si>
    <t>CABO DE COBRE FLEXIVEL COM ISOLAMENTO TERMOPLASTICO,COMPREENDENDO:PREPARO,CORTE E ENFIACAO EM ELETRODUTOS NA BITOLA DE 10MM2, 450/750V.FORNECIMENTO E COLOCACAO</t>
  </si>
  <si>
    <t>05710</t>
  </si>
  <si>
    <t>CABO DE COBRE FLEXIVEL COM ISOLAMENTO TERMOPLASTICO, DE 450/750V, DE 10MM2</t>
  </si>
  <si>
    <t>15.008.0105-A</t>
  </si>
  <si>
    <t>CABO DE COBRE FLEXIVEL COM ISOLAMENTO TERMOPLASTICO,COMPREENDENDO:PREPARO,CORTE E ENFIACAO EM ELETRODUTOS,NA BITOLA DE 16MM2, 450/750V.FORNECIMENTO E COLOCACAO</t>
  </si>
  <si>
    <t>00282</t>
  </si>
  <si>
    <t>CABO DE COBRE FLEXIVEL COM ISOLAMENTO TERMOPLASTICO, DE 450/750V, DE 16MM2</t>
  </si>
  <si>
    <t>15.008.0112-A</t>
  </si>
  <si>
    <t>CABO DE COBRE FLEXIVEL COM ISOLAMENTO TERMOPLASTICO,COMPREENDENDO:PREPARO,CORTE E ENFIACAO EM ELETRODUTOS,NA BITOLA DE 35MM2, 450/750V.FORNECIMENTO E COLOCACAO</t>
  </si>
  <si>
    <t>04279</t>
  </si>
  <si>
    <t>CABO DE COBRE FLEXIVEL COM ISOLAMENTO TERMOPLASTICO, DE 450/750V, DE 35MM2</t>
  </si>
  <si>
    <t>15.008.0120-A</t>
  </si>
  <si>
    <t>CABO DE COBRE FLEXIVEL COM ISOLAMENTO TERMOPLASTICO,COMPREENDENDO:PREPARO,CORTE E ENFIACAO EM ELETRODUTOS,NA BITOLA DE 70MM2, 450/750V.FORNECIMENTO E COLOCACAO</t>
  </si>
  <si>
    <t>02364</t>
  </si>
  <si>
    <t>CABO DE COBRE FLEXIVEL COM ISOLAMENTO TERMOPLASTICO, DE 450/750V, DE 70MM2</t>
  </si>
  <si>
    <t>SI00000091842</t>
  </si>
  <si>
    <t>ELETRODUTO FLEXÍVEL CORRUGADO, PVC, DN 20 MM (1/2"), PARA CIRCUITOS TERMINAIS, INSTALADO EM LAJE - FORNECIMENTO E INSTALAÇÃO. AF_12/2015</t>
  </si>
  <si>
    <t>0043132</t>
  </si>
  <si>
    <t>ARAME RECOZIDO 16 BWG, D = 1,65 MM (0,016 KG/M) OU 18 BWG, D = 1,25 MM (0,01 KG/M)</t>
  </si>
  <si>
    <t>0002689</t>
  </si>
  <si>
    <t>ELETRODUTO PVC FLEXIVEL CORRUGADO, COR AMARELA, DE 20 MM</t>
  </si>
  <si>
    <t>SI00000088264</t>
  </si>
  <si>
    <t>ELETRICISTA COM ENCARGOS COMPLEMENTARES</t>
  </si>
  <si>
    <t>SI00000088247</t>
  </si>
  <si>
    <t>AUXILIAR DE ELETRICISTA COM ENCARGOS COMPLEMENTARES</t>
  </si>
  <si>
    <t>SI00000091844</t>
  </si>
  <si>
    <t>ELETRODUTO FLEXÍVEL CORRUGADO, PVC, DN 25 MM (3/4"), PARA CIRCUITOS TERMINAIS, INSTALADO EM LAJE - FORNECIMENTO E INSTALAÇÃO. AF_12/2015</t>
  </si>
  <si>
    <t>0002688</t>
  </si>
  <si>
    <t>ELETRODUTO PVC FLEXIVEL CORRUGADO, COR AMARELA, DE 25 MM</t>
  </si>
  <si>
    <t>SI00000091846</t>
  </si>
  <si>
    <t>ELETRODUTO FLEXÍVEL CORRUGADO, PVC, DN 32 MM (1"), PARA CIRCUITOS TERMINAIS, INSTALADO EM LAJE - FORNECIMENTO E INSTALAÇÃO. AF_12/2015</t>
  </si>
  <si>
    <t>0002690</t>
  </si>
  <si>
    <t>ELETRODUTO PVC FLEXIVEL CORRUGADO, COR AMARELA, DE 32 MM</t>
  </si>
  <si>
    <t>SI00000091850</t>
  </si>
  <si>
    <t>ELETRODUTO FLEXÍVEL CORRUGADO, PEAD, DN 40 MM (1 1/4"), PARA CIRCUITOS TERMINAIS, INSTALADO EM LAJE - FORNECIMENTO E INSTALAÇÃO. AF_12/2015</t>
  </si>
  <si>
    <t>0039247</t>
  </si>
  <si>
    <t>ELETRODUTO/DUTO PEAD FLEXIVEL PAREDE SIMPLES, CORRUGACAO HELICOIDAL, COR PRETA, SEM ROSCA, DE 1 1/4", PARA CABEAMENTO SUBTERRANEO (NBR 15715)</t>
  </si>
  <si>
    <t>SI00000097667</t>
  </si>
  <si>
    <t>ELETRODUTO FLEXÍVEL CORRUGADO, PEAD, DN 50 (1 1/2"), PARA REDE ENTERRADA DE DISTRIBUIÇÃO DE ENERGIA ELÉTRICA - FORNECIMENTO E INSTALAÇÃO. AF_12/2021</t>
  </si>
  <si>
    <t>0039246</t>
  </si>
  <si>
    <t>ELETRODUTO/DUTO PEAD FLEXIVEL PAREDE SIMPLES, CORRUGACAO HELICOIDAL, COR PRETA, SEM ROSCA, DE 1 1/2", PARA CABEAMENTO SUBTERRANEO (NBR 15715)</t>
  </si>
  <si>
    <t>7.14</t>
  </si>
  <si>
    <t>18.027.0472-A</t>
  </si>
  <si>
    <t>LUMINARIA DE SOBREPOR, FIXADA EM LAJE OU FORRO, TIPO CALHA,CHANFRADA OU PRISMATICA, COMPLETA, COM LAMPADA LED TUBULARDE 1 X 18W. FORNECIMENTO E COLOCACAO</t>
  </si>
  <si>
    <t>14678</t>
  </si>
  <si>
    <t>CALHA CHANFRADA EM CHAPA DE ACO PARA LUMINARIA DE SOBREPOR, PARA 1 LAMPADA TUBULAR DE 1200MM</t>
  </si>
  <si>
    <t>14190</t>
  </si>
  <si>
    <t>LAMPADA LED, TUBULAR, 1200MM, T8, 18W, FLUXO LUMINOSO EM TORNO DE 1850LM</t>
  </si>
  <si>
    <t>05946</t>
  </si>
  <si>
    <t>SUPORTE TIPO PE DE GALINHA PARA FIXACAODE LUMINARIAS</t>
  </si>
  <si>
    <t>05337</t>
  </si>
  <si>
    <t>SUPORTE P/LAMPADA TUBULAR</t>
  </si>
  <si>
    <t>18.027.0476-A</t>
  </si>
  <si>
    <t>LUMINARIA DE SOBREPOR, FIXADA EM LAJE OU FORRO, TIPO CALHA,CHANFRADA OU PRISMATICA, COMPLETA, COM LAMPADA LED TUBULARDE 2 X 18W. FORNECIMENTO E COLOCACAO</t>
  </si>
  <si>
    <t>14679</t>
  </si>
  <si>
    <t>CALHA CHANFRADA EM CHAPA DE ACO PARA LUMINARIA DE SOBREPOR, PARA 2 LAMPADAS TUBULARES DE 1200MM</t>
  </si>
  <si>
    <t>7.15</t>
  </si>
  <si>
    <t>7.16</t>
  </si>
  <si>
    <t>7.17</t>
  </si>
  <si>
    <t>SI00000091953</t>
  </si>
  <si>
    <t>INTERRUPTOR SIMPLES (1 MÓDULO), 10A/250V, INCLUINDO SUPORTE E PLACA - FORNECIMENTO E INSTALAÇÃO. AF_12/2015</t>
  </si>
  <si>
    <t>SI00000091952</t>
  </si>
  <si>
    <t>SI00000091952 INTERRUPTOR SIMPLES (1 MÓDULO), 10A/250V, SEM SUPORTE E SEM PLACA - FORNECIMENTO E INSTALAÇÃO. AF_12/2015</t>
  </si>
  <si>
    <t>SI00000091946</t>
  </si>
  <si>
    <t>SI00000091946 SUPORTE PARAFUSADO COM PLACA DE ENCAIXE 4" X 2" MÉDIO (1,30 M DO PISO) PARA PONTO ELÉTRICO - FORNECIMENTO E INSTALAÇÃO. AF_12/2015</t>
  </si>
  <si>
    <t>7.18</t>
  </si>
  <si>
    <t>7.19</t>
  </si>
  <si>
    <t>SI00000091955</t>
  </si>
  <si>
    <t>INTERRUPTOR PARALELO (1 MÓDULO), 10A/250V, INCLUINDO SUPORTE E PLACA - FORNECIMENTO E INSTALAÇÃO. AF_12/2015</t>
  </si>
  <si>
    <t>SI00000091954</t>
  </si>
  <si>
    <t>SI00000091954 INTERRUPTOR PARALELO (1 MÓDULO), 10A/250V, SEM SUPORTE E SEM PLACA - FORNECIMENTO E INSTALAÇÃO. AF_12/2015</t>
  </si>
  <si>
    <t>18.035.0005-A</t>
  </si>
  <si>
    <t>VENTILADOR DE TETO,COM 3 PAS EM ACO GALVANIZADO,INCLUSIVE INTERRUPTOR DE COMANDO.FORNECIMENTO E COLOCACAO</t>
  </si>
  <si>
    <t>00786</t>
  </si>
  <si>
    <t>VENTILADOR DE TETO, COM 3 PAS, DE ACO GALVANIZADO, INCLUSIVE INTERRUPTOR DE COMANDO</t>
  </si>
  <si>
    <t>00286</t>
  </si>
  <si>
    <t>FIO C/ISOLAMENTO TERMOPLASTICO ANTICHAMADE 750V, DE 01,5MM2</t>
  </si>
  <si>
    <t>7.20</t>
  </si>
  <si>
    <t>SI00000092000</t>
  </si>
  <si>
    <t>TOMADA BAIXA DE EMBUTIR (1 MÓDULO), 2P+T 10 A, INCLUINDO SUPORTE E PLACA - FORNECIMENTO E INSTALAÇÃO. AF_12/2015</t>
  </si>
  <si>
    <t>SI00000091998</t>
  </si>
  <si>
    <t>SI00000091998 TOMADA BAIXA DE EMBUTIR (1 MÓDULO), 2P+T 10 A, SEM SUPORTE E SEM PLACA - FORNECIMENTO E INSTALAÇÃO. AF_12/2015</t>
  </si>
  <si>
    <t>SI00000091996</t>
  </si>
  <si>
    <t>TOMADA MÉDIA DE EMBUTIR (1 MÓDULO), 2P+T 10 A, INCLUINDO SUPORTE E PLACA - FORNECIMENTO E INSTALAÇÃO. AF_12/2015</t>
  </si>
  <si>
    <t>SI00000091994</t>
  </si>
  <si>
    <t>SI00000091994 TOMADA MÉDIA DE EMBUTIR (1 MÓDULO), 2P+T 10 A, SEM SUPORTE E SEM PLACA - FORNECIMENTO E INSTALAÇÃO. AF_12/2015</t>
  </si>
  <si>
    <t>7.21</t>
  </si>
  <si>
    <t>SI00000091997</t>
  </si>
  <si>
    <t>TOMADA MÉDIA DE EMBUTIR (1 MÓDULO), 2P+T 20 A, INCLUINDO SUPORTE E PLACA - FORNECIMENTO E INSTALAÇÃO. AF_12/2015</t>
  </si>
  <si>
    <t>SI00000091995</t>
  </si>
  <si>
    <t>SI00000091995 TOMADA MÉDIA DE EMBUTIR (1 MÓDULO), 2P+T 20 A, SEM SUPORTE E SEM PLACA - FORNECIMENTO E INSTALAÇÃO. AF_12/2015</t>
  </si>
  <si>
    <t>7.22</t>
  </si>
  <si>
    <t>7.23</t>
  </si>
  <si>
    <t>7.24</t>
  </si>
  <si>
    <t>7.25</t>
  </si>
  <si>
    <t>SI00000092866</t>
  </si>
  <si>
    <t>CAIXA SEXTAVADA 3" X 3", METÁLICA, INSTALADA EM LAJE - FORNECIMENTO E INSTALAÇÃO. AF_12/2015</t>
  </si>
  <si>
    <t>0002555</t>
  </si>
  <si>
    <t>CAIXA DE LUZ "3 X 3" EM ACO ESMALTADA</t>
  </si>
  <si>
    <t>7.26</t>
  </si>
  <si>
    <t>SI00000091943</t>
  </si>
  <si>
    <t>CAIXA RETANGULAR 4" X 4" MÉDIA (1,30 M DO PISO), PVC, INSTALADA EM PAREDE - FORNECIMENTO E INSTALAÇÃO. AF_12/2015</t>
  </si>
  <si>
    <t>0001873</t>
  </si>
  <si>
    <t>CAIXA DE PASSAGEM, EM PVC, DE 4" X 4", PARA ELETRODUTO FLEXIVEL CORRUGADO</t>
  </si>
  <si>
    <t>SI00000088629</t>
  </si>
  <si>
    <t>SI00000088629 ARGAMASSA TRAÇO 1:3 (EM VOLUME DE CIMENTO E AREIA MÉDIA ÚMIDA), PREPARO MANUAL. AF_08/2019</t>
  </si>
  <si>
    <t>7.27</t>
  </si>
  <si>
    <t>SI00000101875</t>
  </si>
  <si>
    <t>QUADRO DE DISTRIBUIÇÃO DE ENERGIA EM CHAPA DE AÇO GALVANIZADO, DE EMBUTIR, COM BARRAMENTO TRIFÁSICO, PARA 12 DISJUNTORES DIN 100A - FORNECIMENTO E INSTALAÇÃO. AF_10/2020</t>
  </si>
  <si>
    <t>0013393</t>
  </si>
  <si>
    <t>QUADRO DE DISTRIBUICAO COM BARRAMENTO TRIFASICO, DE EMBUTIR, EM CHAPA DE ACO GALVANIZADO, PARA 12 DISJUNTORES DIN, 100 A</t>
  </si>
  <si>
    <t>SI00000087367</t>
  </si>
  <si>
    <t>SI00000087367 ARGAMASSA TRAÇO 1:1:6 (EM VOLUME DE CIMENTO, CAL E AREIA MÉDIA ÚMIDA) PARA EMBOÇO/MASSA ÚNICA/ASSENTAMENTO DE ALVENARIA DE VEDAÇÃO, PREPARO MANUAL. AF_08/2019</t>
  </si>
  <si>
    <t>7.28</t>
  </si>
  <si>
    <t>7.29</t>
  </si>
  <si>
    <t>SI00000101878</t>
  </si>
  <si>
    <t>QUADRO DE DISTRIBUIÇÃO DE ENERGIA EM CHAPA DE AÇO GALVANIZADO, DE SOBREPOR, COM BARRAMENTO TRIFÁSICO, PARA 18 DISJUNTORES DIN 100A - FORNECIMENTO E INSTALAÇÃO. AF_10/2020</t>
  </si>
  <si>
    <t>0012038</t>
  </si>
  <si>
    <t>QUADRO DE DISTRIBUICAO COM BARRAMENTO TRIFASICO, DE SOBREPOR, EM CHAPA DE ACO GALVANIZADO, PARA 18 DISJUNTORES DIN, 100 A</t>
  </si>
  <si>
    <t>SI00000101879</t>
  </si>
  <si>
    <t>QUADRO DE DISTRIBUIÇÃO DE ENERGIA EM CHAPA DE AÇO GALVANIZADO, DE EMBUTIR, COM BARRAMENTO TRIFÁSICO, PARA 24 DISJUNTORES DIN 100A - FORNECIMENTO E INSTALAÇÃO. AF_10/2020</t>
  </si>
  <si>
    <t>0012039</t>
  </si>
  <si>
    <t>QUADRO DE DISTRIBUICAO COM BARRAMENTO TRIFASICO, DE EMBUTIR, EM CHAPA DE ACO GALVANIZADO, PARA 24 DISJUNTORES DIN, 100 A</t>
  </si>
  <si>
    <t>SI00000093673</t>
  </si>
  <si>
    <t>15.011.0031-A</t>
  </si>
  <si>
    <t>ENTRADA ENERGIA INDIVIDUAL,PADRAO LIGHT,MEDICAO DIRETA,REDEAEREA,57KVA E 76KVA,INCL.CAIXA POLIMERICA P/MEDICAO DIRETA POLIFASICA (CM200-P) E CAIXA PROTECAO GERAL (CPG200) INTERNA,POLICARBONATO TAMPA TRANSPARENTE,CAIXA INSPECAO,3 HASTES E CONECTORES ATERRAMENTO,E MAT.NECES.EXCL.POSTE,DISJUNTOR E CONDUTORES (ENTRADA,SAIDA,ATERRAMENTO E RESPECTIVOS CONECTORES)</t>
  </si>
  <si>
    <t>11537</t>
  </si>
  <si>
    <t>CONECTOR P/HASTE DE ATERRAMENTO COM 1 DESCIDA DE 5/8"</t>
  </si>
  <si>
    <t>02341</t>
  </si>
  <si>
    <t>ELETRODUTO DE PVC PRETO, RIGIDO ROSQUEAVEL, COM ROSCA EM AMBAS EXTREMIDADES, EMBARRAS DE 3 METROS, DE 3/4"</t>
  </si>
  <si>
    <t>02347</t>
  </si>
  <si>
    <t>ELETRODUTO DE PVC PRETO,RIGIDO ROSQUEAVEL,COM ROSCA EM AMBAS EXTREMIDADES,EM BARRAS DE 3 METROS,DE 2.1/2"</t>
  </si>
  <si>
    <t>02643</t>
  </si>
  <si>
    <t>LUVA DE PVC RIGIDO ROSQUEAVEL, PARA ELETRODUTO, DE 3/4"</t>
  </si>
  <si>
    <t>02944</t>
  </si>
  <si>
    <t>CURVA 90º DE PVC RIGIDO, ROSQUEAVEL, PARA ELETRODUTO, DE 2.1/2"</t>
  </si>
  <si>
    <t>02961</t>
  </si>
  <si>
    <t>CURVA 90º DE PVC RIGIDO, ROSQUEAVEL, PARA ELETRODUTO, DE 3/4"</t>
  </si>
  <si>
    <t>03888</t>
  </si>
  <si>
    <t>LUVA DE PVC RIGIDO ROSQUEAVEL, PARA ELETRODUTO, DE 2.1/2"</t>
  </si>
  <si>
    <t>03971</t>
  </si>
  <si>
    <t>CINTA CIRCULAR DE ACO GALVANIZADO COM PARAFUSOS, DE APROXIMADAMENTE 150MM</t>
  </si>
  <si>
    <t>04210</t>
  </si>
  <si>
    <t>ISOLADOR TIPO CARRETILHA, MARROM, DE (72X72)MM</t>
  </si>
  <si>
    <t>00115</t>
  </si>
  <si>
    <t>BUCHA E ARRUELA DE ALUMINIO PARA ELETRODUTO, DE 3/4"</t>
  </si>
  <si>
    <t>05263</t>
  </si>
  <si>
    <t>ARMACAO SECUNDARIA, COMPLETA, PARA 1 LINHA</t>
  </si>
  <si>
    <t>11798</t>
  </si>
  <si>
    <t>HASTE PARA ATERRAMENTO, DE COBRE,NO DIAMETRO DE 5/8"(16MM) E COM COMPRIMENTO DE2,40M</t>
  </si>
  <si>
    <t>11943</t>
  </si>
  <si>
    <t>CAIXA POLIMERICA DE INSPECAO DE ATERRAMENTO COM DIAMETRO SUPERIOR APROX. DE 23CME ALTURA APROX. DE 25CM, COM TAMPA</t>
  </si>
  <si>
    <t>14549</t>
  </si>
  <si>
    <t>BRITA 1, PARA REGIAO METROPOLITANA DO RIO DE JANEIRO</t>
  </si>
  <si>
    <t>14939</t>
  </si>
  <si>
    <t>CAIXA POLIMERICA MEDICAO DIRETA ATE 200A,EM POLICARBONATO C/TAMPA TRANSPARENTE,ENTRADA INDIVIDUAL,PADRAO CONC.ENERG.ELET</t>
  </si>
  <si>
    <t>14940</t>
  </si>
  <si>
    <t>CAIXA POLIMERICA PROTECAO GERAL INTERNA(CPG200-P),P/ENTRADA DE ENERGIA INDIVIDUAL,PADRAO CONCESSIONARIA ENERGIA ELET.</t>
  </si>
  <si>
    <t>14942</t>
  </si>
  <si>
    <t>CURVA DE 180º PARA ELETRODUTO DE PVC RIGIDO ROSQUEAVEL, DE 2"</t>
  </si>
  <si>
    <t>04271</t>
  </si>
  <si>
    <t>BUCHA E ARRUELA DE ALUMINIO PARA ELETRODUTO, DE 2.1/2"</t>
  </si>
  <si>
    <t>30163</t>
  </si>
  <si>
    <t>07.002.0025-B ARGAMASSA CIM.,AREIA TRACO 1:3,PREPAROMECANICO</t>
  </si>
  <si>
    <t>7.30</t>
  </si>
  <si>
    <t>18.045.0015-A</t>
  </si>
  <si>
    <t>POSTE DE CONCRETO,COM SECAO CIRCULAR,COM 7,00M DE COMPRIMENTO E CARGA NOMINAL HORIZONTAL NO TOPO DE 100KG,INCLUSIVE ESCAVACAO,EXCLUSIVE TRANSPORTE.FORNECIMENTO E COLOCACAO</t>
  </si>
  <si>
    <t>00456</t>
  </si>
  <si>
    <t>POSTE DE CONCRETO, C/SECAO CIRCULAR, C/07,00M DE COMPR., PADRAO ABNT, EXCLUSIVETRANSP., C/CARGA NOM.HORIZ.TOPO 100KGF</t>
  </si>
  <si>
    <t>30523</t>
  </si>
  <si>
    <t>19.004.0080-C GUINDAUTO 3,5T, ALCANCE 5,90M (CP)</t>
  </si>
  <si>
    <t>30415</t>
  </si>
  <si>
    <t>19.004.0004-D CAMINHAO CARROC. FIXA, 7,5T (CF)</t>
  </si>
  <si>
    <t>30269</t>
  </si>
  <si>
    <t>11.002.0034-B LANCAMENTO CONC.S/ARM.3,5M3/H, HORIZ.</t>
  </si>
  <si>
    <t>30246</t>
  </si>
  <si>
    <t>11.001.0005-B CONCRETO FCK 15MPA</t>
  </si>
  <si>
    <t>7.31</t>
  </si>
  <si>
    <t>7.32</t>
  </si>
  <si>
    <t>SI00000093653</t>
  </si>
  <si>
    <t>DISJUNTOR MONOPOLAR TIPO DIN, CORRENTE NOMINAL DE 10A - FORNECIMENTO E INSTALAÇÃO. AF_10/2020</t>
  </si>
  <si>
    <t>0034653</t>
  </si>
  <si>
    <t>DISJUNTOR TIPO DIN/IEC, MONOPOLAR DE 6  ATE  32A</t>
  </si>
  <si>
    <t>0001570</t>
  </si>
  <si>
    <t>TERMINAL A COMPRESSAO EM COBRE ESTANHADO PARA CABO 2,5 MM2, 1 FURO E 1 COMPRESSAO, PARA PARAFUSO DE FIXACAO M5</t>
  </si>
  <si>
    <t>SI00000093654</t>
  </si>
  <si>
    <t>DISJUNTOR MONOPOLAR TIPO DIN, CORRENTE NOMINAL DE 16A - FORNECIMENTO E INSTALAÇÃO. AF_10/2020</t>
  </si>
  <si>
    <t>SI00000093655</t>
  </si>
  <si>
    <t>DISJUNTOR MONOPOLAR TIPO DIN, CORRENTE NOMINAL DE 20A - FORNECIMENTO E INSTALAÇÃO. AF_10/2020</t>
  </si>
  <si>
    <t>0001571</t>
  </si>
  <si>
    <t>TERMINAL A COMPRESSAO EM COBRE ESTANHADO PARA CABO 4 MM2, 1 FURO E 1 COMPRESSAO, PARA PARAFUSO DE FIXACAO M5</t>
  </si>
  <si>
    <t>SI00000093661</t>
  </si>
  <si>
    <t>DISJUNTOR BIPOLAR TIPO DIN, CORRENTE NOMINAL DE 16A - FORNECIMENTO E INSTALAÇÃO. AF_10/2020</t>
  </si>
  <si>
    <t>0034616</t>
  </si>
  <si>
    <t>DISJUNTOR TIPO DIN/IEC, BIPOLAR DE 6 ATE 32A</t>
  </si>
  <si>
    <t>SI00000093662</t>
  </si>
  <si>
    <t>DISJUNTOR BIPOLAR TIPO DIN, CORRENTE NOMINAL DE 20A - FORNECIMENTO E INSTALAÇÃO. AF_10/2020</t>
  </si>
  <si>
    <t>SI00000093664</t>
  </si>
  <si>
    <t>DISJUNTOR BIPOLAR TIPO DIN, CORRENTE NOMINAL DE 32A - FORNECIMENTO E INSTALAÇÃO. AF_10/2020</t>
  </si>
  <si>
    <t>0001573</t>
  </si>
  <si>
    <t>TERMINAL A COMPRESSAO EM COBRE ESTANHADO PARA CABO 6 MM2, 1 FURO E 1 COMPRESSAO, PARA PARAFUSO DE FIXACAO M6</t>
  </si>
  <si>
    <t>SI00000093672</t>
  </si>
  <si>
    <t>DISJUNTOR TRIPOLAR TIPO DIN, CORRENTE NOMINAL DE 40A - FORNECIMENTO E INSTALAÇÃO. AF_10/2020</t>
  </si>
  <si>
    <t>0034709</t>
  </si>
  <si>
    <t>DISJUNTOR TIPO DIN/IEC, TRIPOLAR DE 10 ATE 50A</t>
  </si>
  <si>
    <t>0001574</t>
  </si>
  <si>
    <t>TERMINAL A COMPRESSAO EM COBRE ESTANHADO PARA CABO 10 MM2, 1 FURO E 1 COMPRESSAO, PARA PARAFUSO DE FIXACAO M6</t>
  </si>
  <si>
    <t>DISJUNTOR TRIPOLAR TIPO DIN, CORRENTE NOMINAL DE 50A - FORNECIMENTO E INSTALAÇÃO. AF_10/2020</t>
  </si>
  <si>
    <t>0001575</t>
  </si>
  <si>
    <t>TERMINAL A COMPRESSAO EM COBRE ESTANHADO PARA CABO 16 MM2, 1 FURO E 1 COMPRESSAO, PARA PARAFUSO DE FIXACAO M6</t>
  </si>
  <si>
    <t>15.007.0601-A</t>
  </si>
  <si>
    <t>DISJUNTOR TERMOMAGNETICO TRIPOLAR,DE 40 A 63A,3KA,MODELO DIN,TIPO C.FORNECIMENTO E COLOCACAO</t>
  </si>
  <si>
    <t>11656</t>
  </si>
  <si>
    <t>DISJUNTOR, TRIPOLAR, DE 40 A 63A, 3KA, MODELO DIN, TIPO C</t>
  </si>
  <si>
    <t>15.007.0605-A</t>
  </si>
  <si>
    <t>DISJUNTOR TERMOMAGNETICO,TRIPOLAR,DE 80 A 100A,3KA,MODELO DIN,TIPO C.FORNECIMENTO E COLOCACAO</t>
  </si>
  <si>
    <t>02441</t>
  </si>
  <si>
    <t>DISJUNTOR, TRIPOLAR, DE 80 A 100A, 3KA,MODELO DIN, TIPO C</t>
  </si>
  <si>
    <t>15.007.0608-A</t>
  </si>
  <si>
    <t>DISJUNTOR TERMOMAGNETICO,TRIPOLAR,DE 125 A 160A,50KA,MODELOCAIXA MOLDADA,TIPO C.FORNECIMENTO E COLOCACAO</t>
  </si>
  <si>
    <t>02432</t>
  </si>
  <si>
    <t>DISJUNTOR, TRIPOLAR, 125 A 160A, 50KA, MODELO CAIXA MOLDADA, TIPO C</t>
  </si>
  <si>
    <t>15.007.0643-0</t>
  </si>
  <si>
    <t>DISPOSITIVO DE PROTECAO CONTRA SURTO (DPS),CLASSE II,1 POLO,TENSAO 175V,CORRENTES APROXIMADAS DE DESCARGA NOMINAL E MAXIMA DE 30KA E 90KA.FORNECIMENTO E COLOCACAO</t>
  </si>
  <si>
    <t>14759</t>
  </si>
  <si>
    <t>DISPOSITIVO DE PROTECAO CONTRA SURTO,CLASSE II,1 POLO,TENSAO 175V,CORRENTE DESC.NOMINAL 30KA,CORRENTE DESC.MAXIMA 90KA</t>
  </si>
  <si>
    <t>01999</t>
  </si>
  <si>
    <t>MAO-DE-OBRA DE SERVENTE DA CONSTRUCAO CIVIL, INCLUSIVE ENCARGOS SOCIAIS</t>
  </si>
  <si>
    <t>01983</t>
  </si>
  <si>
    <t>MAO-DE-OBRA DE ELETRICISTA DE CONSTRUCAOCIVIL, INCLUSIVE ENCARGOS SOCIAIS</t>
  </si>
  <si>
    <t>15.007.0525-A</t>
  </si>
  <si>
    <t>DISJUNTOR/INTERRUPTOR DIFERENCIAL RESIDUAL(DDR),CLASSE AC,4POLOS,INSTANTANEO,CORRENTE NOMINAL(IN)40AX415V,SENSIBILIDADE30MA/300MA.FORNECIMENTO E COLOCACAO</t>
  </si>
  <si>
    <t>15.007.0528-A</t>
  </si>
  <si>
    <t>DISJUNTOR/INTERRUPTOR DIFERENCIAL RESIDUAL(DDR),CLASSE AC,4POLOS,INSTANTANEO,CORRENTE NOMINAL(IN)100AX415V,SENSIBILIDADE 30MA/300MA.FORNECIMENTO E COLOCACAO</t>
  </si>
  <si>
    <t>11872</t>
  </si>
  <si>
    <t>DISJUNTOR/INTERRUPTOR DIFERENCIAL RESIDUAL (DDR), CLASSE AC, 4 POLOS, INST.,C.NOMINAL 100AX415V,SENSIBILIDADE 30MA/300MA</t>
  </si>
  <si>
    <t>DISJUNTOR/INTERRUPTOR DIFERENCIAL RESIDUAL (DDR), CLASSE AC, 4 POLOS, INST.,C.NOMINAL 30AX415V,SENSIBILIDADE 30MA/300MA</t>
  </si>
  <si>
    <t>DISJUNTOR/INTERRUPTOR DIFERENCIAL RESIDUAL(DDR),CLASSE AC,4POLOS,INSTANTANEO,CORRENTE NOMINAL(IN)30AX415V,SENSIBILIDADE30MA/300MA.FORNECIMENTO E COLOCACAO</t>
  </si>
  <si>
    <t>15.007.0525-6</t>
  </si>
  <si>
    <t>15.007.0529-A</t>
  </si>
  <si>
    <t>DISJUNTOR/INTERRUPTOR DIFERENCIAL RESIDUAL(DDR),CLASSE AC,4POLOS,INSTANTANEO,CORRENTE NOMINAL(IN)125AX415V,SENSIBILIDADE 30MA/300MA.FORNECIMENTO E COLOCACAO</t>
  </si>
  <si>
    <t>15.007.0529-6</t>
  </si>
  <si>
    <t>DISJUNTOR/INTERRUPTOR DIFERENCIAL RESIDUAL(DDR),CLASSE AC,4POLOS,INSTANTANEO,CORRENTE NOMINAL(IN)175AX415V,SENSIBILIDADE 30MA/300MA.FORNECIMENTO E COLOCACAO</t>
  </si>
  <si>
    <t>DISJUNTOR/INTERRUPTOR DIFERENCIAL RESIDUAL (DDR), CLASSE AC, 4 POLOS, INST.,C.NOMINAL 175AX415V,SENSIBILIDADE 30MA/300MA</t>
  </si>
  <si>
    <t>COLÉGIO - VIGAS E PILARES</t>
  </si>
  <si>
    <t>11.004.0020-1</t>
  </si>
  <si>
    <t>FORMAS DE MADEIRA DE 3ª PARA MOLDAGEM DE PECAS DE CONCRETO ARMADO COM PARAMENTOS PLANOS,EM LAJES,VIGAS,PAREDES,ETC,SERVINDO A MADEIRA 3 VEZES,INCLUSIVE DESMOLDAGEM,EXCLUSIVE ESCORAMENTO.</t>
  </si>
  <si>
    <t>00368</t>
  </si>
  <si>
    <t>PINUS, EM PECAS DE 7,50X7,50CM (3"X3")</t>
  </si>
  <si>
    <t>00350</t>
  </si>
  <si>
    <t>54.001.0178-1 PINUS EM PECAS DE 2,50X22,50CM, (1"X9")</t>
  </si>
  <si>
    <t>00349</t>
  </si>
  <si>
    <t>PINUS, EM PECAS DE 2,50X30,00CM (1"X12")</t>
  </si>
  <si>
    <t>01990</t>
  </si>
  <si>
    <t>MAO-DE-OBRA DE CARPINTEIRO DE FORMA DE CONCRETO, INCLUSIVE ENCARGOS SOCIAIS</t>
  </si>
  <si>
    <t>01787</t>
  </si>
  <si>
    <t>17.025.0040-1 PINTURA C/EMULSAO OLEOSA</t>
  </si>
  <si>
    <t>11.003.0005-B</t>
  </si>
  <si>
    <t>CONCRETO DOSADO RACIONALMENTE PARA UMA RESISTENCIA CARACTERISTICA A COMPRESSAO DE 25MPA,INCLUSIVE MATERIAIS,TRANSPORTE,PREPARO COM BETONEIRA,LANCAMENTO E ADENSAMENTO</t>
  </si>
  <si>
    <t>14543</t>
  </si>
  <si>
    <t>PEDRA BRITADA 1 E 2 (MEDIA), PARA REGIAOMETROPOLITANA DO RIO DE JANEIRO</t>
  </si>
  <si>
    <t>00149</t>
  </si>
  <si>
    <t>CIMENTO PORTLAND CP II 32, EM SACO DE 50KG</t>
  </si>
  <si>
    <t>00001</t>
  </si>
  <si>
    <t>AREIA LAVADA, GROSSA, PARA REGIAO METROPOLITANA DO RIO DE JANEIRO</t>
  </si>
  <si>
    <t>30260</t>
  </si>
  <si>
    <t>11.002.0023-B LANCAMENTO CONC.C/ARM.2,0M3/H,HORIZ/VERT</t>
  </si>
  <si>
    <t>30254</t>
  </si>
  <si>
    <t>11.002.0013-B PREPARO CONCR. BETON. 320L; 2,0M3/H</t>
  </si>
  <si>
    <t>2.3</t>
  </si>
  <si>
    <t>SI00000098553</t>
  </si>
  <si>
    <t>IMPERMEABILIZAÇÃO DE SUPERFÍCIE COM MEMBRANA À BASE DE POLIURETANO, 2 DEMÃOS. AF_06/2018</t>
  </si>
  <si>
    <t>0043148</t>
  </si>
  <si>
    <t>MEMBRANA IMPERMEABILIZANTE A BASE DE POLIURETANO</t>
  </si>
  <si>
    <t>SI00000088270</t>
  </si>
  <si>
    <t>IMPERMEABILIZADOR COM ENCARGOS COMPLEMENTARES</t>
  </si>
  <si>
    <t>SI00000088243</t>
  </si>
  <si>
    <t>AJUDANTE ESPECIALIZADO COM ENCARGOS COMPLEMENTARES</t>
  </si>
  <si>
    <t>2.4</t>
  </si>
  <si>
    <t>SI00000092759</t>
  </si>
  <si>
    <t>ARMAÇÃO DE PILAR OU VIGA DE ESTRUTURA CONVENCIONAL DE CONCRETO ARMADO UTILIZANDO AÇO CA-60 DE 5,0 MM - MONTAGEM. AF_06/2022</t>
  </si>
  <si>
    <t>0039017</t>
  </si>
  <si>
    <t>ESPACADOR / DISTANCIADOR CIRCULAR COM ENTRADA LATERAL, EM PLASTICO, PARA VERGALHAO *4,2 A 12,5* MM, COBRIMENTO 20 MM</t>
  </si>
  <si>
    <t>SI00000088245</t>
  </si>
  <si>
    <t>ARMADOR COM ENCARGOS COMPLEMENTARES</t>
  </si>
  <si>
    <t>SI00000088238</t>
  </si>
  <si>
    <t>AJUDANTE DE ARMADOR COM ENCARGOS COMPLEMENTARES</t>
  </si>
  <si>
    <t>SI00000092800</t>
  </si>
  <si>
    <t>SI00000092800 CORTE E DOBRA DE AÇO CA-60, DIÂMETRO DE 5,0 MM. AF_06/2022</t>
  </si>
  <si>
    <t>11.009.0014-B</t>
  </si>
  <si>
    <t>BARRA DE ACO CA-50,COM SALIENCIA OU MOSSA,COEFICIENTE DE CONFORMACAO SUPERFICIAL MINIMO (ADERENCIA) IGUAL A 1,5,DIAMETRODE 8 A 12,5MM,DESTINADA A ARMADURA DE CONCRETO ARMADO,10%DE PERDAS DE PONTAS E ARAME 18.FORNECIMENTO</t>
  </si>
  <si>
    <t>06214</t>
  </si>
  <si>
    <t>ACO CA-50, ESTIRADO, PRECO DE FABRICA, NO DIAMETRO DE 12,5MM</t>
  </si>
  <si>
    <t>06213</t>
  </si>
  <si>
    <t>ACO CA-50, ESTIRADO, PRECO DE FABRICA, NO DIAMETRO DE 10,0MM</t>
  </si>
  <si>
    <t>06212</t>
  </si>
  <si>
    <t>ACO CA-50, ESTIRADO, PRECO DE FABRICA, NO DIAMETRO DE 08,0MM</t>
  </si>
  <si>
    <t>11.011.0030-B</t>
  </si>
  <si>
    <t>CORTE,DOBRAGEM,MONTAGEM E COLOCACAO DE FERRAGENS NAS FORMAS,ACO CA-50,EM BARRAS REDONDAS,COM DIAMETRO DE 8 A 12,5MM</t>
  </si>
  <si>
    <t>20015</t>
  </si>
  <si>
    <t>MAO-DE-OBRA DE ARMADOR DE CONCRETO ARMADO, INCLUSIVE ENCARGOS SOCIAIS DESONERADOS</t>
  </si>
  <si>
    <t>2.5</t>
  </si>
  <si>
    <t>2.6</t>
  </si>
  <si>
    <t>COLÉGIO - SAPATAS</t>
  </si>
  <si>
    <t>ESCAVACAO MECANICA,PARA ACERTO DE TALUDES,EM MATERIAL DE 1ªCATEGORIA,UTILIZANDO ESCAVADEIRA HIDRAULICA DE 0,78M3</t>
  </si>
  <si>
    <t>FORMAS DE MADEIRA DE 3ª,COM APROVEITAMENTO DA MADEIRA POR 4VEZES,PARA A MOLDAGEM DE CINTA SOBRE BALDRAME,INCLUSIVE FORNECIMENTO DE MATERIAIS E DESMOLDAGEM</t>
  </si>
  <si>
    <t>COMPOSIÇÃO - VER ABA RIP-RAP</t>
  </si>
  <si>
    <t>CONSTRUÇÃO DE MURO RIP-RAP, MISTURA DO MATERIAL, ENSACAMENTO, COSTURA DA SACARIA, TRANSPORTE HORIZONTAL E VERTICAL, LANÇAMENTO, EMPILHAMENTO, COMPACTAÇÃO, REGA, UTILIZAÇÃO DE PARAMETROS FRONTAIS PARA MELHOR ALINHAMENTO DA SACARIA. INCLUSIVE FORNECIMENTO DE ESCÓRIA DE ACIARIA, SACARIA, MÃO DE OBRA E MATERAIS. SACARIA CHEIA ATÉ 80% DO SEU VOLUME, PROPORÇÃO DA MISTURA COM 1 PARTE DE CIMENTO PARA 15 PARTES DE ESCÓRIA.</t>
  </si>
  <si>
    <t>ver cálculo na aba RIP-RAP - PREÇO POR M3 DE MURO=</t>
  </si>
  <si>
    <t>DRENO OU BARBACA EM TUBO DE PVC,DIAMETRO DE 2",INCLUSIVE FORNECIMENTO DO TUBO E MATERIAL DRENANTE</t>
  </si>
  <si>
    <t>14559</t>
  </si>
  <si>
    <t>BRITA 3, PARA REGIAO METROPOLITANA DO RIO DE JANEIRO</t>
  </si>
  <si>
    <t>ESTABILIZACAO TALUDES C/MASSA CONCRETO(CIMENTO,AREIA E BRITA0)ESPESSURA 7CM,PREPARO MANUAL P/UMA RESISTENCIA COMPRESSAO15MPA,APLICADO MANUALMENTE(A COLHER),SOBRE TELA ACO SOLDADOOU TELA ARAME GALVANIZADO,CONSIDERANDO:LIMPEZA,REGULARIZACAO E REVESTIMENTO COM CAMADA CHAPISCO FINO,FIXACAO TELA.O CUSTO NAO INCLUI FORNECIMENTO TELA(VIDE FAMILIA 11.023)</t>
  </si>
  <si>
    <t>14541</t>
  </si>
  <si>
    <t>BRITA 0, PARA REGIAO METROPOLITANA DO RIO DE JANEIRO</t>
  </si>
  <si>
    <t>02611</t>
  </si>
  <si>
    <t>TUBO DE PVC RIGIDO ROSQUEAVEL, EM BARRASDE 6,00M, ROSCA EM AMBAS AS EXTREMIDADES, DE 2"</t>
  </si>
  <si>
    <t>00988</t>
  </si>
  <si>
    <t>TELA DE POLIESTER</t>
  </si>
  <si>
    <t>EXECUÇÃO DE SARJETA DE CONCRETO USINADO, MOLDADA  IN LOCO  EM TRECHO RETO, 30 CM BASE X 10 CM ALTURA. AF_06/2016</t>
  </si>
  <si>
    <t>CONCRETO USINADO BOMBEAVEL, CLASSE DE RESISTENCIA C20, COM BRITA 0 E 1, SLUMP = 100 +/- 20 MM, EXCLUI SERVICO DE BOMBEAMENTO (NBR 8953)</t>
  </si>
  <si>
    <t>TABUA NAO APARELHADA *2,5 X 30* CM, EM MACARANDUBA, ANGELIM OU EQUIVALENTE DA REGIAO - BRUTA</t>
  </si>
  <si>
    <t>AREIA MEDIA - POSTO JAZIDA/FORNECEDOR (RETIRADO NA JAZIDA, SEM TRANSPORTE)</t>
  </si>
  <si>
    <t>03.020.0200-A</t>
  </si>
  <si>
    <t>30556</t>
  </si>
  <si>
    <t>19.005.0008-E ESCAVADEIRA HIDRAULICA,MOTOR DIESEL 111CV,CAPACIDADE 0,78M3 (CI)</t>
  </si>
  <si>
    <t>30554</t>
  </si>
  <si>
    <t>19.005.0008-C ESCAVADEIRA HIDRAULICA,MOTOR DIESEL 111CV,CAPACIDADE 0,78M3 (CP)</t>
  </si>
  <si>
    <t>11.011.0030-b</t>
  </si>
  <si>
    <t>11.009.0014-b</t>
  </si>
  <si>
    <t>11.004.0029-a</t>
  </si>
  <si>
    <t>11.004.0029-A</t>
  </si>
  <si>
    <t>30916</t>
  </si>
  <si>
    <t>55.001.0012-B PINUS, PECA 2,5 X 10CM</t>
  </si>
  <si>
    <t>30408</t>
  </si>
  <si>
    <t>17.025.0040-B PINTURA C/EMULSAO OLEOSA</t>
  </si>
  <si>
    <t>SI00000094287</t>
  </si>
  <si>
    <t>0034492</t>
  </si>
  <si>
    <t>0006189</t>
  </si>
  <si>
    <t>0000370</t>
  </si>
  <si>
    <t>Secretaria Municipal de Planejamento Urbano</t>
  </si>
  <si>
    <t>ORÇAMENTO: Engº Alfredo Cunha</t>
  </si>
  <si>
    <t xml:space="preserve">MURO RIP - RAP = </t>
  </si>
  <si>
    <t>m³</t>
  </si>
  <si>
    <r>
      <t xml:space="preserve">MURO DE RIP RAP EM SACARIA DE POLIESTER  CHEIOS EM 80% DO SEU VOLUME COM ESCÓRIA DE ACIARIA GRANULOMETRIA MÉDIA/FINA, EMPILHADA, MOLHADA E COMPACTADA COM INCLINAÇÃO DE 8 / 10% NO SENTIDO DO TALUDE A CONTER E UTILIZANDO PARAMETROS FRONTAIS PARA ALINHAMENTO PERFEITO DA SACARIA E FACILIDADE PARA POSTERIOR, </t>
    </r>
    <r>
      <rPr>
        <b/>
        <i/>
        <u val="single"/>
        <sz val="10"/>
        <color indexed="10"/>
        <rFont val="Arial"/>
        <family val="2"/>
      </rPr>
      <t>EMBOÇO COM ARGAMASSA DE CIMENTO E AREIA NA PROPORÇÃO DE 1:4.</t>
    </r>
    <r>
      <rPr>
        <b/>
        <sz val="10"/>
        <rFont val="Arial"/>
        <family val="2"/>
      </rPr>
      <t xml:space="preserve"> LAJE DE BASE E FUNDAÇÕES COM BROCAS E BLOCOS DE COROAMENTO EM CONCRETO ARMADO FCK 20MPa. FILTRO EM BRITA E DRENOS COM TUBOS DE PVC Ø 50mm. CALÇADA EM CONCRETO 10MPa ARMADO . ARMADURAS E DIMENSÕES DO MURO CONFORME MEMORIAL DESCRITIVO E PROJETO ANEXO.</t>
    </r>
  </si>
  <si>
    <t>PERFIL DO LOCAL DE CONSTRUÇÃO DO MURO.</t>
  </si>
  <si>
    <t>ALT.</t>
  </si>
  <si>
    <t>LARG.</t>
  </si>
  <si>
    <t>COMPR.</t>
  </si>
  <si>
    <t>VOLUME DA FIGURA RETANGULAR. = (</t>
  </si>
  <si>
    <t xml:space="preserve"> X</t>
  </si>
  <si>
    <t xml:space="preserve"> ) </t>
  </si>
  <si>
    <t xml:space="preserve"> =</t>
  </si>
  <si>
    <t xml:space="preserve"> ) =</t>
  </si>
  <si>
    <t>VOLUME DO MURO UTILIZANDO MISTURA DE ESCÓRIA DE ACIARIA E CIMENTO.</t>
  </si>
  <si>
    <t>VOLUME DO MURO =</t>
  </si>
  <si>
    <t>PROPORÇÃO =</t>
  </si>
  <si>
    <t xml:space="preserve"> /</t>
  </si>
  <si>
    <t>VOLUME DE CIMENTO =</t>
  </si>
  <si>
    <t>PESO kg/ m³</t>
  </si>
  <si>
    <t>kg</t>
  </si>
  <si>
    <t>VOLUME DE ESCÓRIA =</t>
  </si>
  <si>
    <t>x</t>
  </si>
  <si>
    <t>14938</t>
  </si>
  <si>
    <t>AGREGADO SIDERURGICO Nº2, EXCLUSIVE TRANSPORTE</t>
  </si>
  <si>
    <t>SACARIA</t>
  </si>
  <si>
    <t>m³   X</t>
  </si>
  <si>
    <t>SACOS / m³</t>
  </si>
  <si>
    <t>SACOS</t>
  </si>
  <si>
    <t>PREPARO DA MISTURA, ENSACAMENTO, COSTURA, EMPILHAMENTO, REGA E COMPACTAÇÃO DA SACARIA. BASE SUSESP. - m³</t>
  </si>
  <si>
    <t>PEDREIRO   h</t>
  </si>
  <si>
    <t>SERVENTE  h</t>
  </si>
  <si>
    <t>MURO</t>
  </si>
  <si>
    <t>TOTAL POR M3</t>
  </si>
  <si>
    <t>06.082.0050-a</t>
  </si>
  <si>
    <t>06.082.0050-A</t>
  </si>
  <si>
    <t>11.026.0020-A</t>
  </si>
  <si>
    <t>31013</t>
  </si>
  <si>
    <t>59.003.0060-B CONCRETO 15MPA COM BRITA 0.FORNECIMENTO.</t>
  </si>
  <si>
    <t>30350</t>
  </si>
  <si>
    <t>13.001.0010-B CHAPISCO SUPERF. CONCR./ALVEN.,COM ARGAMASSA DE CIMENTO E AREIA NO TRACO 1:3</t>
  </si>
  <si>
    <t>11.026.0020-a</t>
  </si>
  <si>
    <t>Si00000094287</t>
  </si>
  <si>
    <t>Serviço : Reforma e Ampliação do EM Julio Branco</t>
  </si>
  <si>
    <r>
      <t>Data-Base: EMOP- RJ / SINAPI / SCO-RJ -</t>
    </r>
    <r>
      <rPr>
        <b/>
        <sz val="12"/>
        <color indexed="8"/>
        <rFont val="Arial"/>
        <family val="2"/>
      </rPr>
      <t xml:space="preserve"> Desonerado-</t>
    </r>
    <r>
      <rPr>
        <sz val="12"/>
        <color indexed="8"/>
        <rFont val="Arial"/>
        <family val="2"/>
      </rPr>
      <t>Base fev-2023</t>
    </r>
  </si>
  <si>
    <t>LEVANTAMENTO: Arqto Hugo</t>
  </si>
  <si>
    <t xml:space="preserve">MEMÓRIA DE CÁLCULO CONSIDERANDO BDI DE 28,82% (DESONERADO) </t>
  </si>
  <si>
    <r>
      <t xml:space="preserve">Janela de correr 4 folhas (2 Folhas Móveis) em Vidro Temperado Incolor 6mm +Kit  branco, medindo: 3,500 x 1500mm. </t>
    </r>
    <r>
      <rPr>
        <b/>
        <sz val="12"/>
        <rFont val="Arial"/>
        <family val="2"/>
      </rPr>
      <t>CONFORME PROJETO</t>
    </r>
  </si>
  <si>
    <r>
      <t xml:space="preserve">Janela de correr 4 folhas (2 Folhas Móveis) em Vidro Temperado Incolor 6mm +Kit  branco, medindo: 2,500 x 1500mm. </t>
    </r>
    <r>
      <rPr>
        <b/>
        <sz val="12"/>
        <rFont val="Arial"/>
        <family val="2"/>
      </rPr>
      <t>CONFORME PROJETO</t>
    </r>
  </si>
  <si>
    <r>
      <t xml:space="preserve">Janela de correr 4 folhas (2 Folhas Móveis) em Vidro Temperado Incolor 6mm +Kit  branco, medindo: 2,900 x 1500mm. </t>
    </r>
    <r>
      <rPr>
        <b/>
        <sz val="12"/>
        <rFont val="Arial"/>
        <family val="2"/>
      </rPr>
      <t>CONFORME PROJETO</t>
    </r>
  </si>
  <si>
    <r>
      <t xml:space="preserve">Janela basculante, 2 folhas, em Vidro Temperado Incolor 6mm +Kit  branco, medindo: 1,500 x 700mm. </t>
    </r>
    <r>
      <rPr>
        <b/>
        <sz val="12"/>
        <rFont val="Arial"/>
        <family val="2"/>
      </rPr>
      <t>CONFORME PROJETO</t>
    </r>
  </si>
  <si>
    <r>
      <t xml:space="preserve">Janela pivotante, 1 folha, em Vidro Temperado Incolor 6mm +Kit  branco, medindo: 900 x 1,800mm. </t>
    </r>
    <r>
      <rPr>
        <b/>
        <sz val="12"/>
        <rFont val="Arial"/>
        <family val="2"/>
      </rPr>
      <t>CONFORME PROJETO</t>
    </r>
  </si>
  <si>
    <r>
      <t xml:space="preserve">Porta em vidro temperado incolor 10mm, 2 folhas, sendo 1fixa e 1 de correr + kit na cor
branco + Fechadura, medindo: 2,00 x 2,10 metros. </t>
    </r>
    <r>
      <rPr>
        <b/>
        <sz val="12"/>
        <rFont val="Arial"/>
        <family val="2"/>
      </rPr>
      <t>CONFORME PROJETO</t>
    </r>
  </si>
  <si>
    <r>
      <t>TRANSPORTE DE CARGA DE QUALQUER NATUREZA,EXCLUSIVE AS DESPESAS DE CARGA E DESCARGA,TANTO DE ESPERA DO CAMINHAO COMO DO SERVENTE OU EQUIPAMENTO AUXILIAR,A VELOCIDADE MEDIA DE 30KM/H,EM CAMINHAO BASCULANTE A OLEO DIESEL,COM CAPACIDADE UTIL DE8T</t>
    </r>
    <r>
      <rPr>
        <b/>
        <sz val="12"/>
        <rFont val="Arial"/>
        <family val="2"/>
      </rPr>
      <t xml:space="preserve"> DMT ATÉ CTR = 11,7 Km</t>
    </r>
  </si>
  <si>
    <r>
      <t>TRANSPORTE DE CARGA DE QUALQUER NATUREZA,EXCLUSIVE AS DESPESAS DE CARGA E DESCARGA,TANTO DE ESPERA DO CAMINHAO COMO DO SERVENTE OU EQUIPAMENTO AUXILIAR,A VELOCIDADE MEDIA DE 35KM/H,EM CAMINHAO DE CARROCERIA FIXA A OLEO DIESEL,COM CAPACIDADEUTIL DE 7,5T .</t>
    </r>
    <r>
      <rPr>
        <b/>
        <sz val="12"/>
        <rFont val="Arial"/>
        <family val="2"/>
      </rPr>
      <t>DMT ATÉ DEPÓSITO DA SMMU</t>
    </r>
    <r>
      <rPr>
        <sz val="12"/>
        <rFont val="Arial"/>
        <family val="2"/>
      </rPr>
      <t xml:space="preserve"> - 8,5KM</t>
    </r>
  </si>
  <si>
    <t>SI00000101176</t>
  </si>
  <si>
    <t>ESTACA BROCA DE CONCRETO, DIÂMETRO DE 30CM, ESCAVAÇÃO MANUAL COM TRADO CONCHA, INTEIRAMENTE ARMADA. AF_05/2020</t>
  </si>
  <si>
    <t>SI00000095583</t>
  </si>
  <si>
    <t>SI00000095583 MONTAGEM DE ARMADURA TRANSVERSAL DE ESTACAS DE SEÇÃO CIRCULAR, DIÂMETRO = 5,0 MM. AF_09/2021_PS</t>
  </si>
  <si>
    <t>SI00000095578</t>
  </si>
  <si>
    <t>SI00000095578 MONTAGEM DE ARMADURA DE ESTACAS, DIÂMETRO = 12,5 MM. AF_09/2021_PS</t>
  </si>
  <si>
    <t>MURO DE RIP-RAP</t>
  </si>
  <si>
    <t>MURO DE ARRIMO (LATERAL)</t>
  </si>
  <si>
    <t>12.005.0110-A</t>
  </si>
  <si>
    <t>ALVENARIA DE BLOCOS DE CONCRETO 15X20X40CM,ASSENTES COM ARGAMASSA DE CIMENTO,CAL HIDRATADA ADITIVADA E AREIA,NO TRACO 1:1:10,EM PAREDES DE 0,15M DE ESPESSURA,DE SUPERFICIE CORRIDA,ATE 3,00M DE ALTURA E MEDIDA PELA AREA REAL</t>
  </si>
  <si>
    <t>10768</t>
  </si>
  <si>
    <t>BLOCO CONCRETO PRENSADO, DE (15X20X40)CM</t>
  </si>
  <si>
    <t>30173</t>
  </si>
  <si>
    <t>07.005.0025-B ARGAMASSA CIM.,CAL HIDR.AREIA,TRACO 1:1:10,PARA ASSENTAMENTO DE ALVENARIA,PREPA10,PARA ASSENTAMENTO DE ALVENARIA,PREPA</t>
  </si>
  <si>
    <t>12.050.0005-A</t>
  </si>
  <si>
    <t>ALVENARIA ESTRUTURAL DE TIJOLOS CERAMICOS "U" 14X19X29CM,APARENTES,ESPESSURA 14CM,COM QUALIDADE E RESISTENCIA A COMPRESSAO CONFORME NORMAS DA ABNT,ASSENTES COM ARGAMASSA DE CIMENTOE AREIA,NO TRACO 1:3,PARA EXECUCAO DE VERGAS E CINTAS DE AMARRACAO,EXCLUSIVE CONCRETAGEM,CONFORME PROJETO CEHAB</t>
  </si>
  <si>
    <t>07173</t>
  </si>
  <si>
    <t>BLOCO ESTRUTURAL CERAMICO, CANALETA "U",DE (14X19X29)CM</t>
  </si>
  <si>
    <t xml:space="preserve">BARRA DE ACO CA-50,COM SALIENCIA OU MOSSA,COEFICIENTE DE CONFORMACAO SUPERFICIAL MINIMO (ADERENCIA) IGUAL A 1,5,DIAMETRODE 8 A 12,5MM,DESTINADA A ARMADURA DE CONCRETO ARMADO,10%DE PERDAS DE PONTAS E ARAME 18.FORNECIMENTO </t>
  </si>
  <si>
    <t xml:space="preserve">CORTE,DOBRAGEM,MONTAGEM E COLOCACAO DE FERRAGENS NAS FORMAS,ACO CA-50,EM BARRAS REDONDAS,COM DIAMETRO DE 8 A 12,5MM </t>
  </si>
  <si>
    <r>
      <t>FORMAS DE MADEIRA DE 3ª,COM APROVEITAMENTO DA MADEIRA POR 4VEZES,PARA A MOLDAGEM DE CINTA SOBRE BALDRAME,INCLUSIVE FORNECIMENTO DE MATERIAIS E DESMOLDAGEM -</t>
    </r>
    <r>
      <rPr>
        <b/>
        <sz val="12"/>
        <color indexed="8"/>
        <rFont val="Arial"/>
        <family val="2"/>
      </rPr>
      <t xml:space="preserve"> </t>
    </r>
  </si>
  <si>
    <t>13.001.0065-B</t>
  </si>
  <si>
    <t>REVESTIMENTO EXTERNO,EMBOCO,DE UMA VEZ,COM ARGAMASSA DE CIMENTO,CAL HIDRATADA ADITIVADA E AREIA,NO TRACO 1:1:12,COM ESPESSURA DE 2,5CM,INCLUSIVE CHAPISCO DE CIMENTO E AREIA,NO TRACO 1:3</t>
  </si>
  <si>
    <t>30175</t>
  </si>
  <si>
    <t>07.005.0035-B ARGAMASSA CIM.,CAL HIDR.AREIA-EMBOC.EXT.PREPARO MECANICO</t>
  </si>
  <si>
    <t>12.005.0120-A</t>
  </si>
  <si>
    <t>ALVENARIA DE BLOCOS DE CONCRETO 20X20X40CM,ASSENTES COM ARGAMASSA DE CIMENTO,CAL HIDRATADA ADITIVADA E AREIA,NO TRACO 1:1:10,EM PAREDES DE 0,20M DE ESPESSURA,DE SUPERFICIE CORRIDA,ATE 3,00M DE ALTURA E MEDIDA PELA AREA REAL</t>
  </si>
  <si>
    <t>BLOCO DE CONCRETO PRENSADO, PARA ALVENARIA, DE (19x19x19)CM</t>
  </si>
  <si>
    <t>ALVENARIA de Meio Bloco estrutural 19x19x19cm ,ASSENTES COM ARGAMASSA DE CIMENTO,CAL HIDRATADA ADITIVADA E AREIA,NO TRACO 1:1:10,EM PAREDES DE 0,20M DE ESPESSURA,DE SUPERFICIE CORRIDA,ATE 3,00M DE ALTURA E MEDIDA PELA AREA REAL</t>
  </si>
  <si>
    <t>Local: Rua Imaculada Conceição, 1697, km4 – Barra Mansa / RJ</t>
  </si>
  <si>
    <t>Local: Local: Rua Imaculada Conceição, 1697, km4 – Barra Mansa / RJ</t>
  </si>
  <si>
    <t>Serviço :  Reforma e Ampliação do EM Julio Branco</t>
  </si>
  <si>
    <t>00560</t>
  </si>
  <si>
    <t>TIJOLO CERAMICO, FURADO, DE (10X20X30)CM</t>
  </si>
  <si>
    <t>00559</t>
  </si>
  <si>
    <t>TIJOLO CERAMICO, FURADO, DE (10X20X20)CM</t>
  </si>
  <si>
    <t>30174</t>
  </si>
  <si>
    <t>07.005.0030-B ARGAMASSA CIM.,CAL HIDR.AREIA-EMBOC.INT.PREPARO MECANICO</t>
  </si>
  <si>
    <t>12.003.0230-A</t>
  </si>
  <si>
    <t>ALVENARIA DE TIJOLOS CERAMICOS FURADOS 10X20X30CM,COMPLEMENTADA COM 6% DE TIJOLOS DE 10X20X20CM,ASSENTES COM ARGAMASSA DE CIMENTO,CAL HIDRATADA ADITIVADA E AREIA,NO TRACO 1:1:8,EMPAREDES DE MEIA VEZ(0,10M),DE SUPERFICIE CORRIDA,ATE 3,00M DE ALTURA E MEDIDA PELA AREA REAL</t>
  </si>
  <si>
    <t>13.036.0081-A</t>
  </si>
  <si>
    <t>MOLDURA EXTERNA EXECUTADA NO PERIMETRO DAS ESQUADRIAS COM GRANITO CINZA CORUMBA,2CM DE ESPESSURA,COM 2 POLIMENTOS,ASSENTE COMO EM 13.036.0010,EXCLUSIVE ARGAMASSA E REJUNTAMENTO</t>
  </si>
  <si>
    <t>13742</t>
  </si>
  <si>
    <t>PLACA DE GRANITO CINZA CORUMBA, ESPESSURA DE 2CM</t>
  </si>
  <si>
    <t>00289</t>
  </si>
  <si>
    <t>CABO SOLIDO DE COBRE ELETROLITICO NU, TEMPERA MOLE, CLASSE 2, SECAO CIRCULAR DE10,0 A 500,0MM2</t>
  </si>
  <si>
    <t>20091</t>
  </si>
  <si>
    <t>MAO-DE-OBRA DE MARMORISTA DE MARMORE E GRANITO, INCLUSIVE ENCARGOS SOCIAIS DESONERADOS</t>
  </si>
  <si>
    <t>13.003.0010-A</t>
  </si>
  <si>
    <t>REVESTIMENTO INTERNO,EMBOCO,DE UMA VEZ,COM ARGAMASSA DE CIMENTO,CAL HIDRATADA ADITIVADA E AREIA,NO TRACO 1:1:8,COM ESPESSURA DE 2CM,ACABAMENTO CAMURCADO,APLICADO SOBRE SUPERFICIE CHAPISCADA,EXCLUSIVE CHAPISCO</t>
  </si>
  <si>
    <t>13.001.0010-B</t>
  </si>
  <si>
    <t>CHAPISCO EM SUPERFICIE DE CONCRETO OU ALVENARIA,COM ARGAMASSA DE CIMENTO E AREIA,NO TRACO 1:3,COM 5MM DE ESPESSURA</t>
  </si>
  <si>
    <t>13.030.0255-A</t>
  </si>
  <si>
    <t>REVESTIMENTO DE PAREDES COM LADRILHOS CERAMICOS COM MEDIDASEM TORNO DE (10X10)CM,EM PLACA TELADA NO FORMATO EM TORNO DE(30X30)CM,NAS CORES BRANCO,CINZA,BEGE,CREME,AZUL,MARROM E PRETO,CONFORME ABNT NBR 16928,ASSENTE COM ARGAMASSA COLANTE,REJUNTAMENTO COM ARGAMASSA INDUSTRIALIZADA,EXCLUSIVE CHAPISCOE EMBOCO</t>
  </si>
  <si>
    <t>07798</t>
  </si>
  <si>
    <t>ARGAMASSA PARA REJUNTAMENTO PIGMENTADA,EMBALAGEM DE 5KG</t>
  </si>
  <si>
    <t>07797</t>
  </si>
  <si>
    <t>ARGAMASSA COLANTE, PARA USO EXTERNO, EMBALAGEM DE 20 KG</t>
  </si>
  <si>
    <t>07796</t>
  </si>
  <si>
    <t>REVESTIMENTO CERAMICO (10X10)CM,PLACA TELADA FORMATO (30X30)CM,BRANCO,CINZA,BEGE,CREME,AZUL,MARROM E PRETO,ABNT NBR16928</t>
  </si>
  <si>
    <t>20087</t>
  </si>
  <si>
    <t>MAO-DE-OBRA DE LADRILHEIRO, INCLUSIVE ENCARGOS SOCIAIS DESONERADOS</t>
  </si>
  <si>
    <t>4.2</t>
  </si>
  <si>
    <t>4.3</t>
  </si>
  <si>
    <t>4.4</t>
  </si>
  <si>
    <t>4.5</t>
  </si>
  <si>
    <t>4.6</t>
  </si>
  <si>
    <t>17.018.0110-A</t>
  </si>
  <si>
    <t>PINTURA COM TINTA LATEX SEMIBRILHANTE,FOSCA OU ACETINADA,CLASSIFICACAO PREMIUM OU STANDARD,CONFORME ABNT NBR 15079,PARAINTERIOR E EXTERIOR,BRANCA OU COLORIDA,SOBRE TIJOLO,CONCRETOLISO,CIMENTO SEM AMIANTO,E REVESTIMENTO,INCLUSIVE LIXAMENTO,UMA DEMAO DE SELADOR ACRILICO E DUAS DEMAOS DE ACABAMENTO</t>
  </si>
  <si>
    <t>14496</t>
  </si>
  <si>
    <t>LIXA PARA MASSA</t>
  </si>
  <si>
    <t>06028</t>
  </si>
  <si>
    <t>SELADOR PIGMENTADO A BASE DE RESINA ACRILICA MODIFICADA, NA COR BRANCA</t>
  </si>
  <si>
    <t>GL</t>
  </si>
  <si>
    <t>03876</t>
  </si>
  <si>
    <t>TINTA LATEX STANDARD PARA EXTERIOR/INTERIOR SEMIBRILHANTE BRANCA OU COLORIDA, EMBALDES DE 18 LITROS</t>
  </si>
  <si>
    <t>20118</t>
  </si>
  <si>
    <t>MAO-DE-OBRA DE PINTOR, INCLUSIVE ENCARGOS SOCIAIS DESONERADOS</t>
  </si>
  <si>
    <t>17.018.0010-A</t>
  </si>
  <si>
    <t>PREPARO DE SUPERFICIES NOVAS,COM REVESTIMENTO LISO,INTERIOR,INCLUSIVE LIMPEZA,UMA DEMAO DE SELADOR,UMA DEMAO DE MASSA CORRIDA E LIXAMENTOS NECESSARIOS</t>
  </si>
  <si>
    <t>03868</t>
  </si>
  <si>
    <t>MASSA CORRIDA A BASE DE PVA, EM LATAS DE18 LITROS</t>
  </si>
  <si>
    <t>17.018.0185-A</t>
  </si>
  <si>
    <t>TEXTURA ACRILICA NA COR BRANCA,ACABAMENTO FOSCO,PARA INTERIOR OU EXTERIOR,APLICADAS EM DUAS DEMAOS SOBRE CONCRETO,ALVENARIA,BLOCO DE CONCRETO,CIMENTO SEM AMIANTO OU REVESTIMENTO</t>
  </si>
  <si>
    <t>07953</t>
  </si>
  <si>
    <t>TEXTURA ACRILICA PARA EXTERIOR/INTERIOR,FOSCA, EM LATA DE 18 LITROS</t>
  </si>
  <si>
    <t>17.017.0320-A</t>
  </si>
  <si>
    <t>PINTURA INTERNA OU EXTERNA SOBRE FERRO,COM ESMALTE SINTETICOBRILHANTE OU ACETINADO APOS LIXAMENTO,LIMPEZA,DESENGORDURAMENTO,UMA DEMAO DE FUNDO ANTICORROSIVO NA COR LARANJA DE SECAGEM RAPIDA E DUAS DEMAOS DE ACABAMENTO</t>
  </si>
  <si>
    <t>06021</t>
  </si>
  <si>
    <t>FUNDO ANTICORROSIVO DE SECAGEM RAPIDA LARANJA</t>
  </si>
  <si>
    <t>02385</t>
  </si>
  <si>
    <t>LIXA D'AGUA Nº 100</t>
  </si>
  <si>
    <t>00124</t>
  </si>
  <si>
    <t>ESMALTE SINTETICO ALQUIDICO ALTO BRILHO,BRILHANTE, ACETINADO OU FOSCO</t>
  </si>
  <si>
    <t>17.017.0140-A</t>
  </si>
  <si>
    <t>PINTURA INTERNA OU EXTERNA SOBRE MADEIRA NOVA,COM ESMALTE SINTETICO ALQUIDICO,BRILHANTE OU ACETINADA EM DUAS DEMAOS SOBRE SUPERFICIE PREPARADA COM MATERIAL DA MESMA LINHA,CONFORMEO ITEM 17.017.0100,EXCLUSIVE ESTE PREPARO</t>
  </si>
  <si>
    <t>17.017.0100-A</t>
  </si>
  <si>
    <t>PREPARO DE MADEIRA NOVA,INCLUSIVE LIXAMENTO,LIMPEZA,UMA DEMAO DE VERNIZ ISOLANTE INCOLOR,DUAS DEMAOS DE MASSA PARA MADEIRA,LIXAMENTO E REMOCAO DE PO,E UMA DEMAO DE FUNDO SINTETICONIVELADOR</t>
  </si>
  <si>
    <t>03878</t>
  </si>
  <si>
    <t>VERNIZ ISOLANTE INCOLOR</t>
  </si>
  <si>
    <t>00413</t>
  </si>
  <si>
    <t>MASSA PARA MADEIRA</t>
  </si>
  <si>
    <t>00324</t>
  </si>
  <si>
    <t>LIXA P/MADEIRA Nº100</t>
  </si>
  <si>
    <t>00125</t>
  </si>
  <si>
    <t>TINTA FUNDO SINTETICO NIVELADOR, PARA MADEIRA, INTERIORES E EXTERIORES</t>
  </si>
  <si>
    <t>17.013.0030-A</t>
  </si>
  <si>
    <t>PINTURA INTERNA OU EXTERNA SOBRE CONCRETO LISO OU REVESTIMENTO,COM TINTA AQUOSA A BASE DE EPOXI INCOLOR OU EM CORES,INCLUSIVE LIMPEZA,E DUAS DEMAOS DE ACABAMENTO</t>
  </si>
  <si>
    <t>07416</t>
  </si>
  <si>
    <t>TINTA EPOXYCA, BICOMPONENTE ISENTA DE SOLVENTES</t>
  </si>
  <si>
    <t>05.001.0009-A</t>
  </si>
  <si>
    <t>DEMOLICAO DE REVESTIMENTO EM AZULEJOS,CERAMICAS OU MARMORE EM PAREDE,EXCLUSIVE A CAMADA DE ASSENTAMENTO</t>
  </si>
  <si>
    <t>05.001.0014-A</t>
  </si>
  <si>
    <t>DEMOLICAO DE ARGAMASSA DE ASSENTAMENTO DE AZULEJO,CERAMICA OU MARMORE EM PAREDE,INCLUSIVE EMPILHAMENTO LATERAL DENTRO DOCANTEIRO DE SERVICO</t>
  </si>
  <si>
    <t>DEMOLICAO DE REVESTIMENTO EM AZULEJOS,CERAMICAS OU MARMORE EM PAREDE,INCLUSIVE A CAMADA DE ASSENTAMENTO, INCLUSIVE EMPILHAMENTO LATERAL DENTRO DO CANTEIRO DE SERVIÇO.</t>
  </si>
  <si>
    <t>05.001.0009-A + 05.001.0014-A</t>
  </si>
  <si>
    <t>A</t>
  </si>
  <si>
    <t>B</t>
  </si>
  <si>
    <t>SI00000097634</t>
  </si>
  <si>
    <t>DEMOLIÇÃO DE REVESTIMENTO CERÂMICO, DE FORMA MECANIZADA COM MARTELETE, SEM REAPROVEITAMENTO. AF_12/2017</t>
  </si>
  <si>
    <t>SI00000088256</t>
  </si>
  <si>
    <t>AZULEJISTA OU LADRILHISTA COM ENCARGOS COMPLEMENTARES</t>
  </si>
  <si>
    <t>SI00000101963</t>
  </si>
  <si>
    <t>LAJE PRÉ-MOLDADA UNIDIRECIONAL, BIAPOIADA, PARA PISO, ENCHIMENTO EM CERÂMICA, VIGOTA CONVENCIONAL, ALTURA TOTAL DA LAJE (ENCHIMENTO+CAPA) = (8+4). AF_11/2020</t>
  </si>
  <si>
    <t>0040304</t>
  </si>
  <si>
    <t>PREGO DE ACO POLIDO COM CABECA DUPLA 17 X 27 (2 1/2 X 11)</t>
  </si>
  <si>
    <t>0003743</t>
  </si>
  <si>
    <t>LAJE PRE-MOLDADA CONVENCIONAL (LAJOTAS + VIGOTAS) PARA PISO, UNIDIRECIONAL, SOBRECARGA DE 200 KG/M2, VAO ATE 3,50 M (SEM COLOCACAO)</t>
  </si>
  <si>
    <t>SI00000088262</t>
  </si>
  <si>
    <t>CARPINTEIRO DE FORMAS COM ENCARGOS COMPLEMENTARES</t>
  </si>
  <si>
    <t>SI00000103674</t>
  </si>
  <si>
    <t>SI00000103674 CONCRETAGEM DE VIGAS E LAJES, FCK=25 MPA, PARA LAJES PREMOLDADAS COM USO DE BOMBA - LANÇAMENTO, ADENSAMENTO E ACABAMENTO. AF_02/2022</t>
  </si>
  <si>
    <t>SI00000092767</t>
  </si>
  <si>
    <t>SI00000092767 ARMAÇÃO DE LAJE DE ESTRUTURA CONVENCIONAL DE CONCRETO ARMADO UTILIZANDO AÇO CA-60 DE 4,2 MM - MONTAGEM. AF_06/2022</t>
  </si>
  <si>
    <t>SI00000092273</t>
  </si>
  <si>
    <t>SI00000092273 FABRICAÇÃO DE ESCORAS DO TIPO PONTALETE, EM MADEIRA, PARA PÉ-DIREITO SIMPLES. AF_09/2020</t>
  </si>
  <si>
    <t>SI00000098547</t>
  </si>
  <si>
    <t>IMPERMEABILIZAÇÃO DE SUPERFÍCIE COM MANTA ASFÁLTICA, DUAS CAMADAS, INCLUSIVE APLICAÇÃO DE PRIMER ASFÁLTICO, E=3MM E E=4MM. AF_06/2018</t>
  </si>
  <si>
    <t>0004226</t>
  </si>
  <si>
    <t>GAS DE COZINHA - GLP</t>
  </si>
  <si>
    <t>0004015</t>
  </si>
  <si>
    <t>MANTA ASFALTICA ELASTOMERICA EM POLIESTER 4 MM, TIPO III, CLASSE B, ACABAMENTO PP (NBR 9952)</t>
  </si>
  <si>
    <t>0004014</t>
  </si>
  <si>
    <t>MANTA ASFALTICA ELASTOMERICA EM POLIESTER 3 MM, TIPO III, CLASSE B, ACABAMENTO PP (NBR 9952)</t>
  </si>
  <si>
    <t>0000511</t>
  </si>
  <si>
    <t>PRIMER PARA MANTA ASFALTICA A BASE DE ASFALTO MODIFICADO DILUIDO EM SOLVENTE, APLICACAO A FRIO</t>
  </si>
  <si>
    <t>11.003.0006-A</t>
  </si>
  <si>
    <t>CONCRETO DOSADO RACIONALMENTE PARA UMA RESISTENCIA CARACTERISTICA A COMPRESSAO DE 30MPA,INCLUSIVE MATERIAIS,TRANSPORTE,PREPARO COM BETONEIRA,LANCAMENTO E ADENSAMENTO</t>
  </si>
  <si>
    <t>30249</t>
  </si>
  <si>
    <t>11.001.0008-B CONCRETO FCK 30MPA</t>
  </si>
  <si>
    <t>SI00000094995</t>
  </si>
  <si>
    <t>EXECUÇÃO DE PASSEIO (CALÇADA) OU PISO DE CONCRETO COM CONCRETO MOLDADO IN LOCO, USINADO, ACABAMENTO CONVENCIONAL, ESPESSURA 8 CM, ARMADO. AF_08/2022</t>
  </si>
  <si>
    <t>0007156</t>
  </si>
  <si>
    <t>TELA DE ACO SOLDADA NERVURADA, CA-60, Q-196, (3,11 KG/M2), DIAMETRO DO FIO = 5,0 MM, LARGURA = 2,45 M, ESPACAMENTO DA MALHA = 10 X 10 CM</t>
  </si>
  <si>
    <t>0005068</t>
  </si>
  <si>
    <t>PREGO DE ACO POLIDO COM CABECA 17 X 21 (2 X 11)</t>
  </si>
  <si>
    <t>0004509</t>
  </si>
  <si>
    <t>SARRAFO *2,5 X 10* CM EM PINUS, MISTA OU EQUIVALENTE DA REGIAO - BRUTA</t>
  </si>
  <si>
    <t>0034493</t>
  </si>
  <si>
    <t>CONCRETO USINADO BOMBEAVEL, CLASSE DE RESISTENCIA C25, COM BRITA 0 E 1, SLUMP = 100 +/- 20 MM, EXCLUI SERVICO DE BOMBEAMENTO (NBR 8953)</t>
  </si>
  <si>
    <t>EXECUÇÃO DE PASSEIO (CALÇADA) OU PISO DE CONCRETO COM CONCRETO MOLDADO IN LOCO, USINADO, RESISTENCIA 30MPa , ACABAMENTO CONVENCIONAL, ESPESSURA 15 CM, ARMADO. AF_08/2022 -LAJE DE BASE</t>
  </si>
  <si>
    <t>0034494</t>
  </si>
  <si>
    <t>CONCRETO USINADO BOMBEAVEL, CLASSE DE RESISTENCIA C30, COM BRITA 0 E 1, SLUMP = 100 +/- 20 MM, EXCLUI SERVICO DE BOMBEAMENTO (NBR 8953)</t>
  </si>
  <si>
    <t>EXECUÇÃO DE PASSEIO (CALÇADA) OU PISO DE CONCRETO COM CONCRETO MOLDADO IN LOCO, USINADO, RESISTENCIA 25MPa , ACABAMENTO CONVENCIONAL, ESPESSURA 10 CM, ARMADO. AF_08/2022 -LAJE 2</t>
  </si>
  <si>
    <t>EXECUÇÃO DE PASSEIO (CALÇADA) OU PISO DE CONCRETO COM CONCRETO MOLDADO IN LOCO, USINADO, 20MPa ACABAMENTO CONVENCIONAL, ESPESSURA 8 CM, ARMADO. AF_08/2022 - LAJE 3</t>
  </si>
  <si>
    <t>13.302.0010-A</t>
  </si>
  <si>
    <t>CAMADA DE BRITA 1,COM ESPESSURA ESTIMADA DE 3CM,ESPALHAMENTOMANUAL</t>
  </si>
  <si>
    <t>14566</t>
  </si>
  <si>
    <t>BRITA CORRIDA, PARA REGIAO METROPOLITANADO RIO DE JANEIRO</t>
  </si>
  <si>
    <t>CAMADA DE BRITA 1,COM ESPESSURA ESTIMADA DE 5CM,ESPALHAMENTOMANUAL</t>
  </si>
  <si>
    <t>13.302.0010-6</t>
  </si>
  <si>
    <t>03.010.0101-A</t>
  </si>
  <si>
    <t>COMPACTACAO DE ATERRO,EM CAMADAS DE 20CM,UTILIZANDO COMPACTADOR PNEUMATICO(SAPO),INCLUSIVE COMPRESSOR</t>
  </si>
  <si>
    <t>20111</t>
  </si>
  <si>
    <t>MAO-DE-OBRA DE OPERADOR DE MAQUINA (TRATOR, ETC.), INCLUSIVE ENCARGOS SOCIAIS DESONERADOS</t>
  </si>
  <si>
    <t>30808</t>
  </si>
  <si>
    <t>19.011.0002-D COMPRESSOR AR 170PCM 40CV (CF)</t>
  </si>
  <si>
    <t>30807</t>
  </si>
  <si>
    <t>19.011.0002-C COMPRESSOR AR 170PCM 40CV (CP)</t>
  </si>
  <si>
    <t>30624</t>
  </si>
  <si>
    <t>19.006.0001-E SOCADOR PNEUMATICO 18,5 KG (CI)</t>
  </si>
  <si>
    <t>30623</t>
  </si>
  <si>
    <t>19.006.0001-C SOCADOR PNEUMATICO 18,5KG (CP)</t>
  </si>
  <si>
    <t>03.001.0001-B</t>
  </si>
  <si>
    <t>ESCAVACAO MANUAL DE VALA/CAVA EM MATERIAL DE 1ª CATEGORIA (A(AREIA,ARGILA OU PICARRA),ATE 1,50M DE PROFUNDIDADE,EXCLUSIVE ESCORAMENTO E ESGOTAMENTO</t>
  </si>
  <si>
    <t>ESTACA BROCA DE CONCRETO, DIÂMETRO DE 40CM, ESCAVAÇÃO MANUAL COM TRADO CONCHA, INTEIRAMENTE ARMADA. AF_05/2020</t>
  </si>
  <si>
    <t>SI00000101176 alterado</t>
  </si>
  <si>
    <t>MURO DE BLOCO FRONTAL</t>
  </si>
  <si>
    <t>MURO DE ARRIMO (RAMPA)</t>
  </si>
  <si>
    <t>RAMPAS DE ACESSO</t>
  </si>
  <si>
    <t>EXECUÇÃO DE PASSEIO (CALÇADA) OU PISO DE CONCRETO COM CONCRETO MOLDADO IN LOCO, USINADO, 30MPa ACABAMENTO CONVENCIONAL, ESPESSURA 8 CM, ARMADO. AF_08/2022 - LAJE 3</t>
  </si>
  <si>
    <t>RAMPA SUSPENSA</t>
  </si>
  <si>
    <t>13.333.0010-A</t>
  </si>
  <si>
    <t>REVESTIMENTO DE PISO COM CERAMICA TATIL DIRECIONAL,(LADRILHOHIDRAULICO),PARA PESSOAS COM NECESSIDADES ESPECIFICAS,ASSENTES SOBRE SUPERFICIE EM OSSO,CONFORME ITEM 13.330.0010</t>
  </si>
  <si>
    <t>11227</t>
  </si>
  <si>
    <t>PISO CERAMICO TATIL DIRECIONAL, AMARELO,PARA PORTADORES DE NECESSIDADES ESPECIFICAS</t>
  </si>
  <si>
    <t>05350</t>
  </si>
  <si>
    <t>PIGMENTO EM PO A BASE DE OXIDO DE FERRO</t>
  </si>
  <si>
    <t>00150</t>
  </si>
  <si>
    <t>CIMENTO BRANCO</t>
  </si>
  <si>
    <t>30153</t>
  </si>
  <si>
    <t>07.001.0130-B ARGAMASSA CIM.,SAIBRO,AREIA 1:3:3,PREPARO MANUAL</t>
  </si>
  <si>
    <t>30129</t>
  </si>
  <si>
    <t>07.001.0010-B PASTA DE CIMENTO COMUM</t>
  </si>
  <si>
    <t>13.333.0015-A</t>
  </si>
  <si>
    <t>REVESTIMENTO DE PISO COM CERAMICA TATIL ALERTA,(LADRILHO HIDRAULICO) PARA PESSOAS COM NECESSIDADES  ESPECIFICAS,ASSENTESSOBRE SUPERFICIE EM OSSO,CONFORME ITEM 13.330.0010</t>
  </si>
  <si>
    <t>11228</t>
  </si>
  <si>
    <t>PISO CERAMICO TATIL ALERTA, AMARELO, PARA PORTADORES DE NECESSIDADES ESPECIFICAS</t>
  </si>
  <si>
    <t>02.002.0012-A</t>
  </si>
  <si>
    <t>TAPUME DE VEDACAO OU PROTECAO,EXECUTADO COM TELHAS TRAPEZOIDAIS DE ACO GALVANIZADO,ESPESSURA DE 0,5MM,ESTAS COM 2 VEZESDE UTILIZACAO,INCLUSIVE ENGRADAMENTO DE MADEIRA,UTILIZADO 2VEZES,EXCLUSIVE PINTURA</t>
  </si>
  <si>
    <t>13732</t>
  </si>
  <si>
    <t>TELHA TRAPEZOIDAL EM ACO GALVANIZADO, ESPESSURA DE 0,5MM</t>
  </si>
  <si>
    <t>01.016.0210-A</t>
  </si>
  <si>
    <t>LEVANTAMENTO TOPOGRAFICO PLANIALTIMETRICO E CADASTRAL,COM CURVAS DE NIVEL A CADA 1,00M,CONSIDERANDO TERRENO DE OROGRAFIANAO ACIDENTADA,VEGETACAO RALA E EDIFICACAO MEDIA.CUSTO PARAAREA ATE 5000M2 (ESCALA 1:250/500)</t>
  </si>
  <si>
    <t>20149</t>
  </si>
  <si>
    <t>MAO-DE-OBRA DE TOPOGRAFO A (SERVICO DE CAMPO E ESCRIT.COM RESPONSAB. DIRIGI-LOS), INCLUSIVE ENCARGOS SOCIAIS DESONERADOS</t>
  </si>
  <si>
    <t>20071</t>
  </si>
  <si>
    <t>MAO-DE-OBRA DE ENGENHEIRO OU ARQUITETO SENIOR, INCLUSIVE ENCARGOS SOCIAIS DESONERADOS</t>
  </si>
  <si>
    <t>20054</t>
  </si>
  <si>
    <t>MAO-DE-OBRA DE DESENHISTA A (DESENHO TOPOGRAFICO A PARTIR DE CADERNETAS), INCLUSIVE E ENCARGOS SOCIAIS DESONERADOS</t>
  </si>
  <si>
    <t>20032</t>
  </si>
  <si>
    <t>MAO-DE-OBRA DE AUXILIAR DE TOPOGRAFIA, INCLUSIVE ENCARGOS SOCIAIS DESONERADOS</t>
  </si>
  <si>
    <t>20026</t>
  </si>
  <si>
    <t>MAO-DE-OBRA DE AUXILIAR DE CALCULO TOPOGRAFICO, INCLUSIVE ENCARGOS SOCIAIS DESONERADOS</t>
  </si>
  <si>
    <t>30848</t>
  </si>
  <si>
    <t>19.011.0019-C ESTACAO TOTAL,COM PRECISAO ANGULAR DE 1"A 2",ALCANCE MINIMO DE 500M SEM PRISMA,EA 2",ALCANCE MINIMO DE 500M SEM PRISMA,E</t>
  </si>
  <si>
    <t>30465</t>
  </si>
  <si>
    <t>19.004.0035-C MICRO-ONIBUS,CAPACIDADE MINIMA 15 LUGARES,MOTOR DIESEL,INCLUSIVE MOTORISTA (CP)</t>
  </si>
  <si>
    <t>01.003.0001-A</t>
  </si>
  <si>
    <t>SONDAGEM A PERCUSSAO,EM TERRENO COMUM,COM ENSAIO DE PENETRACAO,DIAMETRO 3",INCLUSIVE DESLOCAMENTO DENTRO DO CANTEIRO E INSTALACAO DA SONDA EM CADA FURO</t>
  </si>
  <si>
    <t>30977</t>
  </si>
  <si>
    <t>58.002.0329-B CUSTO PRODUTIVO DE PARALISACAO, DESLOC.OU INST. DE EQUIPAMENTO DE SONDAGEM A PERU INST. DE EQUIPAMENTO DE SONDAGEM A PER</t>
  </si>
  <si>
    <t>30935</t>
  </si>
  <si>
    <t>55.100.0035-B CUSTO HORA PRODUTIVO DE PERCUSSAO</t>
  </si>
  <si>
    <t>01.008.0050-A</t>
  </si>
  <si>
    <t>MOBILIZACAO E DESMOBILIZACAO DE EQUIPAMENTO E EQUIPE DE SONDAGEM E PERFURACAO A PERCUSSAO,COM TRANSPORTE ATE 50KM</t>
  </si>
  <si>
    <t>20147</t>
  </si>
  <si>
    <t>MAO-DE-OBRA DE TECNICO DE SONDAGEM, INCLUSIVE ENCARGOS SOCIAIS DESONERADOS</t>
  </si>
  <si>
    <t>20138</t>
  </si>
  <si>
    <t>MAO-DE-OBRA DE SONDADOR B (ESPECIALISTADE MENOR QUALIDADE), INCLUSIVE ENCARGOSSOCIAIS DESONERADOS</t>
  </si>
  <si>
    <t>20137</t>
  </si>
  <si>
    <t>MAO-DE-OBRA DE SONDADOR A (ESPECIALISTADA MAIS ALTO QUALIDADE), INCLUSIVE ENCARGOS SOCIAIS DESONERADOS</t>
  </si>
  <si>
    <t>01445</t>
  </si>
  <si>
    <t>SONDA A PERCUSSAO EQUIPADA P/ENSAIOS, COMPOSTA DE REENVIO COM CABEAMENTO REFRIGERADO DE 3" A 6"</t>
  </si>
  <si>
    <t>01443</t>
  </si>
  <si>
    <t>BOMBA COM MOTOR DIESEL PARA SONDAGEM</t>
  </si>
  <si>
    <t>SI00000100810</t>
  </si>
  <si>
    <t>TUBO, PEX, MULTICAMADA, COM TUBO LUVA, DN 32, INSTALADO EM RAMAL INTERNO DE INSTALAÇÕES DE GÁS - FORNECIMENTO E INSTALAÇÃO. AF_01/2020</t>
  </si>
  <si>
    <t>0038831</t>
  </si>
  <si>
    <t>TUBO MULTICAMADA PEX, DN 32 MM, PARA INSTALACOES A GAS (AMARELO)</t>
  </si>
  <si>
    <t>SI00000086888</t>
  </si>
  <si>
    <t>0037329</t>
  </si>
  <si>
    <t>REJUNTE EPOXI, QUALQUER COR</t>
  </si>
  <si>
    <t>SI00000086932</t>
  </si>
  <si>
    <t>VASO SANITÁRIO SIFONADO COM CAIXA ACOPLADA LOUÇA BRANCA - PADRÃO MÉDIO, INCLUSO ENGATE FLEXÍVEL EM METAL CROMADO, 1/2  X 40CM - FORNECIMENTO E INSTALAÇÃO. AF_01/2020</t>
  </si>
  <si>
    <t>SI00000086888 VASO SANITÁRIO SIFONADO COM CAIXA ACOPLADA LOUÇA BRANCA - FORNECIMENTO E INSTALAÇÃO. AF_01/2020</t>
  </si>
  <si>
    <t>SI00000086887</t>
  </si>
  <si>
    <t>SI00000086887 ENGATE FLEXÍVEL EM INOX, 1/2  X 40CM - FORNECIMENTO E INSTALAÇÃO. AF_01/2020</t>
  </si>
  <si>
    <t>5.1</t>
  </si>
  <si>
    <t>SI00000095472</t>
  </si>
  <si>
    <t>VASO SANITARIO SIFONADO CONVENCIONAL PARA PCD SEM FURO FRONTAL COM LOUÇA BRANCA SEM ASSENTO, INCLUSO CONJUNTO DE LIGAÇÃO PARA BACIA SANITÁRIA AJUSTÁVEL - FORNECIMENTO E INSTALAÇÃO. AF_01/2020</t>
  </si>
  <si>
    <t>0006142</t>
  </si>
  <si>
    <t>CONJUNTO DE LIGACAO PARA BACIA SANITARIA AJUSTAVEL, EM PLASTICO BRANCO, COM TUBO, CANOPLA E ESPUDE</t>
  </si>
  <si>
    <t>SI00000095471</t>
  </si>
  <si>
    <t>SI00000095471 VASO SANITARIO SIFONADO CONVENCIONAL PARA PCD SEM FURO FRONTAL COM  LOUÇA BRANCA SEM ASSENTO -  FORNECIMENTO E INSTALAÇÃO. AF_01/2020</t>
  </si>
  <si>
    <t>ASSENTO ESPECIAL PARA VASO SANITARIO PARA PESSOAS COM NECESSIDADES ESPECIFICAS.FORNECIMENTO E COLOCACAO</t>
  </si>
  <si>
    <t>13110</t>
  </si>
  <si>
    <t>ASSENTO ESPECIAL PARA VASO SANITARIO, PARA PESSOAS COM NECESSIDADES ESPECIAIS</t>
  </si>
  <si>
    <t>18.005.0015-A</t>
  </si>
  <si>
    <t>ASSENTO SANITARIO DE PLASTICO,TIPO MEDIO LUXO.FORNECIMENTO ECOLOCACAO</t>
  </si>
  <si>
    <t>03927</t>
  </si>
  <si>
    <t>ASSENTO PLASTICO, PARA VASO SANITARIO, TIPO MEDIO LUXO</t>
  </si>
  <si>
    <t>18.005.0030-A</t>
  </si>
  <si>
    <t>SI00000086941</t>
  </si>
  <si>
    <t>LAVATÓRIO LOUÇA BRANCA COM COLUNA, 45 X 55CM OU EQUIVALENTE, PADRÃO MÉDIO, INCLUSO SIFÃO TIPO GARRAFA, VÁLVULA E ENGATE FLEXÍVEL DE 40CM EM METAL CROMADO, COM TORNEIRA CROMADA DE MESA, PADRÃO MÉDIO - FORNECIMENTO E INSTALAÇÃO. AF_01/2020</t>
  </si>
  <si>
    <t>SI00000086915</t>
  </si>
  <si>
    <t>SI00000086915 TORNEIRA CROMADA DE MESA, 1/2 OU 3/4, PARA LAVATÓRIO, PADRÃO MÉDIO - FORNECIMENTO E INSTALAÇÃO. AF_01/2020</t>
  </si>
  <si>
    <t>SI00000086903</t>
  </si>
  <si>
    <t>SI00000086903 LAVATÓRIO LOUÇA BRANCA COM COLUNA, 45 X 55CM OU EQUIVALENTE, PADRÃO MÉDIO - FORNECIMENTO E INSTALAÇÃO. AF_01/2020</t>
  </si>
  <si>
    <t>SI00000086881</t>
  </si>
  <si>
    <t>SI00000086881 SIFÃO DO TIPO GARRAFA EM METAL CROMADO 1 X 1.1/2 - FORNECIMENTO E INSTALAÇÃO. AF_01/2020</t>
  </si>
  <si>
    <t>SI00000086877</t>
  </si>
  <si>
    <t>SI00000086877 VÁLVULA EM METAL CROMADO 1.1/2 X 1.1/2 PARA TANQUE OU LAVATÓRIO, COM OU SEM LADRÃO - FORNECIMENTO E INSTALAÇÃO. AF_01/2020</t>
  </si>
  <si>
    <t>0003146</t>
  </si>
  <si>
    <t>FITA VEDA ROSCA EM ROLOS DE 18 MM X 10 M (L X C)</t>
  </si>
  <si>
    <t>18.007.0051-A</t>
  </si>
  <si>
    <t>DUCHINHA MANUAL,COM REGISTRO DE PRESSAO 1/2" CROMADO,RABICHOCROMADO,SUPORTE BRANCO,PISTOLA BRANCA,BUCHAS E PARAFUSOS PARA FIXACAO.FORNECIMENTO</t>
  </si>
  <si>
    <t>02988</t>
  </si>
  <si>
    <t>DUCHINHA MANUAL, COM MANGUEIRA CROMADA DE 1/2"</t>
  </si>
  <si>
    <t>15.004.0059-A</t>
  </si>
  <si>
    <t>INSTALACAO E ASSENTAMENTO DE DUCHINHA MANUAL PARA BANHEIRO(EXCLUSIVE FORNECIMENTO DO APARELHO),COMPREENDENDO:3,00M DE TUBO DE PVC DE 25MM E CONEXOES</t>
  </si>
  <si>
    <t>05780</t>
  </si>
  <si>
    <t>JOELHO 90º DE PVC SOLDAVEL COM BUCHA DELATAO, DE 25MMX1/2"</t>
  </si>
  <si>
    <t>05734</t>
  </si>
  <si>
    <t>JOELHO 90º DE PVC SOLDAVEL, DE 025MM</t>
  </si>
  <si>
    <t>05732</t>
  </si>
  <si>
    <t>TE 90º DE PVC RIGIDO SOLDAVEL, DE 025MM</t>
  </si>
  <si>
    <t>05103</t>
  </si>
  <si>
    <t>SOLVENTE (SOLUCAO LIMPADORA) P/CONEXOESDE PVC, EM FRASCOS PLASTICOS DE 1000CM3</t>
  </si>
  <si>
    <t>05031</t>
  </si>
  <si>
    <t>TUBO DE PVC RIGIDO SOLDAVEL, PONTA/BOLSAC/VIROLA, EM BARRAS DE 6,00M, DE 025MM</t>
  </si>
  <si>
    <t>DUCHINHA MANUAL,COM REGISTRO DE PRESSAO 1/2" CROMADO,RABICHOCROMADO,SUPORTE BRANCO,PISTOLA BRANCA,BUCHAS E PARAFUSOS PARA FIXACAO.FORNECIMENTO E ASSENTAMENTO COMPREENDENDO:3,00M DE TUBO DE PVC DE 25MM E CONEXOES</t>
  </si>
  <si>
    <t>18.007.0051-A + 15.004.0059-A</t>
  </si>
  <si>
    <t>SI00000100868</t>
  </si>
  <si>
    <t>BARRA DE APOIO RETA, EM ACO INOX POLIDO, COMPRIMENTO 80 CM,  FIXADA NA PAREDE - FORNECIMENTO E INSTALAÇÃO. AF_01/2020</t>
  </si>
  <si>
    <t>0036081</t>
  </si>
  <si>
    <t>BARRA DE APOIO RETA, EM ACO INOX POLIDO, COMPRIMENTO 80CM, DIAMETRO MINIMO 3 CM</t>
  </si>
  <si>
    <t>0004351</t>
  </si>
  <si>
    <t>PARAFUSO NIQUELADO 3 1/2" COM ACABAMENTO CROMADO PARA FIXAR PECA SANITARIA, INCLUI PORCA CEGA, ARRUELA E BUCHA DE NYLON TAMANHO S-8</t>
  </si>
  <si>
    <t>SI00000086936</t>
  </si>
  <si>
    <t>CUBA DE EMBUTIR DE AÇO INOXIDÁVEL MÉDIA, INCLUSO VÁLVULA TIPO AMERICANA E SIFÃO TIPO GARRAFA EM METAL CROMADO - FORNECIMENTO E INSTALAÇÃO. AF_01/2020</t>
  </si>
  <si>
    <t>SI00000086900</t>
  </si>
  <si>
    <t>SI00000086900 CUBA DE EMBUTIR RETANGULAR DE AÇO INOXIDÁVEL, 46 X 30 X 12 CM - FORNECIMENTO E INSTALAÇÃO. AF_01/2020</t>
  </si>
  <si>
    <t>SI00000086878</t>
  </si>
  <si>
    <t>SI00000086878 VÁLVULA EM METAL CROMADO TIPO AMERICANA 3.1/2 X 1.1/2 PARA PIA - FORNECIMENTO E INSTALAÇÃO. AF_01/2020</t>
  </si>
  <si>
    <t>SI00000086910</t>
  </si>
  <si>
    <t>TORNEIRA CROMADA TUBO MÓVEL, DE PAREDE, 1/2 OU 3/4, PARA PIA DE COZINHA, PADRÃO MÉDIO - FORNECIMENTO E INSTALAÇÃO. AF_01/2020</t>
  </si>
  <si>
    <t>0011773</t>
  </si>
  <si>
    <t>TORNEIRA METALICA CROMADA DE PAREDE, PARA COZINHA, BICA MOVEL, COM AREJADOR, 1/2 " OU 3/4 " (REF 1167 / 1168)</t>
  </si>
  <si>
    <t>SI00000086872</t>
  </si>
  <si>
    <t>TANQUE DE LOUÇA BRANCA COM COLUNA, 30L OU EQUIVALENTE - FORNECIMENTO E INSTALAÇÃO. AF_01/2020</t>
  </si>
  <si>
    <t>0020271</t>
  </si>
  <si>
    <t>TANQUE DE LOUCA BRANCA, COM COLUNA, *30* L</t>
  </si>
  <si>
    <t>18.009.0078-A</t>
  </si>
  <si>
    <t>TORNEIRA PARA JARDIM,DE 3/4"X10CM APROXIMADAMENTE,EM METAL CROMADO.FORNECIMENTO</t>
  </si>
  <si>
    <t>07018</t>
  </si>
  <si>
    <t>TORNEIRA PARA JARDIM, EM METAL CROMADO,DE APROXIMADAMENTE 3/4"X10CM</t>
  </si>
  <si>
    <t>TORNEIRA PARA JARDIM,DE 3/4"X10CM APROXIMADAMENTE,EM METAL CROMADO.FORNECIMENTO e instalação</t>
  </si>
  <si>
    <t>18.009.0078-6</t>
  </si>
  <si>
    <t>18.082.0051-A</t>
  </si>
  <si>
    <t>BANCA DE GRANITO CINZA ANDORINHA,COM 2CM DE ESPESSURA,COM ABERTURA PARA 2 CUBAS (EXCLUSIVE ESTAS),SOBRE APOIOS DE ALVENARIA DE MEIA VEZ E VERGA DE CONCRETO,SEM REVESTIMENTO.FORNECIMENTO E COLOCACAO</t>
  </si>
  <si>
    <t>14809</t>
  </si>
  <si>
    <t>BANCA DE GRANITO CINZA ANDORINHA,DE(1,80X0,60)M,COM 2CM DE ESPESSURA E 2 ABERTURAS PARA CUBAS(EXCLUSIVE CUBAS)</t>
  </si>
  <si>
    <t>30344</t>
  </si>
  <si>
    <t>12.003.0075-B ALVENARIA TIJ. FURADO 10X20X20CM</t>
  </si>
  <si>
    <t>30312</t>
  </si>
  <si>
    <t>11.013.0003-B VERGAS CONCR. ARMADO P/ ALVEN.</t>
  </si>
  <si>
    <t>14785</t>
  </si>
  <si>
    <t>CAIXA DE PASSAGEM DE EMBUTIR, EM ACO, COM TAMPA PARAFUSADA, DE 40X40CM</t>
  </si>
  <si>
    <t>30141</t>
  </si>
  <si>
    <t>07.001.0070-B ARGAMASSA CIM., AREIA TRACO 1:8,PREPAROMANUAL</t>
  </si>
  <si>
    <t>15.018.0310-A</t>
  </si>
  <si>
    <t>CAIXA DE PASSAGEM DE EMBUTIR,EM ACO,COM TAMPA PARAFUSADA,DE20X20CM.FORNECIMENTO E COLOCACAO</t>
  </si>
  <si>
    <t>14782</t>
  </si>
  <si>
    <t>CAIXA DE PASSAGEM DE EMBUTIR, EM ACO, COM TAMPA PARAFUSADA, DE 20X20CM</t>
  </si>
  <si>
    <t>CAIXA DE PASSAGEM DE EMBUTIR,EM ACO,COM TAMPA PARAFUSADA,DE20X20CM.FORNECIMENTO E COLOCACAOcaixa de piso para ligação de gás</t>
  </si>
  <si>
    <t>Fornecimento e instalação de Bidigestor 1500 litros/ dia em polietileno</t>
  </si>
  <si>
    <t>un</t>
  </si>
  <si>
    <t>Bidigestor 1500 litros/ dia em polietileno</t>
  </si>
  <si>
    <t>Carrfour.com.br</t>
  </si>
  <si>
    <t>magazineluiza.com.br</t>
  </si>
  <si>
    <t>madeiramadeira.com.br</t>
  </si>
  <si>
    <t>TOTAL=</t>
  </si>
  <si>
    <t>Composição 01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</si>
  <si>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</si>
  <si>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</si>
  <si>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</si>
  <si>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</si>
  <si>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</si>
  <si>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</si>
  <si>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</si>
  <si>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</si>
  <si>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</si>
  <si>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2.42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</si>
  <si>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</si>
  <si>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</si>
  <si>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</si>
  <si>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</si>
  <si>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</si>
  <si>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</si>
  <si>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</si>
  <si>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</si>
  <si>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</si>
  <si>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</si>
  <si>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</si>
  <si>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</si>
  <si>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</si>
  <si>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</si>
  <si>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</si>
  <si>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</si>
  <si>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</si>
  <si>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</si>
  <si>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</si>
  <si>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</si>
  <si>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</si>
  <si>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</si>
  <si>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</si>
  <si>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</si>
  <si>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</si>
  <si>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</si>
  <si>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</si>
  <si>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</si>
  <si>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</si>
  <si>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</si>
  <si>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</si>
  <si>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</si>
  <si>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</si>
  <si>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</si>
  <si>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</si>
  <si>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</si>
  <si>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</si>
  <si>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</si>
  <si>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</si>
  <si>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</si>
  <si>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</si>
  <si>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</si>
  <si>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</si>
  <si>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</si>
  <si>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</si>
  <si>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</si>
  <si>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</si>
  <si>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</si>
  <si>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</si>
  <si>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</si>
  <si>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</si>
  <si>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</si>
  <si>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4.8</t>
  </si>
  <si>
    <t>4.9</t>
  </si>
  <si>
    <t>4.10</t>
  </si>
  <si>
    <t>4.11</t>
  </si>
  <si>
    <t>4.12</t>
  </si>
  <si>
    <t>6.10</t>
  </si>
  <si>
    <t>6.7</t>
  </si>
  <si>
    <t>5.2</t>
  </si>
  <si>
    <t>5.3</t>
  </si>
  <si>
    <t>6.5</t>
  </si>
  <si>
    <t>5.4</t>
  </si>
  <si>
    <t>5.5</t>
  </si>
  <si>
    <t>5.6</t>
  </si>
  <si>
    <t>5.7</t>
  </si>
  <si>
    <t>5.8</t>
  </si>
  <si>
    <t>6.8</t>
  </si>
  <si>
    <t>6.3</t>
  </si>
  <si>
    <t>5.9</t>
  </si>
  <si>
    <t>5.10</t>
  </si>
  <si>
    <t>5.11</t>
  </si>
  <si>
    <t>5.12</t>
  </si>
  <si>
    <t>5.13</t>
  </si>
  <si>
    <t>6.1</t>
  </si>
  <si>
    <t>6.2</t>
  </si>
  <si>
    <t>6.4</t>
  </si>
  <si>
    <t>6.6</t>
  </si>
  <si>
    <t>6.9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</si>
  <si>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</si>
  <si>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</si>
  <si>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</si>
  <si>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</si>
  <si>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</si>
  <si>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</si>
  <si>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</si>
  <si>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</si>
  <si>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</si>
  <si>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</si>
  <si>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</si>
  <si>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</si>
  <si>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</si>
  <si>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</si>
  <si>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</si>
  <si>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</si>
  <si>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</si>
  <si>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</si>
  <si>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</si>
  <si>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</si>
  <si>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</si>
  <si>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</si>
  <si>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</si>
  <si>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</si>
  <si>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</si>
  <si>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</si>
  <si>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</si>
  <si>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</si>
  <si>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</si>
  <si>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</si>
  <si>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</si>
  <si>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</si>
  <si>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</si>
  <si>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6.45</t>
  </si>
  <si>
    <t>6.44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</si>
  <si>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</si>
  <si>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</si>
  <si>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</si>
  <si>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</si>
  <si>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</si>
  <si>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</si>
  <si>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</si>
  <si>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</si>
  <si>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</si>
  <si>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</si>
  <si>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</si>
  <si>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</si>
  <si>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</si>
  <si>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</si>
  <si>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</si>
  <si>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</si>
  <si>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</si>
  <si>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</si>
  <si>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</si>
  <si>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</si>
  <si>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</si>
  <si>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</si>
  <si>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</si>
  <si>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</si>
  <si>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10.1</t>
  </si>
  <si>
    <t xml:space="preserve">PLANILHA ORÇAMENTÁRIA  - BDI 28,82% </t>
  </si>
  <si>
    <t>SI00000089776 ALTERADO</t>
  </si>
  <si>
    <t>LUVA DE CORRER, PVC, DN 40 MM, PARA ESGOTO PREDIAL</t>
  </si>
  <si>
    <t>CURVA CURTA 90 GRAUS, PVC, SERIE NORMAL, ESGOTO PREDIAL, DN 100 MM, JUNTA ELÁSTICA, FORNECIDO E INSTALADO EM RAMAL DE DESCARGA OU RAMAL DE ESGOTO SANITÁRIO. AF_08/2022</t>
  </si>
  <si>
    <t>CURVA PVC 22 graus, DN 100 MM, PARA ESGOTO PREDIAL</t>
  </si>
  <si>
    <t>SI00000089748 ALTERADO</t>
  </si>
  <si>
    <t xml:space="preserve">CURVA CURTA 22 GRAUS, PVC, SERIE NORMAL, ESGOTO PREDIAL, DN 100 MM, JUNTA ELÁSTICA, FORNECIDO E INSTALADO EM RAMAL DE DESCARGA OU RAMAL DE ESGOTO SANITÁRIO. AF_08/2022  </t>
  </si>
  <si>
    <t>0036359</t>
  </si>
  <si>
    <t>JOELHO PPR, 90 GRAUS, SOLDAVEL, F/F, DN 20 MM, PARA AGUA QUENTE PREDIAL</t>
  </si>
  <si>
    <t>JOELHO 90 GRAUS, PPR, DN 20 MM, CLASSE PN 25, INSTALADO EM RAMAL OU SUB-RAMAL DE ÁGUA   FORNECIMENTO E INSTALAÇÃO. AF_08/2022</t>
  </si>
  <si>
    <t>SI00000096637 ALTERADO</t>
  </si>
  <si>
    <t>SI00000104202</t>
  </si>
  <si>
    <t>TÊ NORMAL, PPR, 90 GRAUS, DN 20 X 20 X 20 MM, INSTALADO EM RAMAL OU SUB-RAMAL DE ÁGUA - FORNECIMENTO E INSTALAÇÃO. AF_08/2022</t>
  </si>
  <si>
    <t>0036362</t>
  </si>
  <si>
    <t>TE NORMAL, PPR, F/F/F, SOLDAVEL, 90 GRAUS, DN 20 X 20 X 20 MM, PARA AGUA QUENTE PREDIAL</t>
  </si>
  <si>
    <t>15.038.0175-A</t>
  </si>
  <si>
    <t>UNIAO COM ROSCA,COM DIAMETRO DE 2".FORNECIMENTO</t>
  </si>
  <si>
    <t>12900</t>
  </si>
  <si>
    <t>UNIAO DE PVC, COM ROSCA, DE 2"</t>
  </si>
  <si>
    <t>15.038.0177-A</t>
  </si>
  <si>
    <t>UNIAO COM ROSCA,COM DIAMETRO DE 3".FORNECIMENTO</t>
  </si>
  <si>
    <t>12902</t>
  </si>
  <si>
    <t>UNIAO DE PVC, COM ROSCA, DE 3"</t>
  </si>
  <si>
    <t>15.038.0175-6</t>
  </si>
  <si>
    <t>15.038.0177-6</t>
  </si>
  <si>
    <t>UNIÃO ROSCÁVEL PVC DN 75MM PN12. FORNECIMENTO E COLOCAÇÃO</t>
  </si>
  <si>
    <t>UNIÃO ROSCÁVEL PPR DN 50MM PN12. FORNECIMENTO E COLOCAÇÃO</t>
  </si>
  <si>
    <t>SI00000097608</t>
  </si>
  <si>
    <t>LUMINÁRIA ARANDELA TIPO TARTARUGA, COM GRADE, DE SOBREPOR, COM 1 LÂMPADA FLUORESCENTE DE 15 W, SEM REATOR - FORNECIMENTO E INSTALAÇÃO. AF_02/2020</t>
  </si>
  <si>
    <t>0038775</t>
  </si>
  <si>
    <t>LUMINARIA TIPO TARTARUGA PARA AREA EXTERNA EM ALUMINIO, COM GRADE, PARA 1 LAMPADA, BASE E27, POTENCIA MAXIMA 40/60 W (NAO INCLUI LAMPADA)</t>
  </si>
  <si>
    <t>0038191</t>
  </si>
  <si>
    <t>LAMPADA FLUORESCENTE COMPACTA 2U BRANCA 15 W, BASE E27 (127/220 V)</t>
  </si>
  <si>
    <t>SI00000103268</t>
  </si>
  <si>
    <t>AR CONDICIONADO SPLIT ON/OFF, CASSETE (TETO), 18000 BTU/H, CICLO QUENTE/FRIO - FORNECIMENTO E INSTALAÇÃO. AF_11/2021_PE</t>
  </si>
  <si>
    <t>SI00000100308 MECÂNICO DE REFRIGERAÇÃO COM ENCARGOS COMPLEMENTARES</t>
  </si>
  <si>
    <t>0001539</t>
  </si>
  <si>
    <t>CONECTOR METALICO TIPO PARAFUSO FENDIDO (SPLIT BOLT), PARA CABOS ATE 16 MM2</t>
  </si>
  <si>
    <t xml:space="preserve">COMPOSIÇÃO </t>
  </si>
  <si>
    <t>Fornecimento e instalação de conectores para ventiladores e ar condicionados</t>
  </si>
  <si>
    <r>
      <t>TRANSPORTE DE CARGA DE QUALQUER NATUREZA,EXCLUSIVE AS DESPESAS DE CARGA E DESCARGA,TANTO DE ESPERA DO CAMINHAO COMO DO SERVENTE OU EQUIPAMENTO AUXILIAR,A VELOCIDADE MEDIA DE 30KM/H,EM CAMINHAO BASCULANTE A OLEO DIESEL,COM CAPACIDADE UTIL DE8T</t>
    </r>
    <r>
      <rPr>
        <b/>
        <sz val="12"/>
        <rFont val="Arial"/>
        <family val="2"/>
      </rPr>
      <t xml:space="preserve"> DMT ATÉ CTR = 5,5 Km</t>
    </r>
  </si>
  <si>
    <r>
      <t>TRANSPORTE DE CARGA DE QUALQUER NATUREZA,EXCLUSIVE AS DESPESAS DE CARGA E DESCARGA,TANTO DE ESPERA DO CAMINHAO COMO DO SERVENTE OU EQUIPAMENTO AUXILIAR,A VELOCIDADE MEDIA DE 35KM/H,EM CAMINHAO DE CARROCERIA FIXA A OLEO DIESEL,COM CAPACIDADEUTIL DE 7,5T .</t>
    </r>
    <r>
      <rPr>
        <b/>
        <sz val="12"/>
        <rFont val="Arial"/>
        <family val="2"/>
      </rPr>
      <t>DMT ATÉ DEPÓSITO DA SMMU</t>
    </r>
    <r>
      <rPr>
        <sz val="12"/>
        <rFont val="Arial"/>
        <family val="2"/>
      </rPr>
      <t xml:space="preserve"> - 6,3KM</t>
    </r>
  </si>
  <si>
    <t>13.380.0010-A</t>
  </si>
  <si>
    <t>PISO DE MARMORITE,COMPREENDENDO:A)LASTRO,COM 4CM DE ESPESSURA MEDIA,DE ARGAMASSA DE CIMENTO E AREIA GROSSA,NO TRACO 1:4;B)CAMADA DE MARMORITE,COM 1CM DE ESPESSURA,FEITA COM GRANILHA Nº1 BRANCA E CIMENTO,SUPERFICIE ESTUCADA APOS A FUNDICAO,COM 3 POLIMENTOS MECANICOS,EXCLUSIVE JUNTA</t>
  </si>
  <si>
    <t>00408</t>
  </si>
  <si>
    <t>GRANILHA Nº 1 BRANCA</t>
  </si>
  <si>
    <t>20092</t>
  </si>
  <si>
    <t>MAO-DE-OBRA DE MARMORISTA DE MARMORITE,INCLUSIVE ENCARGOS SOCIAIS DESONERADOS</t>
  </si>
  <si>
    <t>05078</t>
  </si>
  <si>
    <t>PEDRA ESMERIL, P/MAQUINA DE POLIMENTO, DE 6" DE GRANULOMETRIA 060</t>
  </si>
  <si>
    <t>05077</t>
  </si>
  <si>
    <t>PEDRA ESMERIL, P/MAQUINA DE POLIMENTO, DE 6" COM GRANULOMETRIA 036</t>
  </si>
  <si>
    <t>30707</t>
  </si>
  <si>
    <t>19.006.0050-E MAQUINA POLIDORA 4HP (CI)</t>
  </si>
  <si>
    <t>30706</t>
  </si>
  <si>
    <t>19.006.0050-C MAQUINA POLIDORA 4HP (CP)</t>
  </si>
  <si>
    <t>13.380.0015-A</t>
  </si>
  <si>
    <t>RODAPE DE MARMORITE,FUNDIDO NO LOCAL,COM 10CM DE ALTURA,1CMDE ESPESSURA,TERMINANDO EM CANTO RETO JUNTO AO PISO,FEITO COM CIMENTO E GRANILHA Nº1 BRANCA,COM POLIMENTO MANUAL,O MARMORITE E EXECUTADO SOBRE EMBOCO PREVIO NAO INCLUIDO NESTA</t>
  </si>
  <si>
    <t>SI00000087262</t>
  </si>
  <si>
    <t>REVESTIMENTO CERÂMICO PARA PISO COM PLACAS TIPO PORCELANATO DE DIMENSÕES 60X60 CM APLICADA EM AMBIENTES DE ÁREA ENTRE 5 M² E 10 M². AF_02/2023_PE</t>
  </si>
  <si>
    <t>0038195</t>
  </si>
  <si>
    <t>PISO PORCELANATO, BORDA RETA, EXTRA, FORMATO MAIOR QUE 2025 CM2</t>
  </si>
  <si>
    <t>0037595</t>
  </si>
  <si>
    <t>ARGAMASSA COLANTE TIPO AC III</t>
  </si>
  <si>
    <t>0034357</t>
  </si>
  <si>
    <t>REJUNTE CIMENTICIO, QUALQUER COR</t>
  </si>
  <si>
    <t>3.12</t>
  </si>
  <si>
    <t>1.14</t>
  </si>
  <si>
    <t>05.001.0041-A</t>
  </si>
  <si>
    <t>REMOCAO DE COBERTURA EM TELHAS DE FIBROCIMENTO CONVENCIONAL,ONDULADA,INCLUSIVE MADEIRAMENTO,MEDIDO O CONJUNTO PELA AREAREAL DE COBERTURA</t>
  </si>
  <si>
    <t>TELHAMENTO COM TELHA METÁLICA TERMOACÚSTICA E = 30 MM, COM ATÉ 2 ÁGUAS, INCLUSO IÇAMENTO. AF_07/2019</t>
  </si>
  <si>
    <t>TELHA GALVALUME COM ISOLAMENTO TERMOACUSTICO EM ESPUMA RIGIDA DE POLIURETANO (PU) INJETADO, ESPESSURA DE 30 MM, DENSIDADE DE 35 KG/M3, REVESTIMENTO EM TELHA TRAPEZOIDAL NAS DUAS FACES COM ESPESSURA DE 0,50 MM CADA, ACABAMENTO NATURAL (NAO INCLUI ACESSORIOS DE FIXACAO)</t>
  </si>
  <si>
    <t>HASTE RETA PARA GANCHO DE FERRO GALVANIZADO, COM ROSCA 1/4 " X 30 CM PARA FIXACAO DE TELHA METALICA, INCLUI PORCA E ARRUELAS DE VEDACAO</t>
  </si>
  <si>
    <t>CJ</t>
  </si>
  <si>
    <t>TELHADISTA COM ENCARGOS COMPLEMENTARES</t>
  </si>
  <si>
    <t>SI00000094216</t>
  </si>
  <si>
    <t>0040740</t>
  </si>
  <si>
    <t>0011029</t>
  </si>
  <si>
    <t>SI00000088323</t>
  </si>
  <si>
    <t>SI00000093282</t>
  </si>
  <si>
    <t>SI00000093282 GUINCHO ELÉTRICO DE COLUNA, CAPACIDADE 400 KG, COM MOTO FREIO, MOTOR TRIFÁSICO DE 1,25 CV - CHI DIURNO. AF_03/2016</t>
  </si>
  <si>
    <t>SI00000093281</t>
  </si>
  <si>
    <t>SI00000093281 GUINCHO ELÉTRICO DE COLUNA, CAPACIDADE 400 KG, COM MOTO FREIO, MOTOR TRIFÁSICO DE 1,25 CV - CHP DIURNO. AF_03/2016</t>
  </si>
  <si>
    <t>11.016.0020-A</t>
  </si>
  <si>
    <t>ESTRUTURAS DE ELEMENTOS EM PERFIS "I" ATE 8",EM ACO LAMINADO,(VIGAS ISOLADAS,ESCORAS,PORTICOS,ETC),INCLUSIVE PERDAS.FORNECIMENTO E MONTAGEM</t>
  </si>
  <si>
    <t>01576</t>
  </si>
  <si>
    <t>PERFIL "I" DE ACO CARBONO, PADRAO AMERICANO, PRECO DE REVENDEDOR, DE 6"X3.3/8"</t>
  </si>
  <si>
    <t>20004</t>
  </si>
  <si>
    <t>MAO-DE-OBRA DE AJUDANTE DA CONSTRUCAO CIVIL, INCLUSIVE ENCARGOS SOCIAIS DESONERADOS</t>
  </si>
  <si>
    <t>30112</t>
  </si>
  <si>
    <t>05.025.0041-B SOLDA TOPO 1/4",CONVERSOR ELETROMOTORIZ.</t>
  </si>
  <si>
    <t>8.6</t>
  </si>
  <si>
    <t>SI00000100327</t>
  </si>
  <si>
    <t>RUFO EXTERNO/INTERNO EM CHAPA DE AÇO GALVANIZADO NÚMERO 26, CORTE DE 33 CM, INCLUSO IÇAMENTO. AF_07/2019</t>
  </si>
  <si>
    <t>0013388</t>
  </si>
  <si>
    <t>SOLDA EM BARRA DE ESTANHO-CHUMBO 50/50</t>
  </si>
  <si>
    <t>0005104</t>
  </si>
  <si>
    <t>REBITE DE ALUMINIO VAZADO DE REPUXO, 3,2 X 8 MM (1KG = 1025 UNIDADES)</t>
  </si>
  <si>
    <t>0005061</t>
  </si>
  <si>
    <t>PREGO DE ACO POLIDO COM CABECA 18 X 27 (2 1/2 X 10)</t>
  </si>
  <si>
    <t>0001113</t>
  </si>
  <si>
    <t>RUFO EXTERNO/INTERNO DE CHAPA DE ACO GALVANIZADA NUM 26, CORTE 33 CM</t>
  </si>
  <si>
    <t>SI00000094228</t>
  </si>
  <si>
    <t>CALHA EM CHAPA DE AÇO GALVANIZADO NÚMERO 24, DESENVOLVIMENTO DE 50 CM, INCLUSO TRANSPORTE VERTICAL. AF_07/2019</t>
  </si>
  <si>
    <t>0040783</t>
  </si>
  <si>
    <t>CALHA QUADRADA DE CHAPA DE ACO GALVANIZADA NUM 24, CORTE 50 CM</t>
  </si>
  <si>
    <t>16.007.0023-A</t>
  </si>
  <si>
    <t>CUMEEIRA EM CHAPA DE ACO GALVANIZADO,COM ESPESSURA DE 0,5MM,0,30M DE ABA PARA CADA LADO,PARA TELHAS TRAPEZOIDAIS.FORNECIMENTO E COLOCACAO</t>
  </si>
  <si>
    <t>00160</t>
  </si>
  <si>
    <t>CHAPA DE ACO CARBONO, GALVANIZADA, PARAUSOS GERAIS, TAMANHO PADRAO, PRECO DE REVENDEDOR, COM ESPESSURA DE 0,5MM</t>
  </si>
  <si>
    <t>SI00000089578</t>
  </si>
  <si>
    <t>TUBO PVC, SÉRIE R, ÁGUA PLUVIAL, DN 100 MM, FORNECIDO E INSTALADO EM CONDUTORES VERTICAIS DE ÁGUAS PLUVIAIS. AF_06/2022</t>
  </si>
  <si>
    <t>0009841</t>
  </si>
  <si>
    <t>TUBO PVC, SERIE R, DN 100 MM, PARA ESGOTO OU AGUAS PLUVIAIS PREDIAL (NBR 5688)</t>
  </si>
  <si>
    <t>3.16</t>
  </si>
  <si>
    <t>05.006.0001-B</t>
  </si>
  <si>
    <t>LOCACAO DE ANDAIME COM ELEMENTOS TUBULARES SOBRE SAPATAS FIXAS,CONSIDERANDO-SE A AREA DA PROJECAO VERTICAL DO ANDAIME EPAGO PELO TEMPO NECESSARIO A SUA UTILIZACAO,EXCLUSIVE TRANSPORTE DOS ELEMENTOS DO ANDAIME ATE A OBRA,PLATAFORMA OU PASSARELA DE PINHO,MONTAGEM E DESMONTAGEM DOS ANDAIMES</t>
  </si>
  <si>
    <t>M2XMES</t>
  </si>
  <si>
    <t>14836</t>
  </si>
  <si>
    <t>LOCACAO DE ANDAIME METALICO COM ELEMENTOS TUBULARES SOBRE SAPATAS,C/ESCADA DE ACESSO E GUARDA-CORPO,EXCL.PISO E TRANSP.</t>
  </si>
  <si>
    <t>05.005.0012-B</t>
  </si>
  <si>
    <t>PLATAFORMA OU PASSARELA DE MADEIRA DE 1ª,CONSIDERANDO-SE APROVEITAMENTO DA  MADEIRA 20 VEZES,EXCLUSIVE ANDAIME OU OUTROSUPORTE E MOVIMENTACAO(VIDE ITEM 05.008.0008)</t>
  </si>
  <si>
    <t>05937</t>
  </si>
  <si>
    <t>MACARANDUBA EM PECAS, DE 7,50X30,00CM (3"X12")</t>
  </si>
  <si>
    <t>05.008.0001-A</t>
  </si>
  <si>
    <t>MONTAGEM E DESMONTAGEM DE ANDAIME COM ELEMENTOS TUBULARES,CONSIDERANDO-SE A AREA VERTICAL RECOBERTA</t>
  </si>
  <si>
    <t>05.008.0008-B</t>
  </si>
  <si>
    <t>MOVIMENTACAO VERTICAL OU HORIZONTAL DE PLATAFORMA OU PASSARELA</t>
  </si>
  <si>
    <t>04.020.0122-A</t>
  </si>
  <si>
    <t>TRANSPORTE DE ANDAIME TUBULAR,CONSIDERANDO-SE A AREA DE PROJECAO VERTICAL DO ANDAIME,EXCLUSIVE CARGA,DESCARGA E TEMPO DEESPERA DO CAMINHAO(VIDE ITEM 04.021.0010)</t>
  </si>
  <si>
    <t>M2XKM</t>
  </si>
  <si>
    <t>30411</t>
  </si>
  <si>
    <t>19.004.0001-C CAMINHAO CARROC. FIXA, 3,5T (CP)</t>
  </si>
  <si>
    <t>04.021.0010-A</t>
  </si>
  <si>
    <t>CARGA E DESCARGA MANUAL DE ANDAIME TUBULAR,INCLUSIVE TEMPO DE ESPERA DO CAMINHAO,CONSIDERANDO-SE A AREA DE PROJECAO VERTICAL</t>
  </si>
  <si>
    <t>30413</t>
  </si>
  <si>
    <t>19.004.0001-E CAMINHAO CARROC. FIXA, 3,5T (CI)</t>
  </si>
  <si>
    <t>3.15</t>
  </si>
  <si>
    <t>4.7</t>
  </si>
  <si>
    <t>6.56</t>
  </si>
  <si>
    <t>SI00000102614</t>
  </si>
  <si>
    <t>CAIXA D´ÁGUA EM POLIÉSTER REFORÇADO COM FIBRA DE VIDRO, 1500 LITROS - FORNECIMENTO E INSTALAÇÃO. AF_06/2021</t>
  </si>
  <si>
    <t>0011869</t>
  </si>
  <si>
    <t>CAIXA D'AGUA FIBRA DE VIDRO PARA 1500 LITROS, COM TAMPA</t>
  </si>
  <si>
    <t>4.13</t>
  </si>
  <si>
    <t>14.002.0132-A</t>
  </si>
  <si>
    <t>GRADE DE FERRO COM MONTANTES DE BARRAS CHATAS DE  2"X3/8" ACADA 2,00M E BARRAS CHATAS DE 1.1/2"X3/8" A CADA 10CM, INTERCALADAS POR PEQUENAS BARRAS CHATAS DE 1.1/2"X3/8" A CADA 5CM,EXCLUSIVE BALDRAME DE CONCRETO.FORNECIMENTO E COLOCACAO</t>
  </si>
  <si>
    <t>00011</t>
  </si>
  <si>
    <t>CANTONEIRA DE ACO DOCE, P/SERRALHERIA, PRECO DE REVENDEDOR, DE 5/8"X1/8" ATE 1.1/2"X1/8"</t>
  </si>
  <si>
    <t>ESTRUTURAS DE ELEMENTOS EM PERFIS "I" ATE 8",EM ACO LAMINADO,(VIGAS ISOLADAS,ESCORAS,PORTICOS,ETC),INCLUSIVE PARAFUSO PARBOLT 3/8" E CHAPA DE BASE E PERDAS.FORNECIMENTO E MONTAGEM CONFORME PROJETO</t>
  </si>
  <si>
    <t>DATA: 12/06/2023</t>
  </si>
  <si>
    <t>6.57</t>
  </si>
  <si>
    <t>SI00000100809</t>
  </si>
  <si>
    <t>TUBO, PEX, MULTICAMADA, COM TUBO LUVA, DN 26, INSTALADO EM RAMAL INTERNO DE INSTALAÇÕES DE GÁS - FORNECIMENTO E INSTALAÇÃO. AF_01/2020</t>
  </si>
  <si>
    <t>0038830</t>
  </si>
  <si>
    <t>TUBO MULTICAMADA PEX, DN *26* MM, PARA INSTALACOES A GAS (AMARELO)</t>
  </si>
  <si>
    <t>SI00000103029</t>
  </si>
  <si>
    <t>REGISTRO OU REGULADOR DE GÁS DE COZINHA - FORNECIMENTO E INSTALAÇÃO. AF_08/2021</t>
  </si>
  <si>
    <t>0011756</t>
  </si>
  <si>
    <t>REGISTRO OU REGULADOR DE GAS COZINHA, VAZAO DE 2 KG/H, 2,8 KPA</t>
  </si>
  <si>
    <t>SI00000103019</t>
  </si>
  <si>
    <t>REGISTRO OU VÁLVULA GLOBO ANGULAR EM LATÃO, PARA HIDRANTES EM INSTALAÇÃO PREDIAL DE INCÊNDIO, 45 GRAUS, 2 1/2" - FORNECIMENTO E INSTALAÇÃO. AF_08/2021</t>
  </si>
  <si>
    <t>REGISTRO GLOBO EM COBRE 1/4 DE VOLTA</t>
  </si>
  <si>
    <t>SI00000103831</t>
  </si>
  <si>
    <t>BUCHA DE REDUÇÃO EM COBRE, DN 28 MM X 22 MM, SEM ANEL DE SOLDA, INSTALADO EM RAMAL E SUB-RAMAL DE GÁS COMBUSTÍVEL - FORNECIMENTO E INSTALAÇÃO. AF_04/2022</t>
  </si>
  <si>
    <t>0039897</t>
  </si>
  <si>
    <t>PASTA PARA SOLDA DE TUBOS E CONEXOES DE COBRE (EMBALAGEM COM 250 G)</t>
  </si>
  <si>
    <t>0039887</t>
  </si>
  <si>
    <t>BUCHA DE REDUCAO DE COBRE (REF 600-2) SEM ANEL DE SOLDA, PONTA X BOLSA, 28 X 22 MM</t>
  </si>
  <si>
    <t>0012732</t>
  </si>
  <si>
    <t>SOLDA ESTANHO/COBRE PARA CONEXOES DE COBRE, FIO 2,5 MM, CARRETEL 500 GR (SEM CHUMBO)</t>
  </si>
  <si>
    <t>6.58</t>
  </si>
  <si>
    <t>6.61</t>
  </si>
  <si>
    <t>6.59</t>
  </si>
  <si>
    <t>6.60</t>
  </si>
  <si>
    <t>SI00000097551</t>
  </si>
  <si>
    <t>CURVA 90 GRAUS, EM AÇO, CONEXÃO SOLDADA, DN 25 (1"), INSTALADO EM RAMAIS E SUB-RAMAIS DE GÁS - FORNECIMENTO E INSTALAÇÃO. AF_10/2020</t>
  </si>
  <si>
    <t>SI00000097549</t>
  </si>
  <si>
    <t>CURVA 90 GRAUS, EM AÇO, CONEXÃO SOLDADA, DN 20 (3/4"), INSTALADO EM RAMAIS E SUB-RAMAIS DE GÁS - FORNECIMENTO E INSTALAÇÃO. AF_10/2020</t>
  </si>
  <si>
    <t>0040380</t>
  </si>
  <si>
    <t>CURVA 90 GRAUS EM ACO CARBONO, RAIO CURTO, SOLDAVEL, PRESSAO 3.000 LBS, DN 3/4"</t>
  </si>
  <si>
    <t>0011002</t>
  </si>
  <si>
    <t>ELETRODO REVESTIDO AWS - E6013, DIAMETRO IGUAL A 2,50 MM</t>
  </si>
  <si>
    <t>SI00000088317</t>
  </si>
  <si>
    <t>SOLDADOR COM ENCARGOS COMPLEMENTARES</t>
  </si>
  <si>
    <t>0040382</t>
  </si>
  <si>
    <t>CURVA 90 GRAUS EM ACO CARBONO, RAIO CURTO, SOLDAVEL, PRESSAO 3.000 LBS, DN 1"</t>
  </si>
  <si>
    <t>6.62</t>
  </si>
  <si>
    <t>REGISTRO GLOBO EM COBRE 1/4 DE VOLTA - FORNECIMENTO E INSTALAÇÃO. AF_08/2021</t>
  </si>
  <si>
    <t>SI00000103019 ALTERADO</t>
  </si>
  <si>
    <t>6.63</t>
  </si>
  <si>
    <t>6.64</t>
  </si>
  <si>
    <t>6.65</t>
  </si>
  <si>
    <t>6.66</t>
  </si>
  <si>
    <t>SI00000096640</t>
  </si>
  <si>
    <t>CONECTOR MACHO, PPR, 25 X 1/2  , CLASSE PN 25, INSTALADO EM RAMAL OU SUB-RAMAL DE ÁGUA   FORNECIMENTO E INSTALAÇÃO. AF_08/2022</t>
  </si>
  <si>
    <t>SI00000096641</t>
  </si>
  <si>
    <t>CONECTOR FÊMEA, PPR, 25 X 1/2  , CLASSE PN 25, INSTALADO EM RAMAL OU SUB-RAMAL DE ÁGUA   FORNECIMENTO E INSTALAÇÃO. AF_08/2022</t>
  </si>
  <si>
    <t>0038998</t>
  </si>
  <si>
    <t>CONECTOR / ADAPTADOR F/F, COM INSERTO METALICO, PPR, DN 25 MM X 1/2", PARA AGUA QUENTE E FRIA PREDIAL</t>
  </si>
  <si>
    <t>0038996</t>
  </si>
  <si>
    <t>CONECTOR / ADAPTADOR F/M, COM INSERTO METALICO, PPR, DN 25 MM X 1/2", PARA AGUA QUENTE E FRIA PREDIAL</t>
  </si>
  <si>
    <t>CONECTOR / ADAPTADOR F/M, COM INSERTO METALICO, PPR, DN 20 MM X 1/2", PARA AGUA QUENTE E FRIA PREDIAL</t>
  </si>
  <si>
    <t>SI00000096640 ALTERADO</t>
  </si>
  <si>
    <t>CONECTOR MACHO, PPR, 20 X 1/2  , CLASSE PN 25, INSTALADO EM RAMAL OU SUB-RAMAL DE ÁGUA   FORNECIMENTO E INSTALAÇÃO. AF_08/2022</t>
  </si>
  <si>
    <t>SI00000096641 ALTERADO</t>
  </si>
  <si>
    <t>CONECTOR FÊMEA, PPR, 20 X 1/2  , CLASSE PN 25, INSTALADO EM RAMAL OU SUB-RAMAL DE ÁGUA   FORNECIMENTO E INSTALAÇÃO. AF_08/2022</t>
  </si>
  <si>
    <t>CONECTOR / ADAPTADOR F/F, COM INSERTO METALICO, PPR, DN 20MM X 1/2", PARA AGUA QUENTE E FRIA PREDIAL</t>
  </si>
  <si>
    <t>ORÇAMENTO Nº 010-2023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</si>
</sst>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"/>
    <numFmt numFmtId="171" formatCode="_ * #,##0.00_ ;_ * \-#,##0.00_ ;_ * &quot;-&quot;??_ ;_ @_ "/>
    <numFmt numFmtId="172" formatCode="_([$€]* #,##0.00_);_([$€]* \(#,##0.00\);_([$€]* &quot;-&quot;??_);_(@_)"/>
    <numFmt numFmtId="173" formatCode="_(* #,##0.00_);_(* \(#,##0.00\);_(* \-??_);_(@_)"/>
    <numFmt numFmtId="174" formatCode="_(* #,##0.00_);_(* \(#,##0.00\);_(* &quot;-&quot;??_);_(@_)"/>
    <numFmt numFmtId="175" formatCode="&quot;R$&quot;#,##0.00"/>
    <numFmt numFmtId="176" formatCode="[$-416]mmmm\-yy;@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0.00;[Red]0.00"/>
    <numFmt numFmtId="182" formatCode="0.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name val="Switzerland"/>
      <family val="0"/>
    </font>
    <font>
      <b/>
      <sz val="20"/>
      <name val="Arial"/>
      <family val="2"/>
    </font>
    <font>
      <sz val="12"/>
      <color indexed="10"/>
      <name val="Arial"/>
      <family val="2"/>
    </font>
    <font>
      <sz val="8"/>
      <name val="Calibri"/>
      <family val="2"/>
    </font>
    <font>
      <sz val="20"/>
      <name val="Arial"/>
      <family val="2"/>
    </font>
    <font>
      <sz val="20"/>
      <name val="Switzerland"/>
      <family val="0"/>
    </font>
    <font>
      <sz val="20"/>
      <color indexed="8"/>
      <name val="Arial"/>
      <family val="2"/>
    </font>
    <font>
      <b/>
      <sz val="20"/>
      <name val="Switzerland"/>
      <family val="0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2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/>
      <bottom/>
    </border>
    <border>
      <left/>
      <right/>
      <top style="thin"/>
      <bottom style="double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172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57" fillId="21" borderId="5" applyNumberFormat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3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ill="0" applyBorder="0" applyAlignment="0" applyProtection="0"/>
  </cellStyleXfs>
  <cellXfs count="547">
    <xf numFmtId="0" fontId="0" fillId="0" borderId="0" xfId="0" applyFont="1" applyAlignment="1">
      <alignment/>
    </xf>
    <xf numFmtId="0" fontId="8" fillId="0" borderId="0" xfId="57" applyFont="1" applyAlignment="1">
      <alignment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4" fontId="5" fillId="0" borderId="10" xfId="53" applyNumberFormat="1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center" vertical="center"/>
      <protection/>
    </xf>
    <xf numFmtId="49" fontId="6" fillId="0" borderId="11" xfId="53" applyNumberFormat="1" applyFont="1" applyBorder="1" applyAlignment="1">
      <alignment horizontal="center" vertical="center" wrapText="1"/>
      <protection/>
    </xf>
    <xf numFmtId="4" fontId="6" fillId="0" borderId="0" xfId="58" applyNumberFormat="1" applyFont="1" applyAlignment="1">
      <alignment horizontal="right"/>
      <protection/>
    </xf>
    <xf numFmtId="4" fontId="6" fillId="0" borderId="0" xfId="53" applyNumberFormat="1" applyFont="1" applyAlignment="1">
      <alignment horizontal="right"/>
      <protection/>
    </xf>
    <xf numFmtId="0" fontId="6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center" vertical="center" wrapText="1"/>
      <protection/>
    </xf>
    <xf numFmtId="171" fontId="6" fillId="0" borderId="0" xfId="64" applyFont="1" applyFill="1" applyBorder="1" applyAlignment="1">
      <alignment horizontal="center" vertical="center"/>
    </xf>
    <xf numFmtId="4" fontId="6" fillId="0" borderId="0" xfId="64" applyNumberFormat="1" applyFont="1" applyFill="1" applyBorder="1" applyAlignment="1">
      <alignment horizontal="right"/>
    </xf>
    <xf numFmtId="49" fontId="6" fillId="0" borderId="0" xfId="53" applyNumberFormat="1" applyFont="1" applyAlignment="1">
      <alignment horizontal="center" vertical="center" wrapText="1"/>
      <protection/>
    </xf>
    <xf numFmtId="0" fontId="6" fillId="33" borderId="0" xfId="53" applyFont="1" applyFill="1" applyAlignment="1">
      <alignment horizontal="center" vertical="center"/>
      <protection/>
    </xf>
    <xf numFmtId="49" fontId="6" fillId="33" borderId="0" xfId="53" applyNumberFormat="1" applyFont="1" applyFill="1" applyAlignment="1">
      <alignment horizontal="center" vertical="center" wrapText="1"/>
      <protection/>
    </xf>
    <xf numFmtId="4" fontId="6" fillId="33" borderId="0" xfId="64" applyNumberFormat="1" applyFont="1" applyFill="1" applyBorder="1" applyAlignment="1">
      <alignment horizontal="right"/>
    </xf>
    <xf numFmtId="4" fontId="6" fillId="33" borderId="0" xfId="53" applyNumberFormat="1" applyFont="1" applyFill="1" applyAlignment="1">
      <alignment horizontal="right"/>
      <protection/>
    </xf>
    <xf numFmtId="4" fontId="6" fillId="33" borderId="0" xfId="58" applyNumberFormat="1" applyFont="1" applyFill="1" applyAlignment="1">
      <alignment horizontal="right"/>
      <protection/>
    </xf>
    <xf numFmtId="0" fontId="9" fillId="0" borderId="0" xfId="53" applyFont="1" applyAlignment="1">
      <alignment vertical="center"/>
      <protection/>
    </xf>
    <xf numFmtId="0" fontId="9" fillId="0" borderId="0" xfId="53" applyFont="1" applyAlignment="1">
      <alignment horizontal="center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horizontal="center" vertical="center"/>
      <protection/>
    </xf>
    <xf numFmtId="4" fontId="9" fillId="0" borderId="0" xfId="53" applyNumberFormat="1" applyFont="1">
      <alignment/>
      <protection/>
    </xf>
    <xf numFmtId="0" fontId="6" fillId="0" borderId="12" xfId="53" applyFont="1" applyBorder="1" applyAlignment="1">
      <alignment horizontal="center" vertical="center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vertical="center" wrapText="1"/>
      <protection/>
    </xf>
    <xf numFmtId="0" fontId="6" fillId="0" borderId="14" xfId="53" applyFont="1" applyBorder="1" applyAlignment="1">
      <alignment vertical="center" wrapText="1"/>
      <protection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4" fontId="4" fillId="33" borderId="10" xfId="64" applyNumberFormat="1" applyFont="1" applyFill="1" applyBorder="1" applyAlignment="1">
      <alignment horizontal="right"/>
    </xf>
    <xf numFmtId="4" fontId="4" fillId="33" borderId="10" xfId="53" applyNumberFormat="1" applyFont="1" applyFill="1" applyBorder="1" applyAlignment="1">
      <alignment horizontal="right"/>
      <protection/>
    </xf>
    <xf numFmtId="4" fontId="4" fillId="33" borderId="0" xfId="53" applyNumberFormat="1" applyFont="1" applyFill="1" applyAlignment="1">
      <alignment horizontal="right"/>
      <protection/>
    </xf>
    <xf numFmtId="0" fontId="4" fillId="0" borderId="0" xfId="53" applyFont="1" applyAlignment="1">
      <alignment horizontal="center" vertical="center"/>
      <protection/>
    </xf>
    <xf numFmtId="49" fontId="4" fillId="0" borderId="0" xfId="53" applyNumberFormat="1" applyFont="1" applyAlignment="1">
      <alignment horizontal="center" vertical="center" wrapText="1"/>
      <protection/>
    </xf>
    <xf numFmtId="4" fontId="4" fillId="0" borderId="0" xfId="64" applyNumberFormat="1" applyFont="1" applyFill="1" applyBorder="1" applyAlignment="1">
      <alignment horizontal="right"/>
    </xf>
    <xf numFmtId="4" fontId="4" fillId="0" borderId="0" xfId="53" applyNumberFormat="1" applyFont="1" applyAlignment="1">
      <alignment horizontal="right"/>
      <protection/>
    </xf>
    <xf numFmtId="0" fontId="6" fillId="0" borderId="0" xfId="58" applyFont="1" applyAlignment="1">
      <alignment horizontal="center" vertical="center"/>
      <protection/>
    </xf>
    <xf numFmtId="0" fontId="6" fillId="0" borderId="0" xfId="58" applyFont="1" applyAlignment="1">
      <alignment horizontal="center" vertical="center" wrapText="1"/>
      <protection/>
    </xf>
    <xf numFmtId="4" fontId="6" fillId="0" borderId="0" xfId="58" applyNumberFormat="1" applyFont="1" applyAlignment="1">
      <alignment horizontal="center" vertical="center"/>
      <protection/>
    </xf>
    <xf numFmtId="4" fontId="6" fillId="0" borderId="0" xfId="58" applyNumberFormat="1" applyFont="1">
      <alignment/>
      <protection/>
    </xf>
    <xf numFmtId="0" fontId="6" fillId="33" borderId="12" xfId="58" applyFont="1" applyFill="1" applyBorder="1" applyAlignment="1">
      <alignment horizontal="center" vertical="center"/>
      <protection/>
    </xf>
    <xf numFmtId="0" fontId="6" fillId="33" borderId="13" xfId="58" applyFont="1" applyFill="1" applyBorder="1" applyAlignment="1">
      <alignment horizontal="center" vertical="center" wrapText="1"/>
      <protection/>
    </xf>
    <xf numFmtId="4" fontId="6" fillId="33" borderId="13" xfId="58" applyNumberFormat="1" applyFont="1" applyFill="1" applyBorder="1" applyAlignment="1">
      <alignment horizontal="center" vertical="center"/>
      <protection/>
    </xf>
    <xf numFmtId="4" fontId="6" fillId="33" borderId="13" xfId="58" applyNumberFormat="1" applyFont="1" applyFill="1" applyBorder="1">
      <alignment/>
      <protection/>
    </xf>
    <xf numFmtId="4" fontId="6" fillId="33" borderId="13" xfId="58" applyNumberFormat="1" applyFont="1" applyFill="1" applyBorder="1" applyAlignment="1">
      <alignment horizontal="right"/>
      <protection/>
    </xf>
    <xf numFmtId="4" fontId="6" fillId="33" borderId="14" xfId="53" applyNumberFormat="1" applyFont="1" applyFill="1" applyBorder="1" applyAlignment="1">
      <alignment horizontal="right"/>
      <protection/>
    </xf>
    <xf numFmtId="0" fontId="4" fillId="33" borderId="10" xfId="53" applyFont="1" applyFill="1" applyBorder="1" applyAlignment="1">
      <alignment horizontal="center" vertical="center"/>
      <protection/>
    </xf>
    <xf numFmtId="44" fontId="3" fillId="0" borderId="13" xfId="55" applyNumberFormat="1" applyFont="1" applyBorder="1" applyAlignment="1">
      <alignment horizontal="center" vertical="center" wrapText="1" readingOrder="1"/>
      <protection/>
    </xf>
    <xf numFmtId="44" fontId="3" fillId="0" borderId="14" xfId="55" applyNumberFormat="1" applyFont="1" applyBorder="1" applyAlignment="1">
      <alignment vertical="center" wrapText="1" readingOrder="1"/>
      <protection/>
    </xf>
    <xf numFmtId="0" fontId="11" fillId="0" borderId="0" xfId="56" applyFont="1">
      <alignment/>
      <protection/>
    </xf>
    <xf numFmtId="0" fontId="12" fillId="0" borderId="0" xfId="56" applyFont="1">
      <alignment/>
      <protection/>
    </xf>
    <xf numFmtId="44" fontId="3" fillId="0" borderId="0" xfId="55" applyNumberFormat="1" applyFont="1" applyAlignment="1">
      <alignment horizontal="center" vertical="center" wrapText="1" readingOrder="1"/>
      <protection/>
    </xf>
    <xf numFmtId="44" fontId="3" fillId="0" borderId="15" xfId="55" applyNumberFormat="1" applyFont="1" applyBorder="1" applyAlignment="1">
      <alignment vertical="center" wrapText="1" readingOrder="1"/>
      <protection/>
    </xf>
    <xf numFmtId="4" fontId="11" fillId="0" borderId="0" xfId="55" applyNumberFormat="1" applyFont="1" applyAlignment="1">
      <alignment horizontal="center" vertical="center" wrapText="1" readingOrder="1"/>
      <protection/>
    </xf>
    <xf numFmtId="4" fontId="11" fillId="0" borderId="15" xfId="55" applyNumberFormat="1" applyFont="1" applyBorder="1" applyAlignment="1">
      <alignment vertical="center" wrapText="1" readingOrder="1"/>
      <protection/>
    </xf>
    <xf numFmtId="0" fontId="11" fillId="0" borderId="0" xfId="57" applyFont="1" applyAlignment="1">
      <alignment horizontal="center"/>
      <protection/>
    </xf>
    <xf numFmtId="0" fontId="11" fillId="0" borderId="15" xfId="57" applyFont="1" applyBorder="1">
      <alignment/>
      <protection/>
    </xf>
    <xf numFmtId="4" fontId="65" fillId="0" borderId="0" xfId="55" applyNumberFormat="1" applyFont="1" applyAlignment="1">
      <alignment horizontal="center" vertical="center" wrapText="1"/>
      <protection/>
    </xf>
    <xf numFmtId="4" fontId="65" fillId="0" borderId="15" xfId="55" applyNumberFormat="1" applyFont="1" applyBorder="1" applyAlignment="1">
      <alignment vertical="center" wrapText="1"/>
      <protection/>
    </xf>
    <xf numFmtId="4" fontId="65" fillId="0" borderId="0" xfId="57" applyNumberFormat="1" applyFont="1" applyAlignment="1">
      <alignment horizontal="center" vertical="center" wrapText="1"/>
      <protection/>
    </xf>
    <xf numFmtId="4" fontId="65" fillId="0" borderId="15" xfId="57" applyNumberFormat="1" applyFont="1" applyBorder="1" applyAlignment="1">
      <alignment vertical="center" wrapText="1"/>
      <protection/>
    </xf>
    <xf numFmtId="4" fontId="65" fillId="0" borderId="16" xfId="57" applyNumberFormat="1" applyFont="1" applyBorder="1" applyAlignment="1">
      <alignment vertical="center" wrapText="1"/>
      <protection/>
    </xf>
    <xf numFmtId="4" fontId="65" fillId="0" borderId="17" xfId="57" applyNumberFormat="1" applyFont="1" applyBorder="1" applyAlignment="1">
      <alignment vertical="center" wrapText="1"/>
      <protection/>
    </xf>
    <xf numFmtId="4" fontId="65" fillId="0" borderId="18" xfId="57" applyNumberFormat="1" applyFont="1" applyBorder="1" applyAlignment="1">
      <alignment vertical="center" wrapText="1"/>
      <protection/>
    </xf>
    <xf numFmtId="0" fontId="11" fillId="0" borderId="0" xfId="0" applyFont="1" applyAlignment="1">
      <alignment/>
    </xf>
    <xf numFmtId="0" fontId="66" fillId="0" borderId="0" xfId="0" applyFont="1" applyAlignment="1">
      <alignment/>
    </xf>
    <xf numFmtId="0" fontId="8" fillId="34" borderId="10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left" vertical="center" wrapText="1"/>
    </xf>
    <xf numFmtId="4" fontId="13" fillId="0" borderId="10" xfId="44" applyNumberFormat="1" applyFont="1" applyFill="1" applyBorder="1" applyAlignment="1">
      <alignment horizontal="right"/>
    </xf>
    <xf numFmtId="10" fontId="11" fillId="0" borderId="1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 wrapText="1"/>
    </xf>
    <xf numFmtId="4" fontId="8" fillId="0" borderId="10" xfId="44" applyNumberFormat="1" applyFont="1" applyFill="1" applyBorder="1" applyAlignment="1">
      <alignment horizontal="right"/>
    </xf>
    <xf numFmtId="4" fontId="11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4" fontId="11" fillId="0" borderId="10" xfId="0" applyNumberFormat="1" applyFont="1" applyBorder="1" applyAlignment="1">
      <alignment horizontal="right"/>
    </xf>
    <xf numFmtId="4" fontId="11" fillId="33" borderId="10" xfId="0" applyNumberFormat="1" applyFont="1" applyFill="1" applyBorder="1" applyAlignment="1">
      <alignment horizontal="right" wrapText="1"/>
    </xf>
    <xf numFmtId="10" fontId="11" fillId="33" borderId="10" xfId="0" applyNumberFormat="1" applyFont="1" applyFill="1" applyBorder="1" applyAlignment="1">
      <alignment horizontal="right"/>
    </xf>
    <xf numFmtId="0" fontId="8" fillId="34" borderId="19" xfId="0" applyFont="1" applyFill="1" applyBorder="1" applyAlignment="1">
      <alignment horizontal="right" vertical="center"/>
    </xf>
    <xf numFmtId="0" fontId="8" fillId="34" borderId="20" xfId="0" applyFont="1" applyFill="1" applyBorder="1" applyAlignment="1">
      <alignment horizontal="right" vertical="center"/>
    </xf>
    <xf numFmtId="0" fontId="4" fillId="0" borderId="0" xfId="54" applyFont="1" applyAlignment="1">
      <alignment horizontal="center" vertical="center"/>
      <protection/>
    </xf>
    <xf numFmtId="49" fontId="4" fillId="0" borderId="0" xfId="54" applyNumberFormat="1" applyFont="1" applyAlignment="1">
      <alignment horizontal="center" vertical="center" wrapText="1"/>
      <protection/>
    </xf>
    <xf numFmtId="4" fontId="4" fillId="0" borderId="0" xfId="54" applyNumberFormat="1" applyFont="1" applyAlignment="1">
      <alignment horizontal="right"/>
      <protection/>
    </xf>
    <xf numFmtId="0" fontId="6" fillId="0" borderId="0" xfId="54" applyFont="1" applyAlignment="1">
      <alignment horizontal="center" vertical="center"/>
      <protection/>
    </xf>
    <xf numFmtId="49" fontId="6" fillId="0" borderId="0" xfId="54" applyNumberFormat="1" applyFont="1" applyAlignment="1">
      <alignment horizontal="center" vertical="center" wrapText="1"/>
      <protection/>
    </xf>
    <xf numFmtId="4" fontId="6" fillId="0" borderId="0" xfId="54" applyNumberFormat="1" applyFont="1" applyAlignment="1">
      <alignment horizontal="right"/>
      <protection/>
    </xf>
    <xf numFmtId="0" fontId="6" fillId="0" borderId="10" xfId="54" applyFont="1" applyBorder="1" applyAlignment="1">
      <alignment horizontal="center" vertical="center"/>
      <protection/>
    </xf>
    <xf numFmtId="49" fontId="6" fillId="0" borderId="10" xfId="54" applyNumberFormat="1" applyFont="1" applyBorder="1" applyAlignment="1">
      <alignment horizontal="center" vertical="center" wrapText="1"/>
      <protection/>
    </xf>
    <xf numFmtId="4" fontId="6" fillId="0" borderId="10" xfId="64" applyNumberFormat="1" applyFont="1" applyFill="1" applyBorder="1" applyAlignment="1">
      <alignment horizontal="right"/>
    </xf>
    <xf numFmtId="4" fontId="6" fillId="0" borderId="10" xfId="54" applyNumberFormat="1" applyFont="1" applyBorder="1" applyAlignment="1">
      <alignment horizontal="right"/>
      <protection/>
    </xf>
    <xf numFmtId="0" fontId="4" fillId="0" borderId="10" xfId="54" applyFont="1" applyBorder="1" applyAlignment="1">
      <alignment horizontal="center" vertical="center"/>
      <protection/>
    </xf>
    <xf numFmtId="49" fontId="4" fillId="0" borderId="10" xfId="54" applyNumberFormat="1" applyFont="1" applyBorder="1" applyAlignment="1">
      <alignment horizontal="center" vertical="center" wrapText="1"/>
      <protection/>
    </xf>
    <xf numFmtId="4" fontId="4" fillId="0" borderId="10" xfId="64" applyNumberFormat="1" applyFont="1" applyFill="1" applyBorder="1" applyAlignment="1">
      <alignment horizontal="right"/>
    </xf>
    <xf numFmtId="4" fontId="4" fillId="0" borderId="10" xfId="54" applyNumberFormat="1" applyFont="1" applyBorder="1" applyAlignment="1">
      <alignment horizontal="right"/>
      <protection/>
    </xf>
    <xf numFmtId="0" fontId="6" fillId="0" borderId="0" xfId="54" applyFont="1" applyAlignment="1">
      <alignment horizontal="right" vertical="center"/>
      <protection/>
    </xf>
    <xf numFmtId="0" fontId="4" fillId="33" borderId="10" xfId="54" applyFont="1" applyFill="1" applyBorder="1" applyAlignment="1">
      <alignment horizontal="center" vertical="center"/>
      <protection/>
    </xf>
    <xf numFmtId="49" fontId="4" fillId="33" borderId="10" xfId="54" applyNumberFormat="1" applyFont="1" applyFill="1" applyBorder="1" applyAlignment="1">
      <alignment horizontal="center" vertical="center" wrapText="1"/>
      <protection/>
    </xf>
    <xf numFmtId="4" fontId="4" fillId="33" borderId="10" xfId="54" applyNumberFormat="1" applyFont="1" applyFill="1" applyBorder="1" applyAlignment="1">
      <alignment horizontal="right"/>
      <protection/>
    </xf>
    <xf numFmtId="0" fontId="4" fillId="35" borderId="11" xfId="53" applyFont="1" applyFill="1" applyBorder="1" applyAlignment="1">
      <alignment horizontal="center" vertical="center"/>
      <protection/>
    </xf>
    <xf numFmtId="49" fontId="6" fillId="35" borderId="11" xfId="53" applyNumberFormat="1" applyFont="1" applyFill="1" applyBorder="1" applyAlignment="1">
      <alignment horizontal="center" vertical="center" wrapText="1"/>
      <protection/>
    </xf>
    <xf numFmtId="4" fontId="6" fillId="35" borderId="10" xfId="58" applyNumberFormat="1" applyFont="1" applyFill="1" applyBorder="1" applyAlignment="1">
      <alignment horizontal="right"/>
      <protection/>
    </xf>
    <xf numFmtId="4" fontId="6" fillId="35" borderId="10" xfId="53" applyNumberFormat="1" applyFont="1" applyFill="1" applyBorder="1" applyAlignment="1">
      <alignment horizontal="right"/>
      <protection/>
    </xf>
    <xf numFmtId="0" fontId="6" fillId="35" borderId="10" xfId="53" applyFont="1" applyFill="1" applyBorder="1" applyAlignment="1">
      <alignment horizontal="center" vertical="center"/>
      <protection/>
    </xf>
    <xf numFmtId="0" fontId="6" fillId="35" borderId="10" xfId="53" applyFont="1" applyFill="1" applyBorder="1" applyAlignment="1">
      <alignment horizontal="center" vertical="center" wrapText="1"/>
      <protection/>
    </xf>
    <xf numFmtId="171" fontId="6" fillId="35" borderId="10" xfId="64" applyFont="1" applyFill="1" applyBorder="1" applyAlignment="1">
      <alignment horizontal="center" vertical="center"/>
    </xf>
    <xf numFmtId="0" fontId="6" fillId="35" borderId="11" xfId="58" applyFont="1" applyFill="1" applyBorder="1" applyAlignment="1">
      <alignment horizontal="center" vertical="center"/>
      <protection/>
    </xf>
    <xf numFmtId="0" fontId="6" fillId="35" borderId="11" xfId="58" applyFont="1" applyFill="1" applyBorder="1" applyAlignment="1">
      <alignment horizontal="center" vertical="center" wrapText="1"/>
      <protection/>
    </xf>
    <xf numFmtId="4" fontId="6" fillId="35" borderId="11" xfId="58" applyNumberFormat="1" applyFont="1" applyFill="1" applyBorder="1" applyAlignment="1">
      <alignment horizontal="right"/>
      <protection/>
    </xf>
    <xf numFmtId="4" fontId="6" fillId="35" borderId="11" xfId="53" applyNumberFormat="1" applyFont="1" applyFill="1" applyBorder="1" applyAlignment="1">
      <alignment horizontal="right"/>
      <protection/>
    </xf>
    <xf numFmtId="49" fontId="6" fillId="35" borderId="10" xfId="53" applyNumberFormat="1" applyFont="1" applyFill="1" applyBorder="1" applyAlignment="1">
      <alignment horizontal="center" vertical="center" wrapText="1"/>
      <protection/>
    </xf>
    <xf numFmtId="4" fontId="6" fillId="35" borderId="10" xfId="64" applyNumberFormat="1" applyFont="1" applyFill="1" applyBorder="1" applyAlignment="1">
      <alignment horizontal="right"/>
    </xf>
    <xf numFmtId="0" fontId="4" fillId="35" borderId="11" xfId="53" applyFont="1" applyFill="1" applyBorder="1" applyAlignment="1">
      <alignment horizontal="left" vertical="top" wrapText="1"/>
      <protection/>
    </xf>
    <xf numFmtId="4" fontId="6" fillId="35" borderId="11" xfId="58" applyNumberFormat="1" applyFont="1" applyFill="1" applyBorder="1" applyAlignment="1">
      <alignment vertical="center"/>
      <protection/>
    </xf>
    <xf numFmtId="0" fontId="6" fillId="35" borderId="21" xfId="53" applyFont="1" applyFill="1" applyBorder="1" applyAlignment="1">
      <alignment horizontal="center" vertical="center"/>
      <protection/>
    </xf>
    <xf numFmtId="0" fontId="6" fillId="35" borderId="21" xfId="53" applyFont="1" applyFill="1" applyBorder="1" applyAlignment="1">
      <alignment horizontal="center" vertical="center" wrapText="1"/>
      <protection/>
    </xf>
    <xf numFmtId="171" fontId="6" fillId="35" borderId="21" xfId="64" applyFont="1" applyFill="1" applyBorder="1" applyAlignment="1">
      <alignment horizontal="center" vertical="center"/>
    </xf>
    <xf numFmtId="4" fontId="6" fillId="35" borderId="21" xfId="53" applyNumberFormat="1" applyFont="1" applyFill="1" applyBorder="1" applyAlignment="1">
      <alignment horizontal="right"/>
      <protection/>
    </xf>
    <xf numFmtId="4" fontId="6" fillId="35" borderId="21" xfId="58" applyNumberFormat="1" applyFont="1" applyFill="1" applyBorder="1" applyAlignment="1">
      <alignment horizontal="right"/>
      <protection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vertical="center" wrapText="1"/>
      <protection/>
    </xf>
    <xf numFmtId="0" fontId="6" fillId="0" borderId="22" xfId="53" applyFont="1" applyBorder="1" applyAlignment="1">
      <alignment horizontal="center" vertical="center"/>
      <protection/>
    </xf>
    <xf numFmtId="0" fontId="6" fillId="0" borderId="15" xfId="53" applyFont="1" applyBorder="1" applyAlignment="1">
      <alignment vertical="center" wrapText="1"/>
      <protection/>
    </xf>
    <xf numFmtId="0" fontId="6" fillId="0" borderId="16" xfId="53" applyFont="1" applyBorder="1" applyAlignment="1">
      <alignment horizontal="center" vertical="center"/>
      <protection/>
    </xf>
    <xf numFmtId="0" fontId="6" fillId="0" borderId="17" xfId="53" applyFont="1" applyBorder="1" applyAlignment="1">
      <alignment horizontal="center" vertical="center" wrapText="1"/>
      <protection/>
    </xf>
    <xf numFmtId="0" fontId="6" fillId="0" borderId="17" xfId="53" applyFont="1" applyBorder="1" applyAlignment="1">
      <alignment vertical="center" wrapText="1"/>
      <protection/>
    </xf>
    <xf numFmtId="0" fontId="6" fillId="0" borderId="18" xfId="53" applyFont="1" applyBorder="1" applyAlignment="1">
      <alignment vertical="center" wrapText="1"/>
      <protection/>
    </xf>
    <xf numFmtId="49" fontId="6" fillId="35" borderId="21" xfId="53" applyNumberFormat="1" applyFont="1" applyFill="1" applyBorder="1" applyAlignment="1">
      <alignment horizontal="center" vertical="center" wrapText="1"/>
      <protection/>
    </xf>
    <xf numFmtId="4" fontId="6" fillId="35" borderId="21" xfId="64" applyNumberFormat="1" applyFont="1" applyFill="1" applyBorder="1" applyAlignment="1">
      <alignment horizontal="right"/>
    </xf>
    <xf numFmtId="4" fontId="6" fillId="33" borderId="0" xfId="54" applyNumberFormat="1" applyFont="1" applyFill="1" applyAlignment="1">
      <alignment horizontal="center" vertical="center"/>
      <protection/>
    </xf>
    <xf numFmtId="49" fontId="67" fillId="0" borderId="12" xfId="57" applyNumberFormat="1" applyFont="1" applyBorder="1" applyAlignment="1">
      <alignment horizontal="center"/>
      <protection/>
    </xf>
    <xf numFmtId="49" fontId="67" fillId="0" borderId="13" xfId="55" applyNumberFormat="1" applyFont="1" applyBorder="1" applyAlignment="1">
      <alignment horizontal="center"/>
      <protection/>
    </xf>
    <xf numFmtId="4" fontId="67" fillId="0" borderId="13" xfId="0" applyNumberFormat="1" applyFont="1" applyBorder="1" applyAlignment="1">
      <alignment horizontal="center"/>
    </xf>
    <xf numFmtId="4" fontId="67" fillId="0" borderId="13" xfId="57" applyNumberFormat="1" applyFont="1" applyBorder="1" applyAlignment="1">
      <alignment horizontal="center"/>
      <protection/>
    </xf>
    <xf numFmtId="49" fontId="67" fillId="0" borderId="22" xfId="57" applyNumberFormat="1" applyFont="1" applyBorder="1" applyAlignment="1">
      <alignment horizontal="center"/>
      <protection/>
    </xf>
    <xf numFmtId="0" fontId="2" fillId="0" borderId="0" xfId="50">
      <alignment/>
      <protection/>
    </xf>
    <xf numFmtId="0" fontId="19" fillId="0" borderId="0" xfId="50" applyFont="1">
      <alignment/>
      <protection/>
    </xf>
    <xf numFmtId="4" fontId="20" fillId="0" borderId="0" xfId="50" applyNumberFormat="1" applyFont="1" applyAlignment="1" applyProtection="1">
      <alignment horizontal="center"/>
      <protection locked="0"/>
    </xf>
    <xf numFmtId="0" fontId="22" fillId="0" borderId="0" xfId="50" applyFont="1">
      <alignment/>
      <protection/>
    </xf>
    <xf numFmtId="4" fontId="20" fillId="0" borderId="0" xfId="50" applyNumberFormat="1" applyFont="1" applyProtection="1">
      <alignment/>
      <protection locked="0"/>
    </xf>
    <xf numFmtId="4" fontId="2" fillId="0" borderId="0" xfId="50" applyNumberFormat="1">
      <alignment/>
      <protection/>
    </xf>
    <xf numFmtId="4" fontId="2" fillId="0" borderId="0" xfId="50" applyNumberFormat="1" applyAlignment="1">
      <alignment horizontal="center"/>
      <protection/>
    </xf>
    <xf numFmtId="4" fontId="23" fillId="0" borderId="0" xfId="50" applyNumberFormat="1" applyFont="1" applyAlignment="1" applyProtection="1">
      <alignment horizontal="center"/>
      <protection locked="0"/>
    </xf>
    <xf numFmtId="4" fontId="20" fillId="0" borderId="0" xfId="50" applyNumberFormat="1" applyFont="1" applyAlignment="1">
      <alignment horizontal="center"/>
      <protection/>
    </xf>
    <xf numFmtId="4" fontId="23" fillId="0" borderId="0" xfId="50" applyNumberFormat="1" applyFont="1">
      <alignment/>
      <protection/>
    </xf>
    <xf numFmtId="0" fontId="20" fillId="0" borderId="0" xfId="50" applyFont="1">
      <alignment/>
      <protection/>
    </xf>
    <xf numFmtId="4" fontId="23" fillId="0" borderId="0" xfId="50" applyNumberFormat="1" applyFont="1" applyProtection="1">
      <alignment/>
      <protection locked="0"/>
    </xf>
    <xf numFmtId="0" fontId="2" fillId="0" borderId="17" xfId="50" applyBorder="1">
      <alignment/>
      <protection/>
    </xf>
    <xf numFmtId="0" fontId="2" fillId="0" borderId="0" xfId="50" applyAlignment="1">
      <alignment horizontal="center"/>
      <protection/>
    </xf>
    <xf numFmtId="0" fontId="20" fillId="0" borderId="0" xfId="50" applyFont="1" applyAlignment="1" applyProtection="1">
      <alignment horizontal="center"/>
      <protection locked="0"/>
    </xf>
    <xf numFmtId="0" fontId="19" fillId="0" borderId="0" xfId="50" applyFont="1" applyAlignment="1">
      <alignment horizontal="center"/>
      <protection/>
    </xf>
    <xf numFmtId="2" fontId="19" fillId="0" borderId="0" xfId="50" applyNumberFormat="1" applyFont="1" applyAlignment="1">
      <alignment horizontal="center"/>
      <protection/>
    </xf>
    <xf numFmtId="0" fontId="19" fillId="0" borderId="17" xfId="50" applyFont="1" applyBorder="1">
      <alignment/>
      <protection/>
    </xf>
    <xf numFmtId="1" fontId="2" fillId="0" borderId="0" xfId="50" applyNumberFormat="1" applyAlignment="1">
      <alignment horizontal="center"/>
      <protection/>
    </xf>
    <xf numFmtId="2" fontId="68" fillId="0" borderId="0" xfId="50" applyNumberFormat="1" applyFont="1">
      <alignment/>
      <protection/>
    </xf>
    <xf numFmtId="0" fontId="2" fillId="0" borderId="0" xfId="50" applyAlignment="1">
      <alignment horizontal="left"/>
      <protection/>
    </xf>
    <xf numFmtId="2" fontId="20" fillId="0" borderId="0" xfId="50" applyNumberFormat="1" applyFont="1">
      <alignment/>
      <protection/>
    </xf>
    <xf numFmtId="4" fontId="20" fillId="0" borderId="0" xfId="50" applyNumberFormat="1" applyFont="1">
      <alignment/>
      <protection/>
    </xf>
    <xf numFmtId="4" fontId="2" fillId="0" borderId="17" xfId="50" applyNumberFormat="1" applyBorder="1">
      <alignment/>
      <protection/>
    </xf>
    <xf numFmtId="0" fontId="26" fillId="0" borderId="23" xfId="50" applyFont="1" applyBorder="1">
      <alignment/>
      <protection/>
    </xf>
    <xf numFmtId="0" fontId="69" fillId="0" borderId="23" xfId="50" applyFont="1" applyBorder="1">
      <alignment/>
      <protection/>
    </xf>
    <xf numFmtId="0" fontId="69" fillId="0" borderId="0" xfId="50" applyFont="1">
      <alignment/>
      <protection/>
    </xf>
    <xf numFmtId="0" fontId="68" fillId="0" borderId="0" xfId="50" applyFont="1">
      <alignment/>
      <protection/>
    </xf>
    <xf numFmtId="4" fontId="22" fillId="0" borderId="0" xfId="50" applyNumberFormat="1" applyFont="1" applyAlignment="1">
      <alignment horizontal="center"/>
      <protection/>
    </xf>
    <xf numFmtId="182" fontId="2" fillId="0" borderId="0" xfId="50" applyNumberFormat="1" applyAlignment="1">
      <alignment horizontal="center"/>
      <protection/>
    </xf>
    <xf numFmtId="0" fontId="70" fillId="35" borderId="10" xfId="0" applyFont="1" applyFill="1" applyBorder="1" applyAlignment="1">
      <alignment horizontal="center" vertical="top"/>
    </xf>
    <xf numFmtId="0" fontId="71" fillId="35" borderId="10" xfId="0" applyFont="1" applyFill="1" applyBorder="1" applyAlignment="1">
      <alignment horizontal="center" vertical="top"/>
    </xf>
    <xf numFmtId="0" fontId="71" fillId="35" borderId="10" xfId="0" applyFont="1" applyFill="1" applyBorder="1" applyAlignment="1">
      <alignment horizontal="center" vertical="center"/>
    </xf>
    <xf numFmtId="181" fontId="71" fillId="35" borderId="10" xfId="0" applyNumberFormat="1" applyFont="1" applyFill="1" applyBorder="1" applyAlignment="1">
      <alignment horizontal="center" vertical="center"/>
    </xf>
    <xf numFmtId="0" fontId="71" fillId="35" borderId="10" xfId="0" applyFont="1" applyFill="1" applyBorder="1" applyAlignment="1">
      <alignment horizontal="center" vertical="justify"/>
    </xf>
    <xf numFmtId="0" fontId="72" fillId="35" borderId="10" xfId="0" applyFont="1" applyFill="1" applyBorder="1" applyAlignment="1">
      <alignment horizontal="center" vertical="center"/>
    </xf>
    <xf numFmtId="0" fontId="72" fillId="35" borderId="10" xfId="0" applyFont="1" applyFill="1" applyBorder="1" applyAlignment="1">
      <alignment horizontal="justify" vertical="justify" wrapText="1"/>
    </xf>
    <xf numFmtId="4" fontId="6" fillId="35" borderId="10" xfId="54" applyNumberFormat="1" applyFont="1" applyFill="1" applyBorder="1" applyAlignment="1">
      <alignment horizontal="center" vertical="center"/>
      <protection/>
    </xf>
    <xf numFmtId="0" fontId="6" fillId="35" borderId="10" xfId="0" applyFont="1" applyFill="1" applyBorder="1" applyAlignment="1">
      <alignment horizontal="center" vertical="center"/>
    </xf>
    <xf numFmtId="0" fontId="6" fillId="35" borderId="10" xfId="58" applyFont="1" applyFill="1" applyBorder="1" applyAlignment="1">
      <alignment horizontal="center" vertical="center"/>
      <protection/>
    </xf>
    <xf numFmtId="0" fontId="6" fillId="35" borderId="10" xfId="58" applyFont="1" applyFill="1" applyBorder="1" applyAlignment="1">
      <alignment horizontal="center" vertical="center" wrapText="1"/>
      <protection/>
    </xf>
    <xf numFmtId="4" fontId="6" fillId="35" borderId="10" xfId="58" applyNumberFormat="1" applyFont="1" applyFill="1" applyBorder="1" applyAlignment="1">
      <alignment horizontal="center" vertical="center"/>
      <protection/>
    </xf>
    <xf numFmtId="4" fontId="6" fillId="35" borderId="10" xfId="58" applyNumberFormat="1" applyFont="1" applyFill="1" applyBorder="1">
      <alignment/>
      <protection/>
    </xf>
    <xf numFmtId="0" fontId="4" fillId="35" borderId="11" xfId="53" applyFont="1" applyFill="1" applyBorder="1" applyAlignment="1">
      <alignment horizontal="center" vertical="top" wrapText="1"/>
      <protection/>
    </xf>
    <xf numFmtId="0" fontId="4" fillId="35" borderId="11" xfId="53" applyFont="1" applyFill="1" applyBorder="1" applyAlignment="1">
      <alignment vertical="top" wrapText="1"/>
      <protection/>
    </xf>
    <xf numFmtId="0" fontId="4" fillId="35" borderId="10" xfId="53" applyFont="1" applyFill="1" applyBorder="1" applyAlignment="1">
      <alignment vertical="top" wrapText="1"/>
      <protection/>
    </xf>
    <xf numFmtId="49" fontId="67" fillId="33" borderId="12" xfId="57" applyNumberFormat="1" applyFont="1" applyFill="1" applyBorder="1" applyAlignment="1">
      <alignment horizontal="center"/>
      <protection/>
    </xf>
    <xf numFmtId="49" fontId="67" fillId="33" borderId="13" xfId="55" applyNumberFormat="1" applyFont="1" applyFill="1" applyBorder="1" applyAlignment="1">
      <alignment horizontal="center"/>
      <protection/>
    </xf>
    <xf numFmtId="4" fontId="67" fillId="33" borderId="12" xfId="57" applyNumberFormat="1" applyFont="1" applyFill="1" applyBorder="1" applyAlignment="1">
      <alignment horizontal="left"/>
      <protection/>
    </xf>
    <xf numFmtId="4" fontId="67" fillId="33" borderId="13" xfId="57" applyNumberFormat="1" applyFont="1" applyFill="1" applyBorder="1" applyAlignment="1">
      <alignment horizontal="left"/>
      <protection/>
    </xf>
    <xf numFmtId="49" fontId="67" fillId="33" borderId="22" xfId="57" applyNumberFormat="1" applyFont="1" applyFill="1" applyBorder="1" applyAlignment="1">
      <alignment horizontal="center"/>
      <protection/>
    </xf>
    <xf numFmtId="49" fontId="67" fillId="33" borderId="0" xfId="55" applyNumberFormat="1" applyFont="1" applyFill="1" applyAlignment="1">
      <alignment horizontal="center"/>
      <protection/>
    </xf>
    <xf numFmtId="4" fontId="67" fillId="33" borderId="22" xfId="55" applyNumberFormat="1" applyFont="1" applyFill="1" applyBorder="1" applyAlignment="1">
      <alignment horizontal="left"/>
      <protection/>
    </xf>
    <xf numFmtId="4" fontId="67" fillId="33" borderId="0" xfId="55" applyNumberFormat="1" applyFont="1" applyFill="1" applyAlignment="1">
      <alignment horizontal="left"/>
      <protection/>
    </xf>
    <xf numFmtId="49" fontId="67" fillId="33" borderId="16" xfId="57" applyNumberFormat="1" applyFont="1" applyFill="1" applyBorder="1" applyAlignment="1">
      <alignment horizontal="center"/>
      <protection/>
    </xf>
    <xf numFmtId="49" fontId="67" fillId="33" borderId="17" xfId="57" applyNumberFormat="1" applyFont="1" applyFill="1" applyBorder="1" applyAlignment="1">
      <alignment horizontal="center"/>
      <protection/>
    </xf>
    <xf numFmtId="4" fontId="72" fillId="33" borderId="17" xfId="57" applyNumberFormat="1" applyFont="1" applyFill="1" applyBorder="1" applyAlignment="1">
      <alignment vertical="center" readingOrder="1"/>
      <protection/>
    </xf>
    <xf numFmtId="0" fontId="6" fillId="33" borderId="18" xfId="57" applyFont="1" applyFill="1" applyBorder="1">
      <alignment/>
      <protection/>
    </xf>
    <xf numFmtId="0" fontId="6" fillId="0" borderId="0" xfId="53" applyFont="1">
      <alignment/>
      <protection/>
    </xf>
    <xf numFmtId="0" fontId="6" fillId="35" borderId="10" xfId="58" applyFont="1" applyFill="1" applyBorder="1" applyAlignment="1">
      <alignment horizontal="justify" vertical="top" wrapText="1"/>
      <protection/>
    </xf>
    <xf numFmtId="0" fontId="6" fillId="8" borderId="0" xfId="53" applyFont="1" applyFill="1">
      <alignment/>
      <protection/>
    </xf>
    <xf numFmtId="0" fontId="6" fillId="0" borderId="0" xfId="58" applyFont="1" applyAlignment="1">
      <alignment horizontal="justify" vertical="top" wrapText="1"/>
      <protection/>
    </xf>
    <xf numFmtId="0" fontId="6" fillId="35" borderId="10" xfId="53" applyFont="1" applyFill="1" applyBorder="1" applyAlignment="1">
      <alignment horizontal="justify" vertical="justify" wrapText="1"/>
      <protection/>
    </xf>
    <xf numFmtId="0" fontId="6" fillId="33" borderId="13" xfId="58" applyFont="1" applyFill="1" applyBorder="1" applyAlignment="1">
      <alignment horizontal="justify" vertical="top" wrapText="1"/>
      <protection/>
    </xf>
    <xf numFmtId="0" fontId="6" fillId="0" borderId="0" xfId="53" applyFont="1" applyAlignment="1">
      <alignment horizontal="justify" vertical="justify" wrapText="1"/>
      <protection/>
    </xf>
    <xf numFmtId="0" fontId="6" fillId="0" borderId="0" xfId="64" applyNumberFormat="1" applyFont="1" applyFill="1" applyBorder="1" applyAlignment="1">
      <alignment horizontal="justify" vertical="justify" wrapText="1"/>
    </xf>
    <xf numFmtId="0" fontId="6" fillId="33" borderId="0" xfId="64" applyNumberFormat="1" applyFont="1" applyFill="1" applyBorder="1" applyAlignment="1">
      <alignment horizontal="justify" vertical="justify" wrapText="1"/>
    </xf>
    <xf numFmtId="0" fontId="4" fillId="33" borderId="10" xfId="64" applyNumberFormat="1" applyFont="1" applyFill="1" applyBorder="1" applyAlignment="1">
      <alignment horizontal="justify" vertical="justify" wrapText="1"/>
    </xf>
    <xf numFmtId="0" fontId="4" fillId="0" borderId="0" xfId="53" applyFont="1">
      <alignment/>
      <protection/>
    </xf>
    <xf numFmtId="0" fontId="6" fillId="35" borderId="11" xfId="58" applyFont="1" applyFill="1" applyBorder="1" applyAlignment="1">
      <alignment horizontal="justify" vertical="justify" wrapText="1"/>
      <protection/>
    </xf>
    <xf numFmtId="0" fontId="6" fillId="0" borderId="13" xfId="53" applyFont="1" applyBorder="1" applyAlignment="1">
      <alignment horizontal="left" vertical="justify" wrapText="1"/>
      <protection/>
    </xf>
    <xf numFmtId="0" fontId="6" fillId="0" borderId="0" xfId="53" applyFont="1" applyBorder="1" applyAlignment="1">
      <alignment horizontal="left" vertical="justify" wrapText="1"/>
      <protection/>
    </xf>
    <xf numFmtId="0" fontId="6" fillId="0" borderId="17" xfId="53" applyFont="1" applyBorder="1" applyAlignment="1">
      <alignment horizontal="left" vertical="justify" wrapText="1"/>
      <protection/>
    </xf>
    <xf numFmtId="0" fontId="6" fillId="35" borderId="21" xfId="58" applyFont="1" applyFill="1" applyBorder="1" applyAlignment="1">
      <alignment horizontal="justify" vertical="justify" wrapText="1"/>
      <protection/>
    </xf>
    <xf numFmtId="0" fontId="6" fillId="35" borderId="21" xfId="64" applyNumberFormat="1" applyFont="1" applyFill="1" applyBorder="1" applyAlignment="1">
      <alignment horizontal="justify" vertical="justify" wrapText="1"/>
    </xf>
    <xf numFmtId="0" fontId="6" fillId="35" borderId="10" xfId="64" applyNumberFormat="1" applyFont="1" applyFill="1" applyBorder="1" applyAlignment="1">
      <alignment horizontal="justify" vertical="justify" wrapText="1"/>
    </xf>
    <xf numFmtId="0" fontId="71" fillId="33" borderId="22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justify" vertical="justify" wrapText="1"/>
    </xf>
    <xf numFmtId="181" fontId="71" fillId="33" borderId="0" xfId="0" applyNumberFormat="1" applyFont="1" applyFill="1" applyAlignment="1">
      <alignment horizontal="center" vertical="center"/>
    </xf>
    <xf numFmtId="0" fontId="71" fillId="0" borderId="0" xfId="0" applyFont="1" applyAlignment="1">
      <alignment horizontal="center" vertical="justify"/>
    </xf>
    <xf numFmtId="0" fontId="71" fillId="33" borderId="0" xfId="0" applyFont="1" applyFill="1" applyAlignment="1">
      <alignment horizontal="center" vertical="top"/>
    </xf>
    <xf numFmtId="181" fontId="71" fillId="33" borderId="0" xfId="0" applyNumberFormat="1" applyFont="1" applyFill="1" applyAlignment="1">
      <alignment horizontal="center" vertical="justify"/>
    </xf>
    <xf numFmtId="0" fontId="71" fillId="33" borderId="0" xfId="0" applyFont="1" applyFill="1" applyAlignment="1">
      <alignment horizontal="justify" vertical="justify" wrapText="1"/>
    </xf>
    <xf numFmtId="0" fontId="71" fillId="33" borderId="0" xfId="0" applyFont="1" applyFill="1" applyAlignment="1">
      <alignment horizontal="center" vertical="center"/>
    </xf>
    <xf numFmtId="0" fontId="6" fillId="0" borderId="0" xfId="54" applyFont="1">
      <alignment/>
      <protection/>
    </xf>
    <xf numFmtId="0" fontId="4" fillId="0" borderId="0" xfId="64" applyNumberFormat="1" applyFont="1" applyFill="1" applyBorder="1" applyAlignment="1">
      <alignment horizontal="justify" vertical="justify" wrapText="1"/>
    </xf>
    <xf numFmtId="0" fontId="4" fillId="0" borderId="0" xfId="54" applyFont="1">
      <alignment/>
      <protection/>
    </xf>
    <xf numFmtId="0" fontId="6" fillId="0" borderId="10" xfId="64" applyNumberFormat="1" applyFont="1" applyFill="1" applyBorder="1" applyAlignment="1">
      <alignment horizontal="justify" vertical="justify" wrapText="1"/>
    </xf>
    <xf numFmtId="0" fontId="4" fillId="0" borderId="10" xfId="64" applyNumberFormat="1" applyFont="1" applyFill="1" applyBorder="1" applyAlignment="1">
      <alignment horizontal="justify" vertical="justify" wrapText="1"/>
    </xf>
    <xf numFmtId="0" fontId="6" fillId="33" borderId="10" xfId="64" applyNumberFormat="1" applyFont="1" applyFill="1" applyBorder="1" applyAlignment="1">
      <alignment horizontal="justify" vertical="justify" wrapText="1"/>
    </xf>
    <xf numFmtId="0" fontId="4" fillId="33" borderId="0" xfId="54" applyFont="1" applyFill="1">
      <alignment/>
      <protection/>
    </xf>
    <xf numFmtId="0" fontId="6" fillId="33" borderId="0" xfId="53" applyFont="1" applyFill="1">
      <alignment/>
      <protection/>
    </xf>
    <xf numFmtId="0" fontId="73" fillId="0" borderId="0" xfId="53" applyFont="1">
      <alignment/>
      <protection/>
    </xf>
    <xf numFmtId="0" fontId="6" fillId="0" borderId="0" xfId="53" applyFont="1" applyAlignment="1">
      <alignment vertical="center"/>
      <protection/>
    </xf>
    <xf numFmtId="0" fontId="18" fillId="0" borderId="0" xfId="53" applyFont="1" applyAlignment="1">
      <alignment horizontal="center" vertical="center" wrapText="1"/>
      <protection/>
    </xf>
    <xf numFmtId="0" fontId="18" fillId="0" borderId="0" xfId="53" applyFont="1">
      <alignment/>
      <protection/>
    </xf>
    <xf numFmtId="0" fontId="18" fillId="0" borderId="0" xfId="53" applyFont="1" applyAlignment="1">
      <alignment horizontal="center" vertical="center"/>
      <protection/>
    </xf>
    <xf numFmtId="4" fontId="18" fillId="0" borderId="0" xfId="53" applyNumberFormat="1" applyFont="1">
      <alignment/>
      <protection/>
    </xf>
    <xf numFmtId="0" fontId="6" fillId="0" borderId="13" xfId="53" applyFont="1" applyBorder="1" applyAlignment="1">
      <alignment horizontal="center"/>
      <protection/>
    </xf>
    <xf numFmtId="0" fontId="6" fillId="0" borderId="14" xfId="53" applyFont="1" applyBorder="1">
      <alignment/>
      <protection/>
    </xf>
    <xf numFmtId="0" fontId="6" fillId="0" borderId="0" xfId="53" applyFont="1" applyAlignment="1">
      <alignment horizontal="center"/>
      <protection/>
    </xf>
    <xf numFmtId="0" fontId="6" fillId="0" borderId="15" xfId="53" applyFont="1" applyBorder="1">
      <alignment/>
      <protection/>
    </xf>
    <xf numFmtId="0" fontId="6" fillId="0" borderId="17" xfId="53" applyFont="1" applyBorder="1">
      <alignment/>
      <protection/>
    </xf>
    <xf numFmtId="0" fontId="72" fillId="35" borderId="10" xfId="0" applyFont="1" applyFill="1" applyBorder="1" applyAlignment="1">
      <alignment horizontal="center" vertical="top"/>
    </xf>
    <xf numFmtId="0" fontId="72" fillId="0" borderId="0" xfId="0" applyFont="1" applyAlignment="1">
      <alignment horizontal="left" vertical="top"/>
    </xf>
    <xf numFmtId="0" fontId="72" fillId="0" borderId="0" xfId="0" applyFont="1" applyAlignment="1">
      <alignment/>
    </xf>
    <xf numFmtId="0" fontId="72" fillId="0" borderId="0" xfId="0" applyFont="1" applyAlignment="1">
      <alignment horizontal="center" vertical="top"/>
    </xf>
    <xf numFmtId="0" fontId="72" fillId="0" borderId="15" xfId="0" applyFont="1" applyBorder="1" applyAlignment="1">
      <alignment horizontal="center" vertical="top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justify" vertical="justify" wrapText="1"/>
    </xf>
    <xf numFmtId="0" fontId="6" fillId="0" borderId="0" xfId="0" applyFont="1" applyAlignment="1">
      <alignment/>
    </xf>
    <xf numFmtId="0" fontId="6" fillId="0" borderId="22" xfId="0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justify" wrapText="1"/>
    </xf>
    <xf numFmtId="0" fontId="6" fillId="0" borderId="0" xfId="0" applyFont="1" applyAlignment="1">
      <alignment horizontal="center" vertical="center"/>
    </xf>
    <xf numFmtId="181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justify"/>
    </xf>
    <xf numFmtId="0" fontId="4" fillId="0" borderId="0" xfId="0" applyFont="1" applyAlignment="1">
      <alignment horizontal="justify" vertical="justify" wrapText="1"/>
    </xf>
    <xf numFmtId="0" fontId="6" fillId="0" borderId="0" xfId="0" applyFont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33" borderId="22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center" vertical="center" wrapText="1"/>
    </xf>
    <xf numFmtId="181" fontId="6" fillId="3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justify"/>
    </xf>
    <xf numFmtId="0" fontId="6" fillId="35" borderId="10" xfId="54" applyFont="1" applyFill="1" applyBorder="1" applyAlignment="1">
      <alignment horizontal="center" vertical="center"/>
      <protection/>
    </xf>
    <xf numFmtId="49" fontId="6" fillId="35" borderId="10" xfId="54" applyNumberFormat="1" applyFont="1" applyFill="1" applyBorder="1" applyAlignment="1">
      <alignment horizontal="center" vertical="center" wrapText="1"/>
      <protection/>
    </xf>
    <xf numFmtId="0" fontId="4" fillId="35" borderId="10" xfId="53" applyFont="1" applyFill="1" applyBorder="1" applyAlignment="1">
      <alignment horizontal="center" vertical="center"/>
      <protection/>
    </xf>
    <xf numFmtId="49" fontId="4" fillId="35" borderId="10" xfId="53" applyNumberFormat="1" applyFont="1" applyFill="1" applyBorder="1" applyAlignment="1">
      <alignment horizontal="center" vertical="center" wrapText="1"/>
      <protection/>
    </xf>
    <xf numFmtId="0" fontId="4" fillId="35" borderId="10" xfId="64" applyNumberFormat="1" applyFont="1" applyFill="1" applyBorder="1" applyAlignment="1">
      <alignment horizontal="justify" vertical="justify" wrapText="1"/>
    </xf>
    <xf numFmtId="4" fontId="4" fillId="35" borderId="10" xfId="64" applyNumberFormat="1" applyFont="1" applyFill="1" applyBorder="1" applyAlignment="1">
      <alignment horizontal="right"/>
    </xf>
    <xf numFmtId="4" fontId="4" fillId="35" borderId="10" xfId="53" applyNumberFormat="1" applyFont="1" applyFill="1" applyBorder="1" applyAlignment="1">
      <alignment horizontal="right"/>
      <protection/>
    </xf>
    <xf numFmtId="0" fontId="6" fillId="0" borderId="17" xfId="57" applyFont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67" fillId="0" borderId="0" xfId="5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" fontId="72" fillId="0" borderId="0" xfId="57" applyNumberFormat="1" applyFont="1" applyBorder="1" applyAlignment="1">
      <alignment horizontal="center" vertical="center"/>
      <protection/>
    </xf>
    <xf numFmtId="49" fontId="67" fillId="0" borderId="0" xfId="55" applyNumberFormat="1" applyFont="1" applyBorder="1" applyAlignment="1">
      <alignment horizontal="center"/>
      <protection/>
    </xf>
    <xf numFmtId="4" fontId="67" fillId="0" borderId="0" xfId="55" applyNumberFormat="1" applyFont="1" applyBorder="1" applyAlignment="1">
      <alignment readingOrder="1"/>
      <protection/>
    </xf>
    <xf numFmtId="4" fontId="67" fillId="0" borderId="0" xfId="55" applyNumberFormat="1" applyFont="1" applyBorder="1" applyAlignment="1">
      <alignment horizontal="left"/>
      <protection/>
    </xf>
    <xf numFmtId="4" fontId="72" fillId="0" borderId="0" xfId="57" applyNumberFormat="1" applyFont="1" applyBorder="1" applyAlignment="1">
      <alignment horizontal="left" vertical="center"/>
      <protection/>
    </xf>
    <xf numFmtId="0" fontId="6" fillId="0" borderId="0" xfId="0" applyFont="1" applyBorder="1" applyAlignment="1">
      <alignment vertical="center" wrapText="1" readingOrder="1"/>
    </xf>
    <xf numFmtId="4" fontId="67" fillId="0" borderId="13" xfId="55" applyNumberFormat="1" applyFont="1" applyBorder="1" applyAlignment="1">
      <alignment readingOrder="1"/>
      <protection/>
    </xf>
    <xf numFmtId="4" fontId="67" fillId="0" borderId="13" xfId="57" applyNumberFormat="1" applyFont="1" applyBorder="1" applyAlignment="1">
      <alignment horizontal="center" vertical="center"/>
      <protection/>
    </xf>
    <xf numFmtId="4" fontId="67" fillId="0" borderId="13" xfId="57" applyNumberFormat="1" applyFont="1" applyBorder="1" applyAlignment="1">
      <alignment horizontal="left"/>
      <protection/>
    </xf>
    <xf numFmtId="0" fontId="6" fillId="0" borderId="15" xfId="0" applyFont="1" applyBorder="1" applyAlignment="1">
      <alignment vertical="center" wrapText="1" readingOrder="1"/>
    </xf>
    <xf numFmtId="49" fontId="67" fillId="0" borderId="16" xfId="57" applyNumberFormat="1" applyFont="1" applyBorder="1" applyAlignment="1">
      <alignment horizontal="center"/>
      <protection/>
    </xf>
    <xf numFmtId="49" fontId="67" fillId="0" borderId="17" xfId="57" applyNumberFormat="1" applyFont="1" applyBorder="1" applyAlignment="1">
      <alignment horizontal="center"/>
      <protection/>
    </xf>
    <xf numFmtId="4" fontId="72" fillId="0" borderId="17" xfId="57" applyNumberFormat="1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6" fillId="0" borderId="17" xfId="57" applyFont="1" applyBorder="1">
      <alignment/>
      <protection/>
    </xf>
    <xf numFmtId="0" fontId="6" fillId="0" borderId="18" xfId="57" applyFont="1" applyBorder="1">
      <alignment/>
      <protection/>
    </xf>
    <xf numFmtId="0" fontId="6" fillId="35" borderId="10" xfId="58" applyFont="1" applyFill="1" applyBorder="1" applyAlignment="1">
      <alignment horizontal="justify" vertical="justify" wrapText="1"/>
      <protection/>
    </xf>
    <xf numFmtId="4" fontId="6" fillId="35" borderId="10" xfId="58" applyNumberFormat="1" applyFont="1" applyFill="1" applyBorder="1" applyAlignment="1">
      <alignment vertical="center"/>
      <protection/>
    </xf>
    <xf numFmtId="4" fontId="6" fillId="0" borderId="0" xfId="53" applyNumberFormat="1" applyFont="1">
      <alignment/>
      <protection/>
    </xf>
    <xf numFmtId="4" fontId="4" fillId="0" borderId="0" xfId="58" applyNumberFormat="1" applyFont="1" applyAlignment="1">
      <alignment horizontal="right"/>
      <protection/>
    </xf>
    <xf numFmtId="0" fontId="6" fillId="33" borderId="0" xfId="58" applyFont="1" applyFill="1" applyBorder="1" applyAlignment="1">
      <alignment horizontal="center" vertical="center" wrapText="1"/>
      <protection/>
    </xf>
    <xf numFmtId="0" fontId="6" fillId="33" borderId="0" xfId="58" applyFont="1" applyFill="1" applyBorder="1" applyAlignment="1">
      <alignment horizontal="justify" vertical="top" wrapText="1"/>
      <protection/>
    </xf>
    <xf numFmtId="4" fontId="6" fillId="33" borderId="0" xfId="58" applyNumberFormat="1" applyFont="1" applyFill="1" applyBorder="1" applyAlignment="1">
      <alignment horizontal="center" vertical="center"/>
      <protection/>
    </xf>
    <xf numFmtId="4" fontId="6" fillId="33" borderId="0" xfId="58" applyNumberFormat="1" applyFont="1" applyFill="1" applyBorder="1">
      <alignment/>
      <protection/>
    </xf>
    <xf numFmtId="4" fontId="6" fillId="33" borderId="0" xfId="58" applyNumberFormat="1" applyFont="1" applyFill="1" applyBorder="1" applyAlignment="1">
      <alignment horizontal="right"/>
      <protection/>
    </xf>
    <xf numFmtId="0" fontId="6" fillId="33" borderId="22" xfId="58" applyFont="1" applyFill="1" applyBorder="1" applyAlignment="1">
      <alignment horizontal="center" vertical="center"/>
      <protection/>
    </xf>
    <xf numFmtId="4" fontId="6" fillId="33" borderId="15" xfId="53" applyNumberFormat="1" applyFont="1" applyFill="1" applyBorder="1" applyAlignment="1">
      <alignment horizontal="right"/>
      <protection/>
    </xf>
    <xf numFmtId="0" fontId="6" fillId="33" borderId="16" xfId="58" applyFont="1" applyFill="1" applyBorder="1" applyAlignment="1">
      <alignment horizontal="center" vertical="center"/>
      <protection/>
    </xf>
    <xf numFmtId="0" fontId="6" fillId="33" borderId="17" xfId="58" applyFont="1" applyFill="1" applyBorder="1" applyAlignment="1">
      <alignment horizontal="center" vertical="center" wrapText="1"/>
      <protection/>
    </xf>
    <xf numFmtId="0" fontId="6" fillId="33" borderId="17" xfId="58" applyFont="1" applyFill="1" applyBorder="1" applyAlignment="1">
      <alignment horizontal="justify" vertical="top" wrapText="1"/>
      <protection/>
    </xf>
    <xf numFmtId="4" fontId="6" fillId="33" borderId="17" xfId="58" applyNumberFormat="1" applyFont="1" applyFill="1" applyBorder="1" applyAlignment="1">
      <alignment horizontal="center" vertical="center"/>
      <protection/>
    </xf>
    <xf numFmtId="4" fontId="6" fillId="33" borderId="17" xfId="58" applyNumberFormat="1" applyFont="1" applyFill="1" applyBorder="1">
      <alignment/>
      <protection/>
    </xf>
    <xf numFmtId="4" fontId="6" fillId="33" borderId="17" xfId="58" applyNumberFormat="1" applyFont="1" applyFill="1" applyBorder="1" applyAlignment="1">
      <alignment horizontal="right"/>
      <protection/>
    </xf>
    <xf numFmtId="4" fontId="6" fillId="33" borderId="18" xfId="53" applyNumberFormat="1" applyFont="1" applyFill="1" applyBorder="1" applyAlignment="1">
      <alignment horizontal="right"/>
      <protection/>
    </xf>
    <xf numFmtId="0" fontId="6" fillId="35" borderId="11" xfId="58" applyFont="1" applyFill="1" applyBorder="1" applyAlignment="1">
      <alignment horizontal="justify" vertical="top" wrapText="1"/>
      <protection/>
    </xf>
    <xf numFmtId="4" fontId="6" fillId="35" borderId="11" xfId="58" applyNumberFormat="1" applyFont="1" applyFill="1" applyBorder="1" applyAlignment="1">
      <alignment horizontal="center" vertical="center"/>
      <protection/>
    </xf>
    <xf numFmtId="4" fontId="6" fillId="35" borderId="11" xfId="58" applyNumberFormat="1" applyFont="1" applyFill="1" applyBorder="1">
      <alignment/>
      <protection/>
    </xf>
    <xf numFmtId="0" fontId="4" fillId="33" borderId="22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justify" vertical="justify" wrapText="1"/>
    </xf>
    <xf numFmtId="181" fontId="4" fillId="33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6" fillId="35" borderId="24" xfId="58" applyFont="1" applyFill="1" applyBorder="1" applyAlignment="1">
      <alignment horizontal="center" vertical="center"/>
      <protection/>
    </xf>
    <xf numFmtId="0" fontId="6" fillId="35" borderId="24" xfId="58" applyFont="1" applyFill="1" applyBorder="1" applyAlignment="1">
      <alignment horizontal="center" vertical="center" wrapText="1"/>
      <protection/>
    </xf>
    <xf numFmtId="0" fontId="6" fillId="35" borderId="24" xfId="58" applyFont="1" applyFill="1" applyBorder="1" applyAlignment="1">
      <alignment horizontal="justify" vertical="top" wrapText="1"/>
      <protection/>
    </xf>
    <xf numFmtId="4" fontId="6" fillId="35" borderId="24" xfId="58" applyNumberFormat="1" applyFont="1" applyFill="1" applyBorder="1" applyAlignment="1">
      <alignment horizontal="center" vertical="center"/>
      <protection/>
    </xf>
    <xf numFmtId="4" fontId="6" fillId="35" borderId="24" xfId="58" applyNumberFormat="1" applyFont="1" applyFill="1" applyBorder="1">
      <alignment/>
      <protection/>
    </xf>
    <xf numFmtId="4" fontId="6" fillId="35" borderId="24" xfId="58" applyNumberFormat="1" applyFont="1" applyFill="1" applyBorder="1" applyAlignment="1">
      <alignment horizontal="right"/>
      <protection/>
    </xf>
    <xf numFmtId="4" fontId="6" fillId="35" borderId="24" xfId="53" applyNumberFormat="1" applyFont="1" applyFill="1" applyBorder="1" applyAlignment="1">
      <alignment horizontal="right"/>
      <protection/>
    </xf>
    <xf numFmtId="0" fontId="4" fillId="0" borderId="10" xfId="53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/>
      <protection/>
    </xf>
    <xf numFmtId="0" fontId="4" fillId="0" borderId="10" xfId="64" applyNumberFormat="1" applyFont="1" applyFill="1" applyBorder="1" applyAlignment="1">
      <alignment horizontal="right" vertical="justify" wrapText="1"/>
    </xf>
    <xf numFmtId="49" fontId="67" fillId="0" borderId="12" xfId="57" applyNumberFormat="1" applyFont="1" applyFill="1" applyBorder="1" applyAlignment="1">
      <alignment horizontal="center"/>
      <protection/>
    </xf>
    <xf numFmtId="49" fontId="67" fillId="0" borderId="13" xfId="55" applyNumberFormat="1" applyFont="1" applyFill="1" applyBorder="1" applyAlignment="1">
      <alignment horizontal="center"/>
      <protection/>
    </xf>
    <xf numFmtId="4" fontId="67" fillId="0" borderId="12" xfId="57" applyNumberFormat="1" applyFont="1" applyFill="1" applyBorder="1" applyAlignment="1">
      <alignment horizontal="left"/>
      <protection/>
    </xf>
    <xf numFmtId="4" fontId="67" fillId="0" borderId="13" xfId="57" applyNumberFormat="1" applyFont="1" applyFill="1" applyBorder="1" applyAlignment="1">
      <alignment horizontal="left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14" xfId="53" applyFont="1" applyFill="1" applyBorder="1">
      <alignment/>
      <protection/>
    </xf>
    <xf numFmtId="0" fontId="6" fillId="0" borderId="0" xfId="53" applyFont="1" applyFill="1">
      <alignment/>
      <protection/>
    </xf>
    <xf numFmtId="49" fontId="67" fillId="0" borderId="22" xfId="57" applyNumberFormat="1" applyFont="1" applyFill="1" applyBorder="1" applyAlignment="1">
      <alignment horizontal="center"/>
      <protection/>
    </xf>
    <xf numFmtId="49" fontId="67" fillId="0" borderId="0" xfId="55" applyNumberFormat="1" applyFont="1" applyFill="1" applyAlignment="1">
      <alignment horizontal="center"/>
      <protection/>
    </xf>
    <xf numFmtId="4" fontId="67" fillId="0" borderId="22" xfId="55" applyNumberFormat="1" applyFont="1" applyFill="1" applyBorder="1" applyAlignment="1">
      <alignment horizontal="left"/>
      <protection/>
    </xf>
    <xf numFmtId="4" fontId="67" fillId="0" borderId="0" xfId="55" applyNumberFormat="1" applyFont="1" applyFill="1" applyAlignment="1">
      <alignment horizontal="left"/>
      <protection/>
    </xf>
    <xf numFmtId="0" fontId="6" fillId="0" borderId="0" xfId="53" applyFont="1" applyFill="1" applyAlignment="1">
      <alignment horizontal="center"/>
      <protection/>
    </xf>
    <xf numFmtId="0" fontId="6" fillId="0" borderId="15" xfId="53" applyFont="1" applyFill="1" applyBorder="1">
      <alignment/>
      <protection/>
    </xf>
    <xf numFmtId="49" fontId="67" fillId="0" borderId="16" xfId="57" applyNumberFormat="1" applyFont="1" applyFill="1" applyBorder="1" applyAlignment="1">
      <alignment horizontal="center"/>
      <protection/>
    </xf>
    <xf numFmtId="49" fontId="67" fillId="0" borderId="17" xfId="57" applyNumberFormat="1" applyFont="1" applyFill="1" applyBorder="1" applyAlignment="1">
      <alignment horizontal="center"/>
      <protection/>
    </xf>
    <xf numFmtId="4" fontId="72" fillId="0" borderId="17" xfId="57" applyNumberFormat="1" applyFont="1" applyFill="1" applyBorder="1" applyAlignment="1">
      <alignment vertical="center" readingOrder="1"/>
      <protection/>
    </xf>
    <xf numFmtId="0" fontId="6" fillId="0" borderId="17" xfId="53" applyFont="1" applyFill="1" applyBorder="1">
      <alignment/>
      <protection/>
    </xf>
    <xf numFmtId="0" fontId="6" fillId="0" borderId="18" xfId="57" applyFont="1" applyFill="1" applyBorder="1">
      <alignment/>
      <protection/>
    </xf>
    <xf numFmtId="0" fontId="4" fillId="0" borderId="10" xfId="53" applyFont="1" applyFill="1" applyBorder="1" applyAlignment="1">
      <alignment horizontal="center" vertical="center"/>
      <protection/>
    </xf>
    <xf numFmtId="4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vertical="top" wrapText="1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justify" vertical="top" wrapText="1"/>
      <protection/>
    </xf>
    <xf numFmtId="4" fontId="6" fillId="0" borderId="10" xfId="58" applyNumberFormat="1" applyFont="1" applyFill="1" applyBorder="1" applyAlignment="1">
      <alignment horizontal="center" vertical="center"/>
      <protection/>
    </xf>
    <xf numFmtId="4" fontId="6" fillId="0" borderId="10" xfId="58" applyNumberFormat="1" applyFont="1" applyFill="1" applyBorder="1">
      <alignment/>
      <protection/>
    </xf>
    <xf numFmtId="4" fontId="6" fillId="0" borderId="10" xfId="58" applyNumberFormat="1" applyFont="1" applyFill="1" applyBorder="1" applyAlignment="1">
      <alignment horizontal="right"/>
      <protection/>
    </xf>
    <xf numFmtId="4" fontId="6" fillId="0" borderId="10" xfId="53" applyNumberFormat="1" applyFont="1" applyFill="1" applyBorder="1" applyAlignment="1">
      <alignment horizontal="right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justify" vertical="justify" wrapText="1"/>
      <protection/>
    </xf>
    <xf numFmtId="171" fontId="6" fillId="0" borderId="10" xfId="64" applyFont="1" applyFill="1" applyBorder="1" applyAlignment="1">
      <alignment horizontal="center" vertical="center"/>
    </xf>
    <xf numFmtId="3" fontId="6" fillId="0" borderId="10" xfId="53" applyNumberFormat="1" applyFont="1" applyFill="1" applyBorder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right"/>
      <protection/>
    </xf>
    <xf numFmtId="0" fontId="4" fillId="0" borderId="0" xfId="53" applyFont="1" applyFill="1">
      <alignment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70" fillId="0" borderId="10" xfId="0" applyFont="1" applyFill="1" applyBorder="1" applyAlignment="1">
      <alignment horizontal="center" vertical="top"/>
    </xf>
    <xf numFmtId="0" fontId="71" fillId="0" borderId="10" xfId="0" applyFont="1" applyFill="1" applyBorder="1" applyAlignment="1">
      <alignment horizontal="center" vertical="top"/>
    </xf>
    <xf numFmtId="0" fontId="71" fillId="0" borderId="10" xfId="0" applyFont="1" applyFill="1" applyBorder="1" applyAlignment="1">
      <alignment horizontal="center" vertical="center"/>
    </xf>
    <xf numFmtId="181" fontId="71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justify"/>
    </xf>
    <xf numFmtId="0" fontId="72" fillId="0" borderId="10" xfId="0" applyFont="1" applyFill="1" applyBorder="1" applyAlignment="1">
      <alignment horizontal="center" vertical="top"/>
    </xf>
    <xf numFmtId="0" fontId="72" fillId="0" borderId="0" xfId="0" applyFont="1" applyFill="1" applyAlignment="1">
      <alignment horizontal="left" vertical="top"/>
    </xf>
    <xf numFmtId="0" fontId="72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justify" vertical="justify" wrapText="1"/>
    </xf>
    <xf numFmtId="4" fontId="6" fillId="0" borderId="10" xfId="54" applyNumberFormat="1" applyFont="1" applyFill="1" applyBorder="1" applyAlignment="1">
      <alignment horizontal="center" vertical="center"/>
      <protection/>
    </xf>
    <xf numFmtId="4" fontId="6" fillId="0" borderId="0" xfId="54" applyNumberFormat="1" applyFont="1" applyFill="1" applyAlignment="1">
      <alignment horizontal="center" vertical="center"/>
      <protection/>
    </xf>
    <xf numFmtId="0" fontId="7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justify" wrapText="1"/>
    </xf>
    <xf numFmtId="0" fontId="6" fillId="0" borderId="0" xfId="0" applyFont="1" applyFill="1" applyAlignment="1">
      <alignment/>
    </xf>
    <xf numFmtId="0" fontId="73" fillId="0" borderId="10" xfId="53" applyFont="1" applyFill="1" applyBorder="1" applyAlignment="1">
      <alignment horizontal="center" vertical="center"/>
      <protection/>
    </xf>
    <xf numFmtId="0" fontId="73" fillId="0" borderId="0" xfId="53" applyFont="1" applyFill="1">
      <alignment/>
      <protection/>
    </xf>
    <xf numFmtId="0" fontId="6" fillId="0" borderId="10" xfId="58" applyFont="1" applyFill="1" applyBorder="1" applyAlignment="1">
      <alignment horizontal="justify" vertical="justify" wrapText="1"/>
      <protection/>
    </xf>
    <xf numFmtId="4" fontId="6" fillId="0" borderId="10" xfId="58" applyNumberFormat="1" applyFont="1" applyFill="1" applyBorder="1" applyAlignment="1">
      <alignment vertical="center"/>
      <protection/>
    </xf>
    <xf numFmtId="4" fontId="6" fillId="0" borderId="0" xfId="53" applyNumberFormat="1" applyFont="1" applyFill="1">
      <alignment/>
      <protection/>
    </xf>
    <xf numFmtId="0" fontId="6" fillId="0" borderId="0" xfId="53" applyFont="1" applyFill="1" applyAlignment="1">
      <alignment vertical="center"/>
      <protection/>
    </xf>
    <xf numFmtId="0" fontId="18" fillId="0" borderId="0" xfId="53" applyFont="1" applyFill="1" applyAlignment="1">
      <alignment horizontal="center" vertical="center" wrapText="1"/>
      <protection/>
    </xf>
    <xf numFmtId="0" fontId="18" fillId="0" borderId="0" xfId="53" applyFont="1" applyFill="1">
      <alignment/>
      <protection/>
    </xf>
    <xf numFmtId="0" fontId="18" fillId="0" borderId="0" xfId="53" applyFont="1" applyFill="1" applyAlignment="1">
      <alignment horizontal="center" vertical="center"/>
      <protection/>
    </xf>
    <xf numFmtId="4" fontId="18" fillId="0" borderId="0" xfId="53" applyNumberFormat="1" applyFont="1" applyFill="1">
      <alignment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left" vertical="top" wrapText="1"/>
      <protection/>
    </xf>
    <xf numFmtId="4" fontId="4" fillId="0" borderId="10" xfId="58" applyNumberFormat="1" applyFont="1" applyFill="1" applyBorder="1" applyAlignment="1">
      <alignment/>
      <protection/>
    </xf>
    <xf numFmtId="0" fontId="73" fillId="35" borderId="0" xfId="53" applyFont="1" applyFill="1">
      <alignment/>
      <protection/>
    </xf>
    <xf numFmtId="0" fontId="6" fillId="35" borderId="20" xfId="64" applyNumberFormat="1" applyFont="1" applyFill="1" applyBorder="1" applyAlignment="1">
      <alignment horizontal="justify" vertical="justify" wrapText="1"/>
    </xf>
    <xf numFmtId="0" fontId="6" fillId="35" borderId="10" xfId="53" applyFont="1" applyFill="1" applyBorder="1" applyAlignment="1">
      <alignment horizontal="left" vertical="top" wrapText="1"/>
      <protection/>
    </xf>
    <xf numFmtId="3" fontId="6" fillId="35" borderId="10" xfId="53" applyNumberFormat="1" applyFont="1" applyFill="1" applyBorder="1" applyAlignment="1">
      <alignment horizontal="center" vertical="center"/>
      <protection/>
    </xf>
    <xf numFmtId="0" fontId="6" fillId="35" borderId="21" xfId="53" applyFont="1" applyFill="1" applyBorder="1" applyAlignment="1">
      <alignment horizontal="justify" vertical="justify" wrapText="1"/>
      <protection/>
    </xf>
    <xf numFmtId="0" fontId="6" fillId="36" borderId="0" xfId="53" applyFont="1" applyFill="1">
      <alignment/>
      <protection/>
    </xf>
    <xf numFmtId="0" fontId="6" fillId="33" borderId="22" xfId="0" applyFont="1" applyFill="1" applyBorder="1" applyAlignment="1">
      <alignment horizontal="center"/>
    </xf>
    <xf numFmtId="4" fontId="6" fillId="33" borderId="0" xfId="0" applyNumberFormat="1" applyFont="1" applyFill="1" applyAlignment="1">
      <alignment horizontal="center" vertical="center"/>
    </xf>
    <xf numFmtId="4" fontId="6" fillId="33" borderId="0" xfId="54" applyNumberFormat="1" applyFont="1" applyFill="1" applyAlignment="1">
      <alignment horizontal="right"/>
      <protection/>
    </xf>
    <xf numFmtId="0" fontId="46" fillId="0" borderId="0" xfId="0" applyFont="1" applyAlignment="1">
      <alignment/>
    </xf>
    <xf numFmtId="0" fontId="67" fillId="35" borderId="10" xfId="0" applyFont="1" applyFill="1" applyBorder="1" applyAlignment="1">
      <alignment horizontal="center" vertical="center"/>
    </xf>
    <xf numFmtId="4" fontId="72" fillId="35" borderId="10" xfId="0" applyNumberFormat="1" applyFont="1" applyFill="1" applyBorder="1" applyAlignment="1">
      <alignment horizontal="center" vertical="center"/>
    </xf>
    <xf numFmtId="4" fontId="6" fillId="35" borderId="19" xfId="54" applyNumberFormat="1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center" vertical="center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>
      <alignment/>
      <protection/>
    </xf>
    <xf numFmtId="0" fontId="4" fillId="35" borderId="0" xfId="53" applyFont="1" applyFill="1">
      <alignment/>
      <protection/>
    </xf>
    <xf numFmtId="4" fontId="11" fillId="35" borderId="10" xfId="0" applyNumberFormat="1" applyFont="1" applyFill="1" applyBorder="1" applyAlignment="1">
      <alignment horizontal="right" wrapText="1"/>
    </xf>
    <xf numFmtId="10" fontId="11" fillId="35" borderId="10" xfId="0" applyNumberFormat="1" applyFont="1" applyFill="1" applyBorder="1" applyAlignment="1">
      <alignment horizontal="right"/>
    </xf>
    <xf numFmtId="4" fontId="11" fillId="35" borderId="10" xfId="0" applyNumberFormat="1" applyFont="1" applyFill="1" applyBorder="1" applyAlignment="1">
      <alignment horizontal="right"/>
    </xf>
    <xf numFmtId="4" fontId="13" fillId="35" borderId="10" xfId="44" applyNumberFormat="1" applyFont="1" applyFill="1" applyBorder="1" applyAlignment="1">
      <alignment horizontal="right"/>
    </xf>
    <xf numFmtId="4" fontId="19" fillId="0" borderId="0" xfId="50" applyNumberFormat="1" applyFont="1" applyAlignment="1">
      <alignment horizontal="center"/>
      <protection/>
    </xf>
    <xf numFmtId="4" fontId="19" fillId="0" borderId="17" xfId="50" applyNumberFormat="1" applyFont="1" applyBorder="1" applyAlignment="1">
      <alignment horizontal="left"/>
      <protection/>
    </xf>
    <xf numFmtId="0" fontId="25" fillId="0" borderId="22" xfId="50" applyFont="1" applyBorder="1" applyAlignment="1">
      <alignment horizontal="left" vertical="justify" wrapText="1"/>
      <protection/>
    </xf>
    <xf numFmtId="0" fontId="25" fillId="0" borderId="0" xfId="50" applyFont="1" applyAlignment="1">
      <alignment horizontal="left" vertical="justify" wrapText="1"/>
      <protection/>
    </xf>
    <xf numFmtId="4" fontId="21" fillId="0" borderId="25" xfId="50" applyNumberFormat="1" applyFont="1" applyBorder="1" applyAlignment="1">
      <alignment horizontal="center"/>
      <protection/>
    </xf>
    <xf numFmtId="2" fontId="19" fillId="0" borderId="0" xfId="50" applyNumberFormat="1" applyFont="1" applyAlignment="1">
      <alignment horizontal="center"/>
      <protection/>
    </xf>
    <xf numFmtId="4" fontId="19" fillId="0" borderId="17" xfId="50" applyNumberFormat="1" applyFont="1" applyBorder="1" applyAlignment="1">
      <alignment horizontal="center" wrapText="1"/>
      <protection/>
    </xf>
    <xf numFmtId="0" fontId="20" fillId="0" borderId="20" xfId="50" applyFont="1" applyBorder="1" applyAlignment="1">
      <alignment horizontal="center"/>
      <protection/>
    </xf>
    <xf numFmtId="0" fontId="19" fillId="0" borderId="0" xfId="50" applyFont="1" applyAlignment="1">
      <alignment horizontal="left" wrapText="1"/>
      <protection/>
    </xf>
    <xf numFmtId="4" fontId="20" fillId="0" borderId="0" xfId="50" applyNumberFormat="1" applyFont="1" applyAlignment="1">
      <alignment horizontal="center"/>
      <protection/>
    </xf>
    <xf numFmtId="2" fontId="24" fillId="0" borderId="0" xfId="50" applyNumberFormat="1" applyFont="1" applyAlignment="1">
      <alignment horizontal="center"/>
      <protection/>
    </xf>
    <xf numFmtId="4" fontId="23" fillId="0" borderId="0" xfId="50" applyNumberFormat="1" applyFont="1" applyAlignment="1" applyProtection="1">
      <alignment horizontal="center"/>
      <protection locked="0"/>
    </xf>
    <xf numFmtId="0" fontId="6" fillId="0" borderId="17" xfId="57" applyFont="1" applyBorder="1" applyAlignment="1">
      <alignment horizontal="left"/>
      <protection/>
    </xf>
    <xf numFmtId="0" fontId="6" fillId="0" borderId="18" xfId="57" applyFont="1" applyBorder="1" applyAlignment="1">
      <alignment horizontal="left"/>
      <protection/>
    </xf>
    <xf numFmtId="49" fontId="67" fillId="33" borderId="21" xfId="57" applyNumberFormat="1" applyFont="1" applyFill="1" applyBorder="1" applyAlignment="1">
      <alignment horizontal="center" vertical="center" wrapText="1"/>
      <protection/>
    </xf>
    <xf numFmtId="49" fontId="67" fillId="33" borderId="10" xfId="57" applyNumberFormat="1" applyFont="1" applyFill="1" applyBorder="1" applyAlignment="1">
      <alignment horizontal="center" vertical="center" wrapText="1"/>
      <protection/>
    </xf>
    <xf numFmtId="4" fontId="20" fillId="0" borderId="0" xfId="50" applyNumberFormat="1" applyFont="1" applyAlignment="1" applyProtection="1">
      <alignment horizontal="center"/>
      <protection locked="0"/>
    </xf>
    <xf numFmtId="0" fontId="2" fillId="36" borderId="0" xfId="50" applyFill="1" applyAlignment="1">
      <alignment horizontal="center" wrapText="1"/>
      <protection/>
    </xf>
    <xf numFmtId="4" fontId="23" fillId="0" borderId="0" xfId="50" applyNumberFormat="1" applyFont="1" applyAlignment="1">
      <alignment horizontal="center"/>
      <protection/>
    </xf>
    <xf numFmtId="4" fontId="6" fillId="0" borderId="0" xfId="57" applyNumberFormat="1" applyFont="1" applyBorder="1" applyAlignment="1">
      <alignment horizontal="center" vertical="center"/>
      <protection/>
    </xf>
    <xf numFmtId="4" fontId="6" fillId="0" borderId="15" xfId="57" applyNumberFormat="1" applyFont="1" applyBorder="1" applyAlignment="1">
      <alignment horizontal="center" vertical="center"/>
      <protection/>
    </xf>
    <xf numFmtId="4" fontId="72" fillId="0" borderId="0" xfId="55" applyNumberFormat="1" applyFont="1" applyBorder="1" applyAlignment="1">
      <alignment horizontal="left" vertical="center" wrapText="1" readingOrder="1"/>
      <protection/>
    </xf>
    <xf numFmtId="4" fontId="6" fillId="0" borderId="0" xfId="57" applyNumberFormat="1" applyFont="1" applyBorder="1" applyAlignment="1">
      <alignment horizontal="left" vertical="center"/>
      <protection/>
    </xf>
    <xf numFmtId="4" fontId="6" fillId="0" borderId="15" xfId="57" applyNumberFormat="1" applyFont="1" applyBorder="1" applyAlignment="1">
      <alignment horizontal="left" vertical="center"/>
      <protection/>
    </xf>
    <xf numFmtId="4" fontId="6" fillId="0" borderId="0" xfId="55" applyNumberFormat="1" applyFont="1" applyBorder="1" applyAlignment="1">
      <alignment horizontal="left" vertical="center" wrapText="1" readingOrder="1"/>
      <protection/>
    </xf>
    <xf numFmtId="0" fontId="6" fillId="0" borderId="0" xfId="0" applyFont="1" applyBorder="1" applyAlignment="1">
      <alignment horizontal="left" vertical="center" wrapText="1" readingOrder="1"/>
    </xf>
    <xf numFmtId="0" fontId="6" fillId="0" borderId="15" xfId="0" applyFont="1" applyBorder="1" applyAlignment="1">
      <alignment horizontal="left" vertical="center" wrapText="1" readingOrder="1"/>
    </xf>
    <xf numFmtId="4" fontId="72" fillId="0" borderId="0" xfId="55" applyNumberFormat="1" applyFont="1" applyBorder="1" applyAlignment="1">
      <alignment horizontal="justify" vertical="justify" wrapText="1"/>
      <protection/>
    </xf>
    <xf numFmtId="4" fontId="6" fillId="0" borderId="0" xfId="55" applyNumberFormat="1" applyFont="1" applyBorder="1" applyAlignment="1">
      <alignment horizontal="left" vertical="center"/>
      <protection/>
    </xf>
    <xf numFmtId="4" fontId="6" fillId="0" borderId="15" xfId="55" applyNumberFormat="1" applyFont="1" applyBorder="1" applyAlignment="1">
      <alignment horizontal="left" vertical="center"/>
      <protection/>
    </xf>
    <xf numFmtId="0" fontId="6" fillId="0" borderId="0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4" fontId="6" fillId="33" borderId="0" xfId="55" applyNumberFormat="1" applyFont="1" applyFill="1" applyAlignment="1">
      <alignment horizontal="left" vertical="center" wrapText="1" readingOrder="1"/>
      <protection/>
    </xf>
    <xf numFmtId="4" fontId="6" fillId="33" borderId="15" xfId="55" applyNumberFormat="1" applyFont="1" applyFill="1" applyBorder="1" applyAlignment="1">
      <alignment horizontal="left" vertical="center" wrapText="1" readingOrder="1"/>
      <protection/>
    </xf>
    <xf numFmtId="0" fontId="6" fillId="33" borderId="22" xfId="53" applyFont="1" applyFill="1" applyBorder="1" applyAlignment="1">
      <alignment horizontal="left" vertical="center" wrapText="1"/>
      <protection/>
    </xf>
    <xf numFmtId="0" fontId="6" fillId="33" borderId="0" xfId="53" applyFont="1" applyFill="1" applyAlignment="1">
      <alignment horizontal="left" vertical="center" wrapText="1"/>
      <protection/>
    </xf>
    <xf numFmtId="0" fontId="6" fillId="33" borderId="15" xfId="53" applyFont="1" applyFill="1" applyBorder="1" applyAlignment="1">
      <alignment horizontal="left" vertical="center" wrapText="1"/>
      <protection/>
    </xf>
    <xf numFmtId="4" fontId="67" fillId="33" borderId="0" xfId="55" applyNumberFormat="1" applyFont="1" applyFill="1" applyAlignment="1">
      <alignment horizontal="left" vertical="center" readingOrder="1"/>
      <protection/>
    </xf>
    <xf numFmtId="4" fontId="67" fillId="33" borderId="15" xfId="55" applyNumberFormat="1" applyFont="1" applyFill="1" applyBorder="1" applyAlignment="1">
      <alignment horizontal="left" vertical="center" readingOrder="1"/>
      <protection/>
    </xf>
    <xf numFmtId="4" fontId="72" fillId="33" borderId="22" xfId="55" applyNumberFormat="1" applyFont="1" applyFill="1" applyBorder="1" applyAlignment="1">
      <alignment horizontal="left" vertical="center"/>
      <protection/>
    </xf>
    <xf numFmtId="4" fontId="72" fillId="33" borderId="0" xfId="55" applyNumberFormat="1" applyFont="1" applyFill="1" applyAlignment="1">
      <alignment horizontal="left" vertical="center"/>
      <protection/>
    </xf>
    <xf numFmtId="4" fontId="72" fillId="33" borderId="15" xfId="55" applyNumberFormat="1" applyFont="1" applyFill="1" applyBorder="1" applyAlignment="1">
      <alignment horizontal="left" vertical="center"/>
      <protection/>
    </xf>
    <xf numFmtId="4" fontId="72" fillId="33" borderId="0" xfId="57" applyNumberFormat="1" applyFont="1" applyFill="1" applyAlignment="1">
      <alignment horizontal="left" vertical="center" readingOrder="1"/>
      <protection/>
    </xf>
    <xf numFmtId="4" fontId="72" fillId="33" borderId="15" xfId="57" applyNumberFormat="1" applyFont="1" applyFill="1" applyBorder="1" applyAlignment="1">
      <alignment horizontal="left" vertical="center" readingOrder="1"/>
      <protection/>
    </xf>
    <xf numFmtId="0" fontId="6" fillId="33" borderId="16" xfId="57" applyFont="1" applyFill="1" applyBorder="1" applyAlignment="1">
      <alignment horizontal="left"/>
      <protection/>
    </xf>
    <xf numFmtId="0" fontId="6" fillId="33" borderId="17" xfId="57" applyFont="1" applyFill="1" applyBorder="1" applyAlignment="1">
      <alignment horizontal="left"/>
      <protection/>
    </xf>
    <xf numFmtId="0" fontId="6" fillId="33" borderId="18" xfId="57" applyFont="1" applyFill="1" applyBorder="1" applyAlignment="1">
      <alignment horizontal="left"/>
      <protection/>
    </xf>
    <xf numFmtId="49" fontId="67" fillId="33" borderId="16" xfId="57" applyNumberFormat="1" applyFont="1" applyFill="1" applyBorder="1" applyAlignment="1">
      <alignment horizontal="center" vertical="center" wrapText="1"/>
      <protection/>
    </xf>
    <xf numFmtId="49" fontId="67" fillId="33" borderId="17" xfId="57" applyNumberFormat="1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justify" wrapText="1"/>
      <protection/>
    </xf>
    <xf numFmtId="0" fontId="4" fillId="0" borderId="10" xfId="53" applyFont="1" applyBorder="1" applyAlignment="1">
      <alignment horizontal="center" vertical="center" wrapText="1" readingOrder="1"/>
      <protection/>
    </xf>
    <xf numFmtId="4" fontId="4" fillId="0" borderId="10" xfId="53" applyNumberFormat="1" applyFont="1" applyBorder="1" applyAlignment="1">
      <alignment horizontal="center" vertical="center"/>
      <protection/>
    </xf>
    <xf numFmtId="4" fontId="5" fillId="0" borderId="10" xfId="53" applyNumberFormat="1" applyFont="1" applyBorder="1" applyAlignment="1">
      <alignment horizontal="center" vertical="center"/>
      <protection/>
    </xf>
    <xf numFmtId="4" fontId="67" fillId="33" borderId="13" xfId="55" applyNumberFormat="1" applyFont="1" applyFill="1" applyBorder="1" applyAlignment="1">
      <alignment horizontal="left" vertical="center" readingOrder="1"/>
      <protection/>
    </xf>
    <xf numFmtId="4" fontId="67" fillId="33" borderId="14" xfId="55" applyNumberFormat="1" applyFont="1" applyFill="1" applyBorder="1" applyAlignment="1">
      <alignment horizontal="left" vertical="center" readingOrder="1"/>
      <protection/>
    </xf>
    <xf numFmtId="4" fontId="6" fillId="33" borderId="22" xfId="57" applyNumberFormat="1" applyFont="1" applyFill="1" applyBorder="1" applyAlignment="1">
      <alignment horizontal="left" vertical="center"/>
      <protection/>
    </xf>
    <xf numFmtId="4" fontId="6" fillId="33" borderId="0" xfId="57" applyNumberFormat="1" applyFont="1" applyFill="1" applyAlignment="1">
      <alignment horizontal="left" vertical="center"/>
      <protection/>
    </xf>
    <xf numFmtId="4" fontId="6" fillId="33" borderId="15" xfId="57" applyNumberFormat="1" applyFont="1" applyFill="1" applyBorder="1" applyAlignment="1">
      <alignment horizontal="left" vertical="center"/>
      <protection/>
    </xf>
    <xf numFmtId="0" fontId="4" fillId="33" borderId="22" xfId="53" applyFont="1" applyFill="1" applyBorder="1" applyAlignment="1">
      <alignment horizontal="left" vertical="center" wrapText="1" readingOrder="1"/>
      <protection/>
    </xf>
    <xf numFmtId="0" fontId="4" fillId="33" borderId="0" xfId="53" applyFont="1" applyFill="1" applyAlignment="1">
      <alignment horizontal="left" vertical="center" wrapText="1" readingOrder="1"/>
      <protection/>
    </xf>
    <xf numFmtId="0" fontId="4" fillId="33" borderId="15" xfId="53" applyFont="1" applyFill="1" applyBorder="1" applyAlignment="1">
      <alignment horizontal="left" vertical="center" wrapText="1" readingOrder="1"/>
      <protection/>
    </xf>
    <xf numFmtId="4" fontId="4" fillId="33" borderId="19" xfId="58" applyNumberFormat="1" applyFont="1" applyFill="1" applyBorder="1" applyAlignment="1">
      <alignment horizontal="center"/>
      <protection/>
    </xf>
    <xf numFmtId="4" fontId="4" fillId="33" borderId="26" xfId="58" applyNumberFormat="1" applyFont="1" applyFill="1" applyBorder="1" applyAlignment="1">
      <alignment horizontal="center"/>
      <protection/>
    </xf>
    <xf numFmtId="4" fontId="4" fillId="35" borderId="19" xfId="58" applyNumberFormat="1" applyFont="1" applyFill="1" applyBorder="1" applyAlignment="1">
      <alignment horizontal="center"/>
      <protection/>
    </xf>
    <xf numFmtId="4" fontId="4" fillId="35" borderId="26" xfId="58" applyNumberFormat="1" applyFont="1" applyFill="1" applyBorder="1" applyAlignment="1">
      <alignment horizontal="center"/>
      <protection/>
    </xf>
    <xf numFmtId="0" fontId="4" fillId="35" borderId="11" xfId="53" applyFont="1" applyFill="1" applyBorder="1" applyAlignment="1">
      <alignment horizontal="left" vertical="top" wrapText="1"/>
      <protection/>
    </xf>
    <xf numFmtId="0" fontId="4" fillId="0" borderId="11" xfId="53" applyFont="1" applyBorder="1" applyAlignment="1">
      <alignment horizontal="left" vertical="top" wrapText="1"/>
      <protection/>
    </xf>
    <xf numFmtId="4" fontId="67" fillId="0" borderId="13" xfId="55" applyNumberFormat="1" applyFont="1" applyFill="1" applyBorder="1" applyAlignment="1">
      <alignment horizontal="left" vertical="center" readingOrder="1"/>
      <protection/>
    </xf>
    <xf numFmtId="4" fontId="67" fillId="0" borderId="14" xfId="55" applyNumberFormat="1" applyFont="1" applyFill="1" applyBorder="1" applyAlignment="1">
      <alignment horizontal="left" vertical="center" readingOrder="1"/>
      <protection/>
    </xf>
    <xf numFmtId="4" fontId="67" fillId="0" borderId="0" xfId="55" applyNumberFormat="1" applyFont="1" applyFill="1" applyAlignment="1">
      <alignment horizontal="left" vertical="center" readingOrder="1"/>
      <protection/>
    </xf>
    <xf numFmtId="4" fontId="67" fillId="0" borderId="15" xfId="55" applyNumberFormat="1" applyFont="1" applyFill="1" applyBorder="1" applyAlignment="1">
      <alignment horizontal="left" vertical="center" readingOrder="1"/>
      <protection/>
    </xf>
    <xf numFmtId="4" fontId="6" fillId="0" borderId="22" xfId="57" applyNumberFormat="1" applyFont="1" applyFill="1" applyBorder="1" applyAlignment="1">
      <alignment horizontal="left" vertical="center"/>
      <protection/>
    </xf>
    <xf numFmtId="4" fontId="6" fillId="0" borderId="0" xfId="57" applyNumberFormat="1" applyFont="1" applyFill="1" applyAlignment="1">
      <alignment horizontal="left" vertical="center"/>
      <protection/>
    </xf>
    <xf numFmtId="4" fontId="6" fillId="0" borderId="15" xfId="57" applyNumberFormat="1" applyFont="1" applyFill="1" applyBorder="1" applyAlignment="1">
      <alignment horizontal="left" vertical="center"/>
      <protection/>
    </xf>
    <xf numFmtId="4" fontId="6" fillId="0" borderId="0" xfId="55" applyNumberFormat="1" applyFont="1" applyFill="1" applyAlignment="1">
      <alignment horizontal="left" vertical="center" wrapText="1" readingOrder="1"/>
      <protection/>
    </xf>
    <xf numFmtId="4" fontId="6" fillId="0" borderId="15" xfId="55" applyNumberFormat="1" applyFont="1" applyFill="1" applyBorder="1" applyAlignment="1">
      <alignment horizontal="left" vertical="center" wrapText="1" readingOrder="1"/>
      <protection/>
    </xf>
    <xf numFmtId="0" fontId="4" fillId="0" borderId="22" xfId="53" applyFont="1" applyFill="1" applyBorder="1" applyAlignment="1">
      <alignment horizontal="left" vertical="center" wrapText="1" readingOrder="1"/>
      <protection/>
    </xf>
    <xf numFmtId="0" fontId="4" fillId="0" borderId="0" xfId="53" applyFont="1" applyFill="1" applyAlignment="1">
      <alignment horizontal="left" vertical="center" wrapText="1" readingOrder="1"/>
      <protection/>
    </xf>
    <xf numFmtId="0" fontId="4" fillId="0" borderId="15" xfId="53" applyFont="1" applyFill="1" applyBorder="1" applyAlignment="1">
      <alignment horizontal="left" vertical="center" wrapText="1" readingOrder="1"/>
      <protection/>
    </xf>
    <xf numFmtId="0" fontId="6" fillId="0" borderId="22" xfId="53" applyFont="1" applyFill="1" applyBorder="1" applyAlignment="1">
      <alignment horizontal="left" vertical="center" wrapText="1"/>
      <protection/>
    </xf>
    <xf numFmtId="0" fontId="6" fillId="0" borderId="0" xfId="53" applyFont="1" applyFill="1" applyAlignment="1">
      <alignment horizontal="left" vertical="center" wrapText="1"/>
      <protection/>
    </xf>
    <xf numFmtId="0" fontId="6" fillId="0" borderId="15" xfId="53" applyFont="1" applyFill="1" applyBorder="1" applyAlignment="1">
      <alignment horizontal="left" vertical="center" wrapText="1"/>
      <protection/>
    </xf>
    <xf numFmtId="4" fontId="72" fillId="0" borderId="22" xfId="55" applyNumberFormat="1" applyFont="1" applyFill="1" applyBorder="1" applyAlignment="1">
      <alignment horizontal="left" vertical="center"/>
      <protection/>
    </xf>
    <xf numFmtId="4" fontId="72" fillId="0" borderId="0" xfId="55" applyNumberFormat="1" applyFont="1" applyFill="1" applyAlignment="1">
      <alignment horizontal="left" vertical="center"/>
      <protection/>
    </xf>
    <xf numFmtId="4" fontId="72" fillId="0" borderId="15" xfId="55" applyNumberFormat="1" applyFont="1" applyFill="1" applyBorder="1" applyAlignment="1">
      <alignment horizontal="left" vertical="center"/>
      <protection/>
    </xf>
    <xf numFmtId="4" fontId="72" fillId="0" borderId="0" xfId="57" applyNumberFormat="1" applyFont="1" applyFill="1" applyAlignment="1">
      <alignment horizontal="left" vertical="center" readingOrder="1"/>
      <protection/>
    </xf>
    <xf numFmtId="4" fontId="72" fillId="0" borderId="15" xfId="57" applyNumberFormat="1" applyFont="1" applyFill="1" applyBorder="1" applyAlignment="1">
      <alignment horizontal="left" vertical="center" readingOrder="1"/>
      <protection/>
    </xf>
    <xf numFmtId="0" fontId="6" fillId="0" borderId="16" xfId="57" applyFont="1" applyFill="1" applyBorder="1" applyAlignment="1">
      <alignment horizontal="left"/>
      <protection/>
    </xf>
    <xf numFmtId="0" fontId="6" fillId="0" borderId="17" xfId="57" applyFont="1" applyFill="1" applyBorder="1" applyAlignment="1">
      <alignment horizontal="left"/>
      <protection/>
    </xf>
    <xf numFmtId="0" fontId="6" fillId="0" borderId="18" xfId="57" applyFont="1" applyFill="1" applyBorder="1" applyAlignment="1">
      <alignment horizontal="left"/>
      <protection/>
    </xf>
    <xf numFmtId="49" fontId="67" fillId="0" borderId="16" xfId="57" applyNumberFormat="1" applyFont="1" applyFill="1" applyBorder="1" applyAlignment="1">
      <alignment horizontal="center" vertical="center" wrapText="1"/>
      <protection/>
    </xf>
    <xf numFmtId="49" fontId="67" fillId="0" borderId="17" xfId="57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justify" wrapText="1"/>
      <protection/>
    </xf>
    <xf numFmtId="0" fontId="4" fillId="0" borderId="10" xfId="53" applyFont="1" applyFill="1" applyBorder="1" applyAlignment="1">
      <alignment horizontal="center" vertical="center" wrapText="1" readingOrder="1"/>
      <protection/>
    </xf>
    <xf numFmtId="4" fontId="4" fillId="0" borderId="10" xfId="53" applyNumberFormat="1" applyFont="1" applyFill="1" applyBorder="1" applyAlignment="1">
      <alignment horizontal="center" vertical="center"/>
      <protection/>
    </xf>
    <xf numFmtId="4" fontId="5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14" fillId="0" borderId="10" xfId="56" applyFont="1" applyBorder="1" applyAlignment="1">
      <alignment horizontal="left" vertical="top"/>
      <protection/>
    </xf>
    <xf numFmtId="10" fontId="8" fillId="0" borderId="19" xfId="0" applyNumberFormat="1" applyFont="1" applyBorder="1" applyAlignment="1">
      <alignment horizontal="center"/>
    </xf>
    <xf numFmtId="10" fontId="8" fillId="0" borderId="26" xfId="0" applyNumberFormat="1" applyFont="1" applyBorder="1" applyAlignment="1">
      <alignment horizontal="center"/>
    </xf>
    <xf numFmtId="1" fontId="14" fillId="0" borderId="21" xfId="56" applyNumberFormat="1" applyFont="1" applyBorder="1" applyAlignment="1">
      <alignment horizontal="left" vertical="top"/>
      <protection/>
    </xf>
    <xf numFmtId="4" fontId="8" fillId="34" borderId="16" xfId="0" applyNumberFormat="1" applyFont="1" applyFill="1" applyBorder="1" applyAlignment="1">
      <alignment horizontal="center" vertical="center"/>
    </xf>
    <xf numFmtId="4" fontId="8" fillId="34" borderId="18" xfId="0" applyNumberFormat="1" applyFont="1" applyFill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center"/>
    </xf>
    <xf numFmtId="1" fontId="14" fillId="0" borderId="10" xfId="56" applyNumberFormat="1" applyFont="1" applyBorder="1" applyAlignment="1">
      <alignment horizontal="left" vertical="top"/>
      <protection/>
    </xf>
    <xf numFmtId="0" fontId="8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8" fillId="34" borderId="24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/>
    </xf>
    <xf numFmtId="4" fontId="8" fillId="35" borderId="11" xfId="44" applyNumberFormat="1" applyFont="1" applyFill="1" applyBorder="1" applyAlignment="1">
      <alignment horizontal="center"/>
    </xf>
    <xf numFmtId="4" fontId="8" fillId="35" borderId="24" xfId="44" applyNumberFormat="1" applyFont="1" applyFill="1" applyBorder="1" applyAlignment="1">
      <alignment horizontal="center"/>
    </xf>
    <xf numFmtId="4" fontId="8" fillId="35" borderId="21" xfId="44" applyNumberFormat="1" applyFont="1" applyFill="1" applyBorder="1" applyAlignment="1">
      <alignment horizontal="center"/>
    </xf>
    <xf numFmtId="4" fontId="74" fillId="0" borderId="22" xfId="55" applyNumberFormat="1" applyFont="1" applyBorder="1" applyAlignment="1">
      <alignment horizontal="center" vertical="center" wrapText="1"/>
      <protection/>
    </xf>
    <xf numFmtId="4" fontId="74" fillId="0" borderId="0" xfId="55" applyNumberFormat="1" applyFont="1" applyAlignment="1">
      <alignment horizontal="center" vertical="center" wrapText="1"/>
      <protection/>
    </xf>
    <xf numFmtId="4" fontId="74" fillId="0" borderId="22" xfId="57" applyNumberFormat="1" applyFont="1" applyBorder="1" applyAlignment="1">
      <alignment horizontal="center" vertical="center" wrapText="1"/>
      <protection/>
    </xf>
    <xf numFmtId="4" fontId="74" fillId="0" borderId="0" xfId="57" applyNumberFormat="1" applyFont="1" applyAlignment="1">
      <alignment horizontal="center" vertical="center" wrapText="1"/>
      <protection/>
    </xf>
    <xf numFmtId="44" fontId="15" fillId="0" borderId="12" xfId="55" applyNumberFormat="1" applyFont="1" applyBorder="1" applyAlignment="1">
      <alignment horizontal="center" vertical="center" wrapText="1" readingOrder="1"/>
      <protection/>
    </xf>
    <xf numFmtId="44" fontId="15" fillId="0" borderId="13" xfId="55" applyNumberFormat="1" applyFont="1" applyBorder="1" applyAlignment="1">
      <alignment horizontal="center" vertical="center" wrapText="1" readingOrder="1"/>
      <protection/>
    </xf>
    <xf numFmtId="44" fontId="15" fillId="0" borderId="22" xfId="55" applyNumberFormat="1" applyFont="1" applyBorder="1" applyAlignment="1">
      <alignment horizontal="center" vertical="center" wrapText="1" readingOrder="1"/>
      <protection/>
    </xf>
    <xf numFmtId="44" fontId="15" fillId="0" borderId="0" xfId="55" applyNumberFormat="1" applyFont="1" applyAlignment="1">
      <alignment horizontal="center" vertical="center" wrapText="1" readingOrder="1"/>
      <protection/>
    </xf>
    <xf numFmtId="4" fontId="17" fillId="0" borderId="22" xfId="55" applyNumberFormat="1" applyFont="1" applyBorder="1" applyAlignment="1">
      <alignment horizontal="center" vertical="center" wrapText="1" readingOrder="1"/>
      <protection/>
    </xf>
    <xf numFmtId="4" fontId="17" fillId="0" borderId="0" xfId="55" applyNumberFormat="1" applyFont="1" applyAlignment="1">
      <alignment horizontal="center" vertical="center" wrapText="1" readingOrder="1"/>
      <protection/>
    </xf>
    <xf numFmtId="0" fontId="17" fillId="0" borderId="22" xfId="57" applyFont="1" applyBorder="1" applyAlignment="1">
      <alignment horizontal="center"/>
      <protection/>
    </xf>
    <xf numFmtId="0" fontId="17" fillId="0" borderId="0" xfId="57" applyFont="1" applyAlignment="1">
      <alignment horizontal="center"/>
      <protection/>
    </xf>
    <xf numFmtId="0" fontId="8" fillId="0" borderId="10" xfId="57" applyFont="1" applyBorder="1" applyAlignment="1">
      <alignment horizontal="center" vertical="center" wrapText="1"/>
      <protection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Currency" xfId="47"/>
    <cellStyle name="Currency [0]" xfId="48"/>
    <cellStyle name="Neutro" xfId="49"/>
    <cellStyle name="Normal 10" xfId="50"/>
    <cellStyle name="Normal 11 2" xfId="51"/>
    <cellStyle name="Normal 12" xfId="52"/>
    <cellStyle name="Normal 2" xfId="53"/>
    <cellStyle name="Normal 2 2" xfId="54"/>
    <cellStyle name="Normal 2 3" xfId="55"/>
    <cellStyle name="Normal_CRONOGRAMA" xfId="56"/>
    <cellStyle name="Normal_P_Getulio Vargas 2" xfId="57"/>
    <cellStyle name="Normal_RUAS 3,4,7 e 8 R-1" xfId="58"/>
    <cellStyle name="Nota" xfId="59"/>
    <cellStyle name="Percent" xfId="60"/>
    <cellStyle name="Ruim" xfId="61"/>
    <cellStyle name="Saída" xfId="62"/>
    <cellStyle name="Comma [0]" xfId="63"/>
    <cellStyle name="Separador de milhares_Orçamento nº013-PRODEC V.Primavera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Comma" xfId="73"/>
    <cellStyle name="Vírgula 2 2 2" xfId="74"/>
    <cellStyle name="Vírgula 4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381000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238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152400</xdr:rowOff>
    </xdr:from>
    <xdr:to>
      <xdr:col>1</xdr:col>
      <xdr:colOff>171450</xdr:colOff>
      <xdr:row>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52425"/>
          <a:ext cx="1028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200025</xdr:rowOff>
    </xdr:from>
    <xdr:to>
      <xdr:col>1</xdr:col>
      <xdr:colOff>1209675</xdr:colOff>
      <xdr:row>6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15049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200025</xdr:rowOff>
    </xdr:from>
    <xdr:to>
      <xdr:col>1</xdr:col>
      <xdr:colOff>1209675</xdr:colOff>
      <xdr:row>6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15049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647700</xdr:colOff>
      <xdr:row>0</xdr:row>
      <xdr:rowOff>180975</xdr:rowOff>
    </xdr:from>
    <xdr:to>
      <xdr:col>26</xdr:col>
      <xdr:colOff>1095375</xdr:colOff>
      <xdr:row>7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89400" y="180975"/>
          <a:ext cx="5124450" cy="560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lfredo.cunha\Documents\Meus%20Documentos\PLANEJAMENTO%20PMBM%202019\ATUALIZA&#199;&#195;O%202019%20-%20REVIS&#195;O%20QUADRA%20AYMOR&#201;\Rev130219-Or&#231;amento%20%20n&#186;015-18_Execu&#231;&#227;o%20de%20Quadra%20esportiva_%20Aymor&#233;%20-%20CE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lfredo\Documents\BACKUP%20SMPU%2017mar2020\SMPU%202020\PRESIDENTE%20KENNEDY%202020\C&#243;pia%20de%20KENNEDY%20ALFREDO%20-%20REV%2011fe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lfredo.cunha\Documents\Meus%20Documentos\ALFREDO\QUADRA%20PARQUE%20INDEPEND&#202;NCIA\Or&#231;amento%20n&#186;0xx-2014_%20Constru&#231;&#227;o%20de%20Quadra%20Poliesportiva%20Coberta%20Parque%20Independ&#234;nc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lfredo.cunha\Desktop\Revis&#227;o%20JAN-18_Or&#231;amento%20ATI%20Vila%20Br&#237;gida%20xls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TAÇÕES DE MERCADO"/>
      <sheetName val="MEMORIA  Quant"/>
      <sheetName val="COMPOS. ANALÍTICA"/>
      <sheetName val="SINAPI"/>
      <sheetName val="CRONOG"/>
      <sheetName val="BDI"/>
      <sheetName val="EVENTOGRAMA - R$"/>
      <sheetName val="EVENTOGRAMA - MET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ª REVISÃO - OC - ALFRED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EMOP"/>
      <sheetName val="SUSESP"/>
      <sheetName val="SUSESP SP"/>
      <sheetName val="Cronograma "/>
      <sheetName val="Cronograma  sp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I - Construção de Edifícios"/>
      <sheetName val="MEMORIA  Quant"/>
      <sheetName val="Compos. Analítica"/>
      <sheetName val="SINAPI"/>
      <sheetName val="Cron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136"/>
  <sheetViews>
    <sheetView view="pageBreakPreview" zoomScaleSheetLayoutView="100" zoomScalePageLayoutView="0" workbookViewId="0" topLeftCell="A4">
      <selection activeCell="O6" sqref="O6:T6"/>
    </sheetView>
  </sheetViews>
  <sheetFormatPr defaultColWidth="9.140625" defaultRowHeight="15"/>
  <cols>
    <col min="1" max="1" width="14.7109375" style="135" customWidth="1"/>
    <col min="2" max="2" width="5.7109375" style="163" customWidth="1"/>
    <col min="3" max="4" width="5.7109375" style="148" customWidth="1"/>
    <col min="5" max="5" width="5.7109375" style="164" customWidth="1"/>
    <col min="6" max="6" width="6.7109375" style="163" customWidth="1"/>
    <col min="7" max="7" width="0.71875" style="135" customWidth="1"/>
    <col min="8" max="8" width="5.7109375" style="135" customWidth="1"/>
    <col min="9" max="9" width="8.00390625" style="135" customWidth="1"/>
    <col min="10" max="11" width="5.7109375" style="140" customWidth="1"/>
    <col min="12" max="12" width="8.7109375" style="140" customWidth="1"/>
    <col min="13" max="13" width="8.7109375" style="135" customWidth="1"/>
    <col min="14" max="14" width="8.7109375" style="140" customWidth="1"/>
    <col min="15" max="15" width="7.00390625" style="135" customWidth="1"/>
    <col min="16" max="16" width="9.00390625" style="135" customWidth="1"/>
    <col min="17" max="18" width="5.7109375" style="135" customWidth="1"/>
    <col min="19" max="19" width="7.7109375" style="140" customWidth="1"/>
    <col min="20" max="20" width="7.7109375" style="135" customWidth="1"/>
    <col min="21" max="21" width="5.7109375" style="135" customWidth="1"/>
    <col min="22" max="22" width="5.7109375" style="140" customWidth="1"/>
    <col min="23" max="29" width="5.7109375" style="135" customWidth="1"/>
    <col min="30" max="16384" width="9.140625" style="135" customWidth="1"/>
  </cols>
  <sheetData>
    <row r="1" spans="1:20" ht="15.75">
      <c r="A1" s="130"/>
      <c r="B1" s="131"/>
      <c r="C1" s="280" t="s">
        <v>0</v>
      </c>
      <c r="D1" s="281"/>
      <c r="E1" s="132"/>
      <c r="F1" s="133"/>
      <c r="G1" s="133"/>
      <c r="H1" s="133"/>
      <c r="I1" s="133"/>
      <c r="J1" s="282"/>
      <c r="K1" s="282"/>
      <c r="L1" s="282"/>
      <c r="M1" s="282"/>
      <c r="N1" s="270"/>
      <c r="O1" s="269"/>
      <c r="P1" s="269"/>
      <c r="Q1" s="269"/>
      <c r="R1" s="269"/>
      <c r="S1" s="269"/>
      <c r="T1" s="270"/>
    </row>
    <row r="2" spans="1:20" ht="15.75">
      <c r="A2" s="134"/>
      <c r="B2" s="275"/>
      <c r="C2" s="276" t="s">
        <v>1</v>
      </c>
      <c r="D2" s="272"/>
      <c r="E2" s="272"/>
      <c r="F2" s="272"/>
      <c r="G2" s="272"/>
      <c r="H2" s="272"/>
      <c r="I2" s="272"/>
      <c r="J2" s="277"/>
      <c r="K2" s="437"/>
      <c r="L2" s="437"/>
      <c r="M2" s="437"/>
      <c r="N2" s="438"/>
      <c r="O2" s="271"/>
      <c r="P2" s="271"/>
      <c r="Q2" s="272"/>
      <c r="R2" s="272"/>
      <c r="S2" s="272"/>
      <c r="T2" s="273"/>
    </row>
    <row r="3" spans="1:20" ht="15.75">
      <c r="A3" s="134"/>
      <c r="B3" s="275"/>
      <c r="C3" s="276" t="s">
        <v>921</v>
      </c>
      <c r="D3" s="272"/>
      <c r="E3" s="272"/>
      <c r="F3" s="272"/>
      <c r="G3" s="272"/>
      <c r="H3" s="272"/>
      <c r="I3" s="272"/>
      <c r="J3" s="278"/>
      <c r="K3" s="279"/>
      <c r="L3" s="279"/>
      <c r="M3" s="279"/>
      <c r="N3" s="283"/>
      <c r="O3" s="274"/>
      <c r="P3" s="274"/>
      <c r="Q3" s="272"/>
      <c r="R3" s="272"/>
      <c r="S3" s="272"/>
      <c r="T3" s="273"/>
    </row>
    <row r="4" spans="1:20" ht="15.75" customHeight="1">
      <c r="A4" s="134"/>
      <c r="B4" s="275"/>
      <c r="C4" s="439" t="s">
        <v>964</v>
      </c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273"/>
      <c r="O4" s="440" t="s">
        <v>1687</v>
      </c>
      <c r="P4" s="440"/>
      <c r="Q4" s="440"/>
      <c r="R4" s="440"/>
      <c r="S4" s="440"/>
      <c r="T4" s="441"/>
    </row>
    <row r="5" spans="1:20" ht="15.75" customHeight="1">
      <c r="A5" s="134"/>
      <c r="B5" s="275"/>
      <c r="C5" s="442" t="s">
        <v>1005</v>
      </c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273"/>
      <c r="O5" s="443" t="s">
        <v>1629</v>
      </c>
      <c r="P5" s="443"/>
      <c r="Q5" s="443"/>
      <c r="R5" s="443"/>
      <c r="S5" s="443"/>
      <c r="T5" s="444"/>
    </row>
    <row r="6" spans="1:20" ht="15.75">
      <c r="A6" s="134"/>
      <c r="B6" s="275"/>
      <c r="C6" s="445" t="s">
        <v>965</v>
      </c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273"/>
      <c r="O6" s="446" t="s">
        <v>922</v>
      </c>
      <c r="P6" s="446"/>
      <c r="Q6" s="446"/>
      <c r="R6" s="446"/>
      <c r="S6" s="446"/>
      <c r="T6" s="447"/>
    </row>
    <row r="7" spans="1:20" ht="15.75">
      <c r="A7" s="134"/>
      <c r="B7" s="27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273"/>
      <c r="O7" s="448" t="s">
        <v>966</v>
      </c>
      <c r="P7" s="448"/>
      <c r="Q7" s="448"/>
      <c r="R7" s="448"/>
      <c r="S7" s="448"/>
      <c r="T7" s="449"/>
    </row>
    <row r="8" spans="1:20" ht="15.75">
      <c r="A8" s="284"/>
      <c r="B8" s="285"/>
      <c r="C8" s="286"/>
      <c r="D8" s="287"/>
      <c r="E8" s="287"/>
      <c r="F8" s="287"/>
      <c r="G8" s="287"/>
      <c r="H8" s="287"/>
      <c r="I8" s="287"/>
      <c r="J8" s="268"/>
      <c r="K8" s="287"/>
      <c r="L8" s="288"/>
      <c r="M8" s="288"/>
      <c r="N8" s="289"/>
      <c r="O8" s="430" t="s">
        <v>3</v>
      </c>
      <c r="P8" s="430"/>
      <c r="Q8" s="430"/>
      <c r="R8" s="430"/>
      <c r="S8" s="430"/>
      <c r="T8" s="431"/>
    </row>
    <row r="9" spans="1:20" ht="15" customHeight="1">
      <c r="A9" s="432" t="s">
        <v>967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3"/>
      <c r="P9" s="433"/>
      <c r="Q9" s="433"/>
      <c r="R9" s="433"/>
      <c r="S9" s="433"/>
      <c r="T9" s="433"/>
    </row>
    <row r="10" spans="2:22" ht="12.75">
      <c r="B10" s="135"/>
      <c r="C10" s="135"/>
      <c r="D10" s="135"/>
      <c r="E10" s="135"/>
      <c r="F10" s="135"/>
      <c r="J10" s="135"/>
      <c r="K10" s="135"/>
      <c r="L10" s="135"/>
      <c r="N10" s="135"/>
      <c r="S10" s="135"/>
      <c r="V10" s="135"/>
    </row>
    <row r="11" spans="1:22" ht="12.75">
      <c r="A11" s="136" t="s">
        <v>923</v>
      </c>
      <c r="B11" s="136"/>
      <c r="C11" s="136"/>
      <c r="D11" s="136"/>
      <c r="E11" s="434">
        <f>P26</f>
        <v>170</v>
      </c>
      <c r="F11" s="434"/>
      <c r="G11" s="136"/>
      <c r="H11" s="136" t="s">
        <v>924</v>
      </c>
      <c r="J11" s="135"/>
      <c r="K11" s="135"/>
      <c r="L11" s="135"/>
      <c r="N11" s="135"/>
      <c r="S11" s="135"/>
      <c r="V11" s="135"/>
    </row>
    <row r="12" spans="2:22" ht="12.75">
      <c r="B12" s="135"/>
      <c r="C12" s="135"/>
      <c r="D12" s="135"/>
      <c r="E12" s="135"/>
      <c r="F12" s="135"/>
      <c r="J12" s="135"/>
      <c r="K12" s="135"/>
      <c r="L12" s="135"/>
      <c r="N12" s="135"/>
      <c r="S12" s="135"/>
      <c r="V12" s="135"/>
    </row>
    <row r="13" spans="1:22" ht="12.75" customHeight="1">
      <c r="A13" s="435" t="s">
        <v>925</v>
      </c>
      <c r="B13" s="435"/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435"/>
      <c r="T13" s="435"/>
      <c r="V13" s="135"/>
    </row>
    <row r="14" spans="1:22" ht="12.75">
      <c r="A14" s="435"/>
      <c r="B14" s="435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V14" s="135"/>
    </row>
    <row r="15" spans="1:22" ht="12.75">
      <c r="A15" s="435"/>
      <c r="B15" s="435"/>
      <c r="C15" s="435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V15" s="135"/>
    </row>
    <row r="16" spans="1:22" ht="12.75">
      <c r="A16" s="435"/>
      <c r="B16" s="435"/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V16" s="135"/>
    </row>
    <row r="17" spans="1:22" ht="12.75">
      <c r="A17" s="435"/>
      <c r="B17" s="435"/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V17" s="135"/>
    </row>
    <row r="18" spans="1:22" ht="12.75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V18" s="135"/>
    </row>
    <row r="19" spans="1:22" ht="12.75" customHeight="1">
      <c r="A19" s="136"/>
      <c r="B19" s="135"/>
      <c r="C19" s="135"/>
      <c r="D19" s="135"/>
      <c r="E19" s="135"/>
      <c r="F19" s="135"/>
      <c r="J19" s="135"/>
      <c r="K19" s="135"/>
      <c r="L19" s="135"/>
      <c r="N19" s="135"/>
      <c r="S19" s="135"/>
      <c r="V19" s="135"/>
    </row>
    <row r="20" spans="1:22" ht="12.75">
      <c r="A20" s="135" t="s">
        <v>926</v>
      </c>
      <c r="B20" s="135"/>
      <c r="C20" s="135"/>
      <c r="D20" s="135"/>
      <c r="E20" s="135"/>
      <c r="F20" s="135"/>
      <c r="J20" s="135"/>
      <c r="K20" s="135"/>
      <c r="L20" s="135"/>
      <c r="N20" s="135"/>
      <c r="S20" s="135"/>
      <c r="V20" s="135"/>
    </row>
    <row r="21" spans="2:22" ht="12.75">
      <c r="B21" s="135"/>
      <c r="C21" s="135"/>
      <c r="D21" s="135"/>
      <c r="E21" s="135"/>
      <c r="F21" s="135" t="s">
        <v>927</v>
      </c>
      <c r="I21" s="135" t="s">
        <v>928</v>
      </c>
      <c r="J21" s="135"/>
      <c r="K21" s="135" t="s">
        <v>929</v>
      </c>
      <c r="L21" s="135"/>
      <c r="N21" s="135"/>
      <c r="S21" s="135"/>
      <c r="V21" s="135"/>
    </row>
    <row r="22" spans="1:22" ht="12.75">
      <c r="A22" s="138" t="s">
        <v>930</v>
      </c>
      <c r="B22" s="135"/>
      <c r="C22" s="135"/>
      <c r="D22" s="135"/>
      <c r="E22" s="135"/>
      <c r="F22" s="139">
        <v>2</v>
      </c>
      <c r="G22" s="140"/>
      <c r="H22" s="141" t="s">
        <v>931</v>
      </c>
      <c r="I22" s="137">
        <v>2</v>
      </c>
      <c r="J22" s="141" t="s">
        <v>931</v>
      </c>
      <c r="K22" s="142">
        <v>34</v>
      </c>
      <c r="L22" s="141" t="s">
        <v>932</v>
      </c>
      <c r="M22" s="143"/>
      <c r="O22" s="141" t="s">
        <v>933</v>
      </c>
      <c r="P22" s="144">
        <f>(F22*I22*K22)</f>
        <v>136</v>
      </c>
      <c r="Q22" s="135" t="s">
        <v>924</v>
      </c>
      <c r="S22" s="135"/>
      <c r="V22" s="135"/>
    </row>
    <row r="23" spans="2:22" ht="12.75">
      <c r="B23" s="135"/>
      <c r="C23" s="135"/>
      <c r="D23" s="135"/>
      <c r="E23" s="135"/>
      <c r="F23" s="135"/>
      <c r="J23" s="135"/>
      <c r="K23" s="135"/>
      <c r="L23" s="135"/>
      <c r="N23" s="135"/>
      <c r="P23" s="145"/>
      <c r="S23" s="135"/>
      <c r="V23" s="135"/>
    </row>
    <row r="24" spans="1:22" ht="12.75">
      <c r="A24" s="138" t="s">
        <v>930</v>
      </c>
      <c r="B24" s="135"/>
      <c r="C24" s="135"/>
      <c r="D24" s="135"/>
      <c r="E24" s="135"/>
      <c r="F24" s="139">
        <v>1</v>
      </c>
      <c r="G24" s="140"/>
      <c r="H24" s="141" t="s">
        <v>931</v>
      </c>
      <c r="I24" s="139">
        <v>1</v>
      </c>
      <c r="J24" s="141" t="s">
        <v>931</v>
      </c>
      <c r="K24" s="146">
        <v>34</v>
      </c>
      <c r="L24" s="140" t="s">
        <v>934</v>
      </c>
      <c r="M24" s="140"/>
      <c r="O24" s="140"/>
      <c r="P24" s="436">
        <f>F24*I24*K24</f>
        <v>34</v>
      </c>
      <c r="Q24" s="436"/>
      <c r="R24" s="135" t="s">
        <v>924</v>
      </c>
      <c r="S24" s="135"/>
      <c r="V24" s="135"/>
    </row>
    <row r="25" spans="2:22" ht="12.75">
      <c r="B25" s="135"/>
      <c r="C25" s="135"/>
      <c r="D25" s="135"/>
      <c r="E25" s="135"/>
      <c r="F25" s="135"/>
      <c r="J25" s="135"/>
      <c r="K25" s="135"/>
      <c r="L25" s="135"/>
      <c r="N25" s="135"/>
      <c r="P25" s="145"/>
      <c r="S25" s="135"/>
      <c r="V25" s="135"/>
    </row>
    <row r="26" spans="2:22" ht="12.75">
      <c r="B26" s="135"/>
      <c r="C26" s="135"/>
      <c r="D26" s="135"/>
      <c r="E26" s="135"/>
      <c r="F26" s="135"/>
      <c r="J26" s="135"/>
      <c r="K26" s="135"/>
      <c r="L26" s="135"/>
      <c r="N26" s="135"/>
      <c r="P26" s="427">
        <f>SUM(P22:P25)</f>
        <v>170</v>
      </c>
      <c r="Q26" s="427"/>
      <c r="R26" s="147" t="s">
        <v>924</v>
      </c>
      <c r="S26" s="135"/>
      <c r="V26" s="135"/>
    </row>
    <row r="27" spans="2:22" ht="12.75">
      <c r="B27" s="135"/>
      <c r="C27" s="135"/>
      <c r="D27" s="135"/>
      <c r="E27" s="135"/>
      <c r="F27" s="135"/>
      <c r="J27" s="135"/>
      <c r="K27" s="135"/>
      <c r="L27" s="135"/>
      <c r="N27" s="135"/>
      <c r="S27" s="135"/>
      <c r="V27" s="135"/>
    </row>
    <row r="28" spans="1:22" ht="12.75">
      <c r="A28" s="426" t="s">
        <v>935</v>
      </c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135"/>
      <c r="S28" s="135"/>
      <c r="V28" s="135"/>
    </row>
    <row r="29" spans="1:22" ht="12.75">
      <c r="A29" s="426"/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135"/>
      <c r="S29" s="135"/>
      <c r="V29" s="135"/>
    </row>
    <row r="30" spans="1:22" ht="12.75">
      <c r="A30" s="138" t="s">
        <v>936</v>
      </c>
      <c r="B30" s="135"/>
      <c r="C30" s="135"/>
      <c r="D30" s="427">
        <f>$E$11</f>
        <v>170</v>
      </c>
      <c r="E30" s="427"/>
      <c r="F30" s="148" t="s">
        <v>924</v>
      </c>
      <c r="I30" s="135" t="s">
        <v>937</v>
      </c>
      <c r="J30" s="135"/>
      <c r="K30" s="135"/>
      <c r="L30" s="149">
        <v>1</v>
      </c>
      <c r="M30" s="148" t="s">
        <v>938</v>
      </c>
      <c r="N30" s="135"/>
      <c r="O30" s="149">
        <v>15</v>
      </c>
      <c r="S30" s="135"/>
      <c r="V30" s="135"/>
    </row>
    <row r="31" spans="2:22" ht="12.75">
      <c r="B31" s="135"/>
      <c r="C31" s="135"/>
      <c r="D31" s="135"/>
      <c r="E31" s="135"/>
      <c r="F31" s="135"/>
      <c r="J31" s="135"/>
      <c r="K31" s="135"/>
      <c r="L31" s="135"/>
      <c r="N31" s="135"/>
      <c r="S31" s="135"/>
      <c r="V31" s="135"/>
    </row>
    <row r="32" spans="1:22" ht="12.75">
      <c r="A32" s="138" t="s">
        <v>939</v>
      </c>
      <c r="B32" s="135"/>
      <c r="C32" s="135"/>
      <c r="D32" s="428">
        <f>D30</f>
        <v>170</v>
      </c>
      <c r="E32" s="428"/>
      <c r="F32" s="135" t="s">
        <v>924</v>
      </c>
      <c r="H32" s="148" t="s">
        <v>938</v>
      </c>
      <c r="I32" s="150">
        <f>O30+1</f>
        <v>16</v>
      </c>
      <c r="J32" s="135" t="s">
        <v>933</v>
      </c>
      <c r="K32" s="423">
        <f>D32/I32</f>
        <v>10.625</v>
      </c>
      <c r="L32" s="423"/>
      <c r="M32" s="135" t="s">
        <v>924</v>
      </c>
      <c r="N32" s="135"/>
      <c r="S32" s="135"/>
      <c r="V32" s="135"/>
    </row>
    <row r="33" spans="2:22" ht="12.75">
      <c r="B33" s="135"/>
      <c r="C33" s="135"/>
      <c r="D33" s="135"/>
      <c r="E33" s="135"/>
      <c r="F33" s="135"/>
      <c r="H33" s="135" t="s">
        <v>940</v>
      </c>
      <c r="J33" s="135"/>
      <c r="K33" s="135"/>
      <c r="L33" s="135"/>
      <c r="N33" s="135"/>
      <c r="S33" s="135"/>
      <c r="V33" s="135"/>
    </row>
    <row r="34" spans="2:22" ht="12.75">
      <c r="B34" s="135"/>
      <c r="C34" s="135"/>
      <c r="D34" s="423">
        <f>K32</f>
        <v>10.625</v>
      </c>
      <c r="E34" s="423"/>
      <c r="F34" s="135" t="s">
        <v>931</v>
      </c>
      <c r="H34" s="429">
        <v>1200</v>
      </c>
      <c r="I34" s="429"/>
      <c r="J34" s="135" t="s">
        <v>933</v>
      </c>
      <c r="K34" s="418">
        <f>D34*H34</f>
        <v>12750</v>
      </c>
      <c r="L34" s="418"/>
      <c r="M34" s="135" t="s">
        <v>941</v>
      </c>
      <c r="N34" s="135"/>
      <c r="O34" s="135" t="s">
        <v>931</v>
      </c>
      <c r="P34" s="145">
        <v>0.57</v>
      </c>
      <c r="Q34" s="135" t="s">
        <v>933</v>
      </c>
      <c r="R34" s="152" t="s">
        <v>34</v>
      </c>
      <c r="S34" s="419">
        <f>K34*P34</f>
        <v>7267.499999999999</v>
      </c>
      <c r="T34" s="419"/>
      <c r="V34" s="135"/>
    </row>
    <row r="35" spans="2:22" ht="12.75">
      <c r="B35" s="135"/>
      <c r="C35" s="135"/>
      <c r="D35" s="135"/>
      <c r="E35" s="151"/>
      <c r="F35" s="135"/>
      <c r="H35" s="148"/>
      <c r="I35" s="148"/>
      <c r="J35" s="135"/>
      <c r="K35" s="153"/>
      <c r="L35" s="135"/>
      <c r="N35" s="135"/>
      <c r="S35" s="135"/>
      <c r="V35" s="135"/>
    </row>
    <row r="36" spans="1:22" ht="12.75">
      <c r="A36" s="138" t="s">
        <v>942</v>
      </c>
      <c r="B36" s="135"/>
      <c r="C36" s="135"/>
      <c r="D36" s="423">
        <f>K32</f>
        <v>10.625</v>
      </c>
      <c r="E36" s="423"/>
      <c r="F36" s="135" t="s">
        <v>924</v>
      </c>
      <c r="H36" s="148" t="s">
        <v>931</v>
      </c>
      <c r="I36" s="150">
        <f>O30</f>
        <v>15</v>
      </c>
      <c r="J36" s="135" t="s">
        <v>933</v>
      </c>
      <c r="K36" s="424">
        <f>D36*I36</f>
        <v>159.375</v>
      </c>
      <c r="L36" s="424"/>
      <c r="M36" s="135" t="s">
        <v>924</v>
      </c>
      <c r="N36" s="135"/>
      <c r="O36" s="135" t="s">
        <v>943</v>
      </c>
      <c r="P36" s="154">
        <f>P38</f>
        <v>6</v>
      </c>
      <c r="Q36" s="135" t="s">
        <v>933</v>
      </c>
      <c r="R36" s="152" t="s">
        <v>34</v>
      </c>
      <c r="S36" s="419">
        <f>K36*P36</f>
        <v>956.25</v>
      </c>
      <c r="T36" s="419"/>
      <c r="V36" s="135"/>
    </row>
    <row r="37" spans="2:22" ht="12.75">
      <c r="B37" s="135"/>
      <c r="C37" s="135"/>
      <c r="D37" s="135"/>
      <c r="E37" s="135"/>
      <c r="F37" s="135"/>
      <c r="I37" s="425"/>
      <c r="J37" s="425"/>
      <c r="K37" s="425"/>
      <c r="L37" s="425"/>
      <c r="M37" s="425"/>
      <c r="N37" s="425"/>
      <c r="O37" s="425"/>
      <c r="S37" s="135"/>
      <c r="V37" s="135"/>
    </row>
    <row r="38" spans="1:22" ht="12.75">
      <c r="A38" s="135" t="s">
        <v>944</v>
      </c>
      <c r="B38" s="155" t="s">
        <v>945</v>
      </c>
      <c r="C38" s="135"/>
      <c r="D38" s="135"/>
      <c r="E38" s="135"/>
      <c r="F38" s="135"/>
      <c r="J38" s="135"/>
      <c r="K38" s="135"/>
      <c r="L38" s="135"/>
      <c r="N38" s="135" t="s">
        <v>136</v>
      </c>
      <c r="P38" s="135">
        <f>TRUNC(6,2)</f>
        <v>6</v>
      </c>
      <c r="S38" s="135"/>
      <c r="V38" s="135"/>
    </row>
    <row r="39" spans="2:22" ht="12.75">
      <c r="B39" s="135"/>
      <c r="C39" s="135"/>
      <c r="D39" s="135"/>
      <c r="E39" s="135"/>
      <c r="F39" s="135"/>
      <c r="J39" s="135"/>
      <c r="K39" s="135"/>
      <c r="L39" s="135"/>
      <c r="N39" s="135"/>
      <c r="S39" s="135"/>
      <c r="V39" s="135"/>
    </row>
    <row r="40" spans="1:22" ht="12.75">
      <c r="A40" s="138" t="s">
        <v>946</v>
      </c>
      <c r="B40" s="135"/>
      <c r="C40" s="418">
        <f>D30</f>
        <v>170</v>
      </c>
      <c r="D40" s="418"/>
      <c r="E40" s="148" t="s">
        <v>947</v>
      </c>
      <c r="F40" s="149">
        <v>20</v>
      </c>
      <c r="H40" s="135" t="s">
        <v>948</v>
      </c>
      <c r="J40" s="135" t="s">
        <v>933</v>
      </c>
      <c r="K40" s="418">
        <f>C40*F40</f>
        <v>3400</v>
      </c>
      <c r="L40" s="418"/>
      <c r="M40" s="135" t="s">
        <v>949</v>
      </c>
      <c r="N40" s="135"/>
      <c r="S40" s="135"/>
      <c r="V40" s="135"/>
    </row>
    <row r="41" spans="1:22" ht="12.75">
      <c r="A41" s="156">
        <v>2</v>
      </c>
      <c r="B41" s="148" t="s">
        <v>931</v>
      </c>
      <c r="C41" s="418">
        <f>K40</f>
        <v>3400</v>
      </c>
      <c r="D41" s="418"/>
      <c r="E41" s="135" t="s">
        <v>933</v>
      </c>
      <c r="F41" s="135"/>
      <c r="J41" s="135"/>
      <c r="K41" s="135"/>
      <c r="L41" s="135"/>
      <c r="N41" s="135"/>
      <c r="R41" s="152" t="s">
        <v>34</v>
      </c>
      <c r="S41" s="419">
        <f>A41*C41</f>
        <v>6800</v>
      </c>
      <c r="T41" s="419"/>
      <c r="V41" s="135"/>
    </row>
    <row r="42" spans="2:22" ht="12.75">
      <c r="B42" s="135"/>
      <c r="C42" s="135"/>
      <c r="D42" s="135"/>
      <c r="E42" s="135"/>
      <c r="F42" s="135"/>
      <c r="J42" s="135"/>
      <c r="K42" s="135"/>
      <c r="L42" s="135"/>
      <c r="N42" s="135"/>
      <c r="S42" s="135"/>
      <c r="V42" s="135"/>
    </row>
    <row r="43" spans="1:22" ht="12.75">
      <c r="A43" s="420" t="s">
        <v>950</v>
      </c>
      <c r="B43" s="421"/>
      <c r="C43" s="421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135"/>
      <c r="S43" s="135"/>
      <c r="V43" s="135"/>
    </row>
    <row r="44" spans="1:22" ht="12.75">
      <c r="A44" s="420"/>
      <c r="B44" s="421"/>
      <c r="C44" s="421"/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135"/>
      <c r="S44" s="135"/>
      <c r="V44" s="135"/>
    </row>
    <row r="45" spans="1:22" ht="12.75">
      <c r="A45" s="135" t="s">
        <v>951</v>
      </c>
      <c r="B45" s="135"/>
      <c r="C45" s="135"/>
      <c r="D45" s="140">
        <v>1</v>
      </c>
      <c r="E45" s="141" t="s">
        <v>931</v>
      </c>
      <c r="F45" s="157">
        <v>29.95</v>
      </c>
      <c r="G45" s="140"/>
      <c r="H45" s="140" t="s">
        <v>933</v>
      </c>
      <c r="I45" s="140">
        <f>D45*F45</f>
        <v>29.95</v>
      </c>
      <c r="M45" s="140"/>
      <c r="O45" s="140"/>
      <c r="P45" s="140"/>
      <c r="Q45" s="140"/>
      <c r="R45" s="140"/>
      <c r="S45" s="135"/>
      <c r="V45" s="135"/>
    </row>
    <row r="46" spans="1:22" ht="12.75">
      <c r="A46" s="135" t="s">
        <v>952</v>
      </c>
      <c r="B46" s="135"/>
      <c r="C46" s="135"/>
      <c r="D46" s="140">
        <v>6</v>
      </c>
      <c r="E46" s="141" t="s">
        <v>931</v>
      </c>
      <c r="F46" s="157">
        <v>23.64</v>
      </c>
      <c r="G46" s="140"/>
      <c r="H46" s="140" t="s">
        <v>933</v>
      </c>
      <c r="I46" s="158">
        <f>D46*F46</f>
        <v>141.84</v>
      </c>
      <c r="M46" s="140"/>
      <c r="O46" s="140"/>
      <c r="P46" s="140"/>
      <c r="Q46" s="140"/>
      <c r="R46" s="140"/>
      <c r="S46" s="135"/>
      <c r="V46" s="135"/>
    </row>
    <row r="47" spans="2:22" ht="12.75">
      <c r="B47" s="135"/>
      <c r="C47" s="135"/>
      <c r="D47" s="140"/>
      <c r="E47" s="140"/>
      <c r="F47" s="140"/>
      <c r="G47" s="140"/>
      <c r="H47" s="140"/>
      <c r="I47" s="140">
        <f>SUM(I45:I46)</f>
        <v>171.79</v>
      </c>
      <c r="J47" s="140" t="s">
        <v>931</v>
      </c>
      <c r="K47" s="418">
        <f>E11</f>
        <v>170</v>
      </c>
      <c r="L47" s="418"/>
      <c r="M47" s="135" t="s">
        <v>924</v>
      </c>
      <c r="O47" s="141" t="s">
        <v>933</v>
      </c>
      <c r="Q47" s="140"/>
      <c r="R47" s="152" t="s">
        <v>34</v>
      </c>
      <c r="S47" s="419">
        <f>I47*K47</f>
        <v>29204.3</v>
      </c>
      <c r="T47" s="419"/>
      <c r="V47" s="135"/>
    </row>
    <row r="48" spans="2:22" ht="13.5" thickBot="1">
      <c r="B48" s="135"/>
      <c r="C48" s="135"/>
      <c r="D48" s="135"/>
      <c r="E48" s="135"/>
      <c r="F48" s="135"/>
      <c r="J48" s="135"/>
      <c r="K48" s="135"/>
      <c r="L48" s="135"/>
      <c r="N48" s="135"/>
      <c r="P48" s="159" t="s">
        <v>953</v>
      </c>
      <c r="Q48" s="159"/>
      <c r="R48" s="159" t="s">
        <v>34</v>
      </c>
      <c r="S48" s="422">
        <f>SUM(S34:S47)</f>
        <v>44228.05</v>
      </c>
      <c r="T48" s="422"/>
      <c r="V48" s="135"/>
    </row>
    <row r="49" spans="15:20" s="136" customFormat="1" ht="14.25" thickBot="1" thickTop="1">
      <c r="O49" s="136" t="s">
        <v>954</v>
      </c>
      <c r="R49" s="160" t="s">
        <v>34</v>
      </c>
      <c r="S49" s="161">
        <f>S48/K47</f>
        <v>260.165</v>
      </c>
      <c r="T49" s="162"/>
    </row>
    <row r="50" s="135" customFormat="1" ht="13.5" thickTop="1"/>
    <row r="51" s="135" customFormat="1" ht="12.75"/>
    <row r="52" s="135" customFormat="1" ht="12.75"/>
    <row r="53" s="135" customFormat="1" ht="12.75"/>
    <row r="54" s="135" customFormat="1" ht="12.75"/>
    <row r="55" s="135" customFormat="1" ht="12.75"/>
    <row r="56" s="135" customFormat="1" ht="12.75"/>
    <row r="57" s="135" customFormat="1" ht="12.75"/>
    <row r="58" s="135" customFormat="1" ht="12.75"/>
    <row r="59" s="135" customFormat="1" ht="12.75"/>
    <row r="60" s="135" customFormat="1" ht="12.75"/>
    <row r="61" s="135" customFormat="1" ht="12.75"/>
    <row r="62" s="135" customFormat="1" ht="12.75"/>
    <row r="63" s="135" customFormat="1" ht="12.75"/>
    <row r="64" s="135" customFormat="1" ht="12.75"/>
    <row r="65" s="135" customFormat="1" ht="12.75"/>
    <row r="66" s="135" customFormat="1" ht="12.75"/>
    <row r="67" s="135" customFormat="1" ht="12.75"/>
    <row r="68" s="135" customFormat="1" ht="12.75"/>
    <row r="69" s="135" customFormat="1" ht="12.75"/>
    <row r="70" s="135" customFormat="1" ht="12.75"/>
    <row r="71" s="135" customFormat="1" ht="12.75"/>
    <row r="72" s="135" customFormat="1" ht="12.75"/>
    <row r="73" s="135" customFormat="1" ht="12.75"/>
    <row r="74" s="135" customFormat="1" ht="12.75"/>
    <row r="75" s="135" customFormat="1" ht="12.75"/>
    <row r="76" s="135" customFormat="1" ht="12.75"/>
    <row r="77" s="135" customFormat="1" ht="12.75"/>
    <row r="78" s="135" customFormat="1" ht="12.75"/>
    <row r="79" s="135" customFormat="1" ht="12.75"/>
    <row r="80" s="135" customFormat="1" ht="12.75"/>
    <row r="81" s="135" customFormat="1" ht="12.75"/>
    <row r="82" s="135" customFormat="1" ht="12.75"/>
    <row r="83" s="135" customFormat="1" ht="12.75"/>
    <row r="84" s="135" customFormat="1" ht="12.75"/>
    <row r="85" s="135" customFormat="1" ht="12.75"/>
    <row r="86" s="135" customFormat="1" ht="12.75"/>
    <row r="87" s="135" customFormat="1" ht="12.75"/>
    <row r="88" s="135" customFormat="1" ht="12.75"/>
    <row r="89" s="135" customFormat="1" ht="12.75"/>
    <row r="90" s="135" customFormat="1" ht="12.75"/>
    <row r="91" s="135" customFormat="1" ht="12.75"/>
    <row r="92" s="135" customFormat="1" ht="12.75"/>
    <row r="93" s="135" customFormat="1" ht="12.75"/>
    <row r="94" s="135" customFormat="1" ht="12.75"/>
    <row r="95" s="135" customFormat="1" ht="12.75"/>
    <row r="96" s="135" customFormat="1" ht="12.75"/>
    <row r="97" s="135" customFormat="1" ht="12.75"/>
    <row r="98" s="135" customFormat="1" ht="12.75"/>
    <row r="99" s="135" customFormat="1" ht="12.75"/>
    <row r="100" s="135" customFormat="1" ht="12.75"/>
    <row r="101" s="135" customFormat="1" ht="12.75"/>
    <row r="102" s="135" customFormat="1" ht="12.75"/>
    <row r="103" s="135" customFormat="1" ht="12.75"/>
    <row r="104" s="135" customFormat="1" ht="12.75"/>
    <row r="105" s="135" customFormat="1" ht="12.75"/>
    <row r="106" s="135" customFormat="1" ht="12.75"/>
    <row r="107" s="135" customFormat="1" ht="12.75"/>
    <row r="108" s="135" customFormat="1" ht="12.75"/>
    <row r="109" s="135" customFormat="1" ht="12.75"/>
    <row r="110" s="135" customFormat="1" ht="12.75"/>
    <row r="111" s="135" customFormat="1" ht="12.75"/>
    <row r="112" s="135" customFormat="1" ht="12.75"/>
    <row r="113" s="135" customFormat="1" ht="12.75"/>
    <row r="114" s="135" customFormat="1" ht="12.75"/>
    <row r="115" s="135" customFormat="1" ht="12.75"/>
    <row r="116" s="135" customFormat="1" ht="12.75"/>
    <row r="117" s="135" customFormat="1" ht="12.75"/>
    <row r="118" s="135" customFormat="1" ht="12.75"/>
    <row r="119" s="135" customFormat="1" ht="12.75"/>
    <row r="120" s="135" customFormat="1" ht="12.75"/>
    <row r="121" s="135" customFormat="1" ht="12.75"/>
    <row r="122" s="135" customFormat="1" ht="12.75"/>
    <row r="123" s="135" customFormat="1" ht="12.75"/>
    <row r="124" s="135" customFormat="1" ht="12.75"/>
    <row r="125" s="135" customFormat="1" ht="12.75"/>
    <row r="126" s="135" customFormat="1" ht="12.75"/>
    <row r="127" s="135" customFormat="1" ht="12.75"/>
    <row r="128" s="135" customFormat="1" ht="12.75"/>
    <row r="129" s="135" customFormat="1" ht="12.75"/>
    <row r="130" s="135" customFormat="1" ht="12.75"/>
    <row r="131" s="135" customFormat="1" ht="12.75"/>
    <row r="132" s="135" customFormat="1" ht="12.75"/>
    <row r="133" s="135" customFormat="1" ht="12.75"/>
    <row r="134" s="135" customFormat="1" ht="12.75"/>
    <row r="135" s="135" customFormat="1" ht="12.75"/>
    <row r="136" s="135" customFormat="1" ht="12.75"/>
    <row r="137" s="135" customFormat="1" ht="12.75"/>
    <row r="138" s="135" customFormat="1" ht="12.75"/>
    <row r="139" s="135" customFormat="1" ht="12.75"/>
    <row r="140" s="135" customFormat="1" ht="12.75"/>
    <row r="141" s="135" customFormat="1" ht="12.75"/>
    <row r="142" s="135" customFormat="1" ht="12.75"/>
    <row r="143" s="135" customFormat="1" ht="12.75"/>
    <row r="144" s="135" customFormat="1" ht="12.75"/>
    <row r="145" s="135" customFormat="1" ht="12.75"/>
    <row r="146" s="135" customFormat="1" ht="12.75"/>
    <row r="147" s="135" customFormat="1" ht="12.75"/>
    <row r="148" s="135" customFormat="1" ht="12.75"/>
    <row r="149" s="135" customFormat="1" ht="12.75"/>
    <row r="150" s="135" customFormat="1" ht="12.75"/>
    <row r="151" s="135" customFormat="1" ht="12.75"/>
    <row r="152" s="135" customFormat="1" ht="12.75"/>
    <row r="153" s="135" customFormat="1" ht="12.75"/>
    <row r="154" s="135" customFormat="1" ht="12.75"/>
    <row r="155" s="135" customFormat="1" ht="12.75"/>
    <row r="156" s="135" customFormat="1" ht="12.75"/>
    <row r="157" s="135" customFormat="1" ht="12.75"/>
    <row r="158" s="135" customFormat="1" ht="12.75"/>
    <row r="159" s="135" customFormat="1" ht="12.75"/>
    <row r="160" s="135" customFormat="1" ht="12.75"/>
    <row r="161" s="135" customFormat="1" ht="12.75"/>
    <row r="162" s="135" customFormat="1" ht="12.75"/>
    <row r="163" s="135" customFormat="1" ht="12.75"/>
    <row r="164" s="135" customFormat="1" ht="12.75"/>
    <row r="165" s="135" customFormat="1" ht="12.75"/>
    <row r="166" s="135" customFormat="1" ht="12.75"/>
    <row r="167" s="135" customFormat="1" ht="12.75"/>
    <row r="168" s="135" customFormat="1" ht="12.75"/>
    <row r="169" s="135" customFormat="1" ht="12.75"/>
    <row r="170" s="135" customFormat="1" ht="12.75"/>
    <row r="171" s="135" customFormat="1" ht="12.75"/>
    <row r="172" s="135" customFormat="1" ht="12.75"/>
    <row r="173" s="135" customFormat="1" ht="12.75"/>
    <row r="174" s="135" customFormat="1" ht="12.75"/>
    <row r="175" s="135" customFormat="1" ht="12.75"/>
    <row r="176" s="135" customFormat="1" ht="12.75"/>
    <row r="177" s="135" customFormat="1" ht="12.75"/>
    <row r="178" s="135" customFormat="1" ht="12.75"/>
    <row r="179" s="135" customFormat="1" ht="12.75"/>
    <row r="180" s="135" customFormat="1" ht="12.75"/>
    <row r="181" s="135" customFormat="1" ht="12.75"/>
    <row r="182" s="135" customFormat="1" ht="12.75"/>
    <row r="183" s="135" customFormat="1" ht="12.75"/>
    <row r="184" s="135" customFormat="1" ht="12.75"/>
    <row r="185" s="135" customFormat="1" ht="12.75"/>
    <row r="186" s="135" customFormat="1" ht="12.75"/>
    <row r="187" s="135" customFormat="1" ht="12.75"/>
    <row r="188" s="135" customFormat="1" ht="12.75"/>
    <row r="189" s="135" customFormat="1" ht="12.75"/>
    <row r="190" s="135" customFormat="1" ht="12.75"/>
    <row r="191" s="135" customFormat="1" ht="12.75"/>
    <row r="192" s="135" customFormat="1" ht="12.75"/>
    <row r="193" s="135" customFormat="1" ht="12.75"/>
    <row r="194" s="135" customFormat="1" ht="12.75"/>
    <row r="195" s="135" customFormat="1" ht="12.75"/>
    <row r="196" s="135" customFormat="1" ht="12.75"/>
    <row r="197" s="135" customFormat="1" ht="12.75"/>
    <row r="198" s="135" customFormat="1" ht="12.75"/>
    <row r="199" s="135" customFormat="1" ht="12.75"/>
    <row r="200" s="135" customFormat="1" ht="12.75"/>
    <row r="201" s="135" customFormat="1" ht="12.75"/>
    <row r="202" s="135" customFormat="1" ht="12.75"/>
    <row r="203" s="135" customFormat="1" ht="12.75"/>
    <row r="204" s="135" customFormat="1" ht="12.75"/>
    <row r="205" s="135" customFormat="1" ht="12.75"/>
    <row r="206" s="135" customFormat="1" ht="12.75"/>
    <row r="207" s="135" customFormat="1" ht="12.75"/>
    <row r="208" s="135" customFormat="1" ht="12.75"/>
    <row r="209" s="135" customFormat="1" ht="12.75"/>
    <row r="210" s="135" customFormat="1" ht="12.75"/>
    <row r="211" s="135" customFormat="1" ht="12.75"/>
    <row r="212" s="135" customFormat="1" ht="12.75"/>
    <row r="213" s="135" customFormat="1" ht="12.75"/>
    <row r="214" s="135" customFormat="1" ht="12.75"/>
    <row r="215" s="135" customFormat="1" ht="12.75"/>
    <row r="216" s="135" customFormat="1" ht="12.75"/>
    <row r="217" s="135" customFormat="1" ht="12.75"/>
    <row r="218" s="135" customFormat="1" ht="12.75"/>
    <row r="219" s="135" customFormat="1" ht="12.75"/>
    <row r="220" s="135" customFormat="1" ht="12.75"/>
    <row r="221" s="135" customFormat="1" ht="12.75"/>
    <row r="222" s="135" customFormat="1" ht="12.75"/>
    <row r="223" s="135" customFormat="1" ht="12.75"/>
    <row r="224" s="135" customFormat="1" ht="12.75"/>
    <row r="225" s="135" customFormat="1" ht="12.75"/>
    <row r="226" s="135" customFormat="1" ht="12.75"/>
    <row r="227" s="135" customFormat="1" ht="12.75"/>
    <row r="228" s="135" customFormat="1" ht="12.75"/>
    <row r="229" s="135" customFormat="1" ht="12.75"/>
    <row r="230" s="135" customFormat="1" ht="12.75"/>
    <row r="231" s="135" customFormat="1" ht="12.75"/>
    <row r="232" s="135" customFormat="1" ht="12.75"/>
    <row r="233" s="135" customFormat="1" ht="12.75"/>
    <row r="234" s="135" customFormat="1" ht="12.75"/>
    <row r="235" s="135" customFormat="1" ht="12.75"/>
    <row r="236" s="135" customFormat="1" ht="12.75"/>
    <row r="237" s="135" customFormat="1" ht="12.75"/>
    <row r="238" s="135" customFormat="1" ht="12.75"/>
    <row r="239" s="135" customFormat="1" ht="12.75"/>
    <row r="240" s="135" customFormat="1" ht="12.75"/>
    <row r="241" s="135" customFormat="1" ht="12.75"/>
    <row r="242" s="135" customFormat="1" ht="12.75"/>
    <row r="243" s="135" customFormat="1" ht="12.75"/>
    <row r="244" s="135" customFormat="1" ht="12.75"/>
    <row r="245" s="135" customFormat="1" ht="12.75"/>
    <row r="246" s="135" customFormat="1" ht="12.75"/>
    <row r="247" s="135" customFormat="1" ht="12.75"/>
    <row r="248" s="135" customFormat="1" ht="12.75"/>
    <row r="249" s="135" customFormat="1" ht="12.75"/>
    <row r="250" s="135" customFormat="1" ht="12.75"/>
    <row r="251" s="135" customFormat="1" ht="12.75"/>
    <row r="252" s="135" customFormat="1" ht="12.75"/>
    <row r="253" s="135" customFormat="1" ht="12.75"/>
    <row r="254" s="135" customFormat="1" ht="12.75"/>
    <row r="255" s="135" customFormat="1" ht="12.75"/>
    <row r="256" s="135" customFormat="1" ht="12.75"/>
    <row r="257" s="135" customFormat="1" ht="12.75"/>
    <row r="258" s="135" customFormat="1" ht="12.75"/>
    <row r="259" s="135" customFormat="1" ht="12.75"/>
    <row r="260" s="135" customFormat="1" ht="12.75"/>
    <row r="261" s="135" customFormat="1" ht="12.75"/>
    <row r="262" s="135" customFormat="1" ht="12.75"/>
    <row r="263" s="135" customFormat="1" ht="12.75"/>
    <row r="264" s="135" customFormat="1" ht="12.75"/>
    <row r="265" s="135" customFormat="1" ht="12.75"/>
    <row r="266" s="135" customFormat="1" ht="12.75"/>
    <row r="267" s="135" customFormat="1" ht="12.75"/>
    <row r="268" s="135" customFormat="1" ht="12.75"/>
    <row r="269" s="135" customFormat="1" ht="12.75"/>
    <row r="270" s="135" customFormat="1" ht="12.75"/>
    <row r="271" s="135" customFormat="1" ht="12.75"/>
    <row r="272" s="135" customFormat="1" ht="12.75"/>
    <row r="273" s="135" customFormat="1" ht="12.75"/>
    <row r="274" s="135" customFormat="1" ht="12.75"/>
    <row r="275" s="135" customFormat="1" ht="12.75"/>
    <row r="276" s="135" customFormat="1" ht="12.75"/>
    <row r="277" s="135" customFormat="1" ht="12.75"/>
    <row r="278" s="135" customFormat="1" ht="12.75"/>
    <row r="279" s="135" customFormat="1" ht="12.75"/>
    <row r="280" s="135" customFormat="1" ht="12.75"/>
    <row r="281" s="135" customFormat="1" ht="12.75"/>
    <row r="282" s="135" customFormat="1" ht="12.75"/>
    <row r="283" s="135" customFormat="1" ht="12.75"/>
    <row r="284" s="135" customFormat="1" ht="12.75"/>
    <row r="285" s="135" customFormat="1" ht="12.75"/>
    <row r="286" s="135" customFormat="1" ht="12.75"/>
    <row r="287" s="135" customFormat="1" ht="12.75"/>
    <row r="288" s="135" customFormat="1" ht="12.75"/>
    <row r="289" s="135" customFormat="1" ht="12.75"/>
    <row r="290" s="135" customFormat="1" ht="12.75"/>
    <row r="291" s="135" customFormat="1" ht="12.75"/>
    <row r="292" s="135" customFormat="1" ht="12.75"/>
    <row r="293" s="135" customFormat="1" ht="12.75"/>
    <row r="294" s="135" customFormat="1" ht="12.75"/>
    <row r="295" s="135" customFormat="1" ht="12.75"/>
    <row r="296" s="135" customFormat="1" ht="12.75"/>
    <row r="297" s="135" customFormat="1" ht="12.75"/>
    <row r="298" s="135" customFormat="1" ht="12.75"/>
    <row r="299" s="135" customFormat="1" ht="12.75"/>
    <row r="300" s="135" customFormat="1" ht="12.75"/>
    <row r="301" s="135" customFormat="1" ht="12.75"/>
    <row r="302" s="135" customFormat="1" ht="12.75"/>
    <row r="303" s="135" customFormat="1" ht="12.75"/>
    <row r="304" s="135" customFormat="1" ht="12.75"/>
    <row r="305" s="135" customFormat="1" ht="12.75"/>
    <row r="306" s="135" customFormat="1" ht="12.75"/>
    <row r="307" s="135" customFormat="1" ht="12.75"/>
    <row r="308" s="135" customFormat="1" ht="12.75"/>
    <row r="309" s="135" customFormat="1" ht="12.75"/>
    <row r="310" s="135" customFormat="1" ht="12.75"/>
    <row r="311" s="135" customFormat="1" ht="12.75"/>
    <row r="312" s="135" customFormat="1" ht="12.75"/>
    <row r="313" s="135" customFormat="1" ht="12.75"/>
    <row r="314" s="135" customFormat="1" ht="12.75"/>
    <row r="315" s="135" customFormat="1" ht="12.75"/>
    <row r="316" s="135" customFormat="1" ht="12.75"/>
    <row r="317" s="135" customFormat="1" ht="12.75"/>
    <row r="318" s="135" customFormat="1" ht="12.75"/>
    <row r="319" s="135" customFormat="1" ht="12.75"/>
    <row r="320" s="135" customFormat="1" ht="12.75"/>
    <row r="321" s="135" customFormat="1" ht="12.75"/>
    <row r="322" s="135" customFormat="1" ht="12.75"/>
    <row r="323" s="135" customFormat="1" ht="12.75"/>
    <row r="324" s="135" customFormat="1" ht="12.75"/>
    <row r="325" s="135" customFormat="1" ht="12.75"/>
    <row r="326" s="135" customFormat="1" ht="12.75"/>
    <row r="327" s="135" customFormat="1" ht="12.75"/>
    <row r="328" s="135" customFormat="1" ht="12.75"/>
    <row r="329" s="135" customFormat="1" ht="12.75"/>
    <row r="330" s="135" customFormat="1" ht="12.75"/>
    <row r="331" s="135" customFormat="1" ht="12.75"/>
    <row r="332" s="135" customFormat="1" ht="12.75"/>
    <row r="333" s="135" customFormat="1" ht="12.75"/>
    <row r="334" s="135" customFormat="1" ht="12.75"/>
    <row r="335" s="135" customFormat="1" ht="12.75"/>
    <row r="336" s="135" customFormat="1" ht="12.75"/>
    <row r="337" spans="2:22" ht="12.75">
      <c r="B337" s="135"/>
      <c r="C337" s="135"/>
      <c r="D337" s="135"/>
      <c r="E337" s="135"/>
      <c r="F337" s="135"/>
      <c r="J337" s="135"/>
      <c r="K337" s="135"/>
      <c r="L337" s="135"/>
      <c r="N337" s="135"/>
      <c r="S337" s="135"/>
      <c r="V337" s="135"/>
    </row>
    <row r="338" spans="2:22" ht="12.75">
      <c r="B338" s="135"/>
      <c r="C338" s="135"/>
      <c r="D338" s="135"/>
      <c r="E338" s="135"/>
      <c r="F338" s="135"/>
      <c r="J338" s="135"/>
      <c r="K338" s="135"/>
      <c r="L338" s="135"/>
      <c r="N338" s="135"/>
      <c r="S338" s="135"/>
      <c r="V338" s="135"/>
    </row>
    <row r="339" spans="2:19" ht="12.75">
      <c r="B339" s="135"/>
      <c r="C339" s="135"/>
      <c r="D339" s="135"/>
      <c r="E339" s="135"/>
      <c r="F339" s="135"/>
      <c r="J339" s="135"/>
      <c r="K339" s="135"/>
      <c r="L339" s="135"/>
      <c r="N339" s="135"/>
      <c r="S339" s="135"/>
    </row>
    <row r="340" spans="2:19" ht="12.75">
      <c r="B340" s="135"/>
      <c r="C340" s="135"/>
      <c r="D340" s="135"/>
      <c r="E340" s="135"/>
      <c r="F340" s="135"/>
      <c r="J340" s="135"/>
      <c r="K340" s="135"/>
      <c r="L340" s="135"/>
      <c r="N340" s="135"/>
      <c r="S340" s="135"/>
    </row>
    <row r="341" spans="2:19" ht="12.75">
      <c r="B341" s="135"/>
      <c r="C341" s="135"/>
      <c r="D341" s="135"/>
      <c r="E341" s="135"/>
      <c r="F341" s="135"/>
      <c r="J341" s="135"/>
      <c r="K341" s="135"/>
      <c r="L341" s="135"/>
      <c r="N341" s="135"/>
      <c r="S341" s="135"/>
    </row>
    <row r="342" spans="2:19" ht="12.75">
      <c r="B342" s="135"/>
      <c r="C342" s="135"/>
      <c r="D342" s="135"/>
      <c r="E342" s="135"/>
      <c r="F342" s="135"/>
      <c r="J342" s="135"/>
      <c r="K342" s="135"/>
      <c r="L342" s="135"/>
      <c r="N342" s="135"/>
      <c r="S342" s="135"/>
    </row>
    <row r="343" spans="2:19" ht="12.75">
      <c r="B343" s="135"/>
      <c r="C343" s="135"/>
      <c r="D343" s="135"/>
      <c r="E343" s="135"/>
      <c r="F343" s="135"/>
      <c r="J343" s="135"/>
      <c r="K343" s="135"/>
      <c r="L343" s="135"/>
      <c r="N343" s="135"/>
      <c r="S343" s="135"/>
    </row>
    <row r="344" spans="2:19" ht="12.75">
      <c r="B344" s="135"/>
      <c r="C344" s="135"/>
      <c r="D344" s="135"/>
      <c r="E344" s="135"/>
      <c r="F344" s="135"/>
      <c r="J344" s="135"/>
      <c r="K344" s="135"/>
      <c r="L344" s="135"/>
      <c r="N344" s="135"/>
      <c r="S344" s="135"/>
    </row>
    <row r="345" spans="2:22" ht="12.75">
      <c r="B345" s="135"/>
      <c r="C345" s="135"/>
      <c r="D345" s="135"/>
      <c r="E345" s="135"/>
      <c r="F345" s="135"/>
      <c r="J345" s="135"/>
      <c r="K345" s="135"/>
      <c r="L345" s="135"/>
      <c r="N345" s="135"/>
      <c r="S345" s="135"/>
      <c r="V345" s="135"/>
    </row>
    <row r="346" spans="2:22" ht="12.75">
      <c r="B346" s="135"/>
      <c r="C346" s="135"/>
      <c r="D346" s="135"/>
      <c r="E346" s="135"/>
      <c r="F346" s="135"/>
      <c r="J346" s="135"/>
      <c r="K346" s="135"/>
      <c r="L346" s="135"/>
      <c r="N346" s="135"/>
      <c r="S346" s="135"/>
      <c r="V346" s="135"/>
    </row>
    <row r="347" spans="2:22" ht="12.75">
      <c r="B347" s="135"/>
      <c r="C347" s="135"/>
      <c r="D347" s="135"/>
      <c r="E347" s="135"/>
      <c r="F347" s="135"/>
      <c r="J347" s="135"/>
      <c r="K347" s="135"/>
      <c r="L347" s="135"/>
      <c r="N347" s="135"/>
      <c r="S347" s="135"/>
      <c r="V347" s="135"/>
    </row>
    <row r="348" spans="2:22" ht="12.75">
      <c r="B348" s="135"/>
      <c r="C348" s="135"/>
      <c r="D348" s="135"/>
      <c r="E348" s="135"/>
      <c r="F348" s="135"/>
      <c r="J348" s="135"/>
      <c r="K348" s="135"/>
      <c r="L348" s="135"/>
      <c r="N348" s="135"/>
      <c r="S348" s="135"/>
      <c r="V348" s="135"/>
    </row>
    <row r="349" spans="2:22" ht="12.75">
      <c r="B349" s="135"/>
      <c r="C349" s="135"/>
      <c r="D349" s="135"/>
      <c r="E349" s="135"/>
      <c r="F349" s="135"/>
      <c r="J349" s="135"/>
      <c r="K349" s="135"/>
      <c r="L349" s="135"/>
      <c r="N349" s="135"/>
      <c r="S349" s="135"/>
      <c r="V349" s="135"/>
    </row>
    <row r="350" spans="2:22" ht="12.75">
      <c r="B350" s="135"/>
      <c r="C350" s="135"/>
      <c r="D350" s="135"/>
      <c r="E350" s="135"/>
      <c r="F350" s="135"/>
      <c r="J350" s="135"/>
      <c r="K350" s="135"/>
      <c r="L350" s="135"/>
      <c r="N350" s="135"/>
      <c r="S350" s="135"/>
      <c r="V350" s="135"/>
    </row>
    <row r="351" spans="2:22" ht="12.75">
      <c r="B351" s="135"/>
      <c r="C351" s="135"/>
      <c r="D351" s="135"/>
      <c r="E351" s="135"/>
      <c r="F351" s="135"/>
      <c r="J351" s="135"/>
      <c r="K351" s="135"/>
      <c r="L351" s="135"/>
      <c r="N351" s="135"/>
      <c r="S351" s="135"/>
      <c r="V351" s="135"/>
    </row>
    <row r="352" spans="2:22" ht="12.75">
      <c r="B352" s="135"/>
      <c r="C352" s="135"/>
      <c r="D352" s="135"/>
      <c r="E352" s="135"/>
      <c r="F352" s="135"/>
      <c r="J352" s="135"/>
      <c r="K352" s="135"/>
      <c r="L352" s="135"/>
      <c r="N352" s="135"/>
      <c r="S352" s="135"/>
      <c r="V352" s="135"/>
    </row>
    <row r="353" s="135" customFormat="1" ht="12.75"/>
    <row r="354" s="135" customFormat="1" ht="12.75"/>
    <row r="355" s="135" customFormat="1" ht="12.75"/>
    <row r="356" s="135" customFormat="1" ht="12.75"/>
    <row r="357" s="135" customFormat="1" ht="12.75"/>
    <row r="358" s="135" customFormat="1" ht="12.75"/>
    <row r="359" s="135" customFormat="1" ht="12.75"/>
    <row r="360" s="135" customFormat="1" ht="12.75"/>
    <row r="361" s="135" customFormat="1" ht="12.75"/>
    <row r="362" s="135" customFormat="1" ht="12.75"/>
    <row r="363" s="135" customFormat="1" ht="12.75"/>
    <row r="364" s="135" customFormat="1" ht="12.75"/>
    <row r="365" s="135" customFormat="1" ht="12.75"/>
    <row r="366" s="135" customFormat="1" ht="12.75"/>
    <row r="367" s="135" customFormat="1" ht="12.75"/>
    <row r="368" s="135" customFormat="1" ht="12.75"/>
    <row r="369" s="135" customFormat="1" ht="12.75"/>
    <row r="370" s="135" customFormat="1" ht="12.75"/>
    <row r="371" s="135" customFormat="1" ht="12.75"/>
    <row r="372" s="135" customFormat="1" ht="12.75"/>
    <row r="373" s="135" customFormat="1" ht="12.75"/>
    <row r="374" s="135" customFormat="1" ht="12.75"/>
    <row r="375" s="135" customFormat="1" ht="12.75"/>
    <row r="376" s="135" customFormat="1" ht="12.75"/>
    <row r="377" s="135" customFormat="1" ht="12.75"/>
    <row r="378" s="135" customFormat="1" ht="12.75"/>
    <row r="379" s="135" customFormat="1" ht="12.75"/>
    <row r="380" s="135" customFormat="1" ht="12.75"/>
    <row r="381" s="135" customFormat="1" ht="12.75"/>
    <row r="382" s="135" customFormat="1" ht="12.75"/>
    <row r="383" s="135" customFormat="1" ht="12.75"/>
    <row r="384" s="135" customFormat="1" ht="12.75"/>
    <row r="385" s="135" customFormat="1" ht="12.75"/>
    <row r="386" s="135" customFormat="1" ht="12.75"/>
    <row r="387" s="135" customFormat="1" ht="12.75"/>
    <row r="388" s="135" customFormat="1" ht="12.75"/>
    <row r="389" s="135" customFormat="1" ht="12.75"/>
    <row r="390" s="135" customFormat="1" ht="12.75"/>
    <row r="391" s="135" customFormat="1" ht="12.75"/>
    <row r="392" s="135" customFormat="1" ht="12.75"/>
    <row r="393" s="135" customFormat="1" ht="12.75"/>
    <row r="394" s="135" customFormat="1" ht="12.75"/>
    <row r="395" s="135" customFormat="1" ht="12.75"/>
    <row r="396" s="135" customFormat="1" ht="12.75"/>
    <row r="397" s="135" customFormat="1" ht="12.75"/>
    <row r="398" s="135" customFormat="1" ht="12.75"/>
    <row r="399" s="135" customFormat="1" ht="12.75"/>
    <row r="400" s="135" customFormat="1" ht="12.75"/>
    <row r="401" s="135" customFormat="1" ht="12.75"/>
    <row r="402" s="135" customFormat="1" ht="12.75"/>
    <row r="403" s="135" customFormat="1" ht="12.75"/>
    <row r="404" s="135" customFormat="1" ht="12.75"/>
    <row r="405" s="135" customFormat="1" ht="12.75"/>
    <row r="406" s="135" customFormat="1" ht="12.75"/>
    <row r="407" s="135" customFormat="1" ht="12.75"/>
    <row r="408" s="135" customFormat="1" ht="12.75"/>
    <row r="409" s="135" customFormat="1" ht="12.75"/>
    <row r="410" s="135" customFormat="1" ht="12.75"/>
    <row r="411" s="135" customFormat="1" ht="12.75"/>
    <row r="412" s="135" customFormat="1" ht="12.75"/>
    <row r="413" s="135" customFormat="1" ht="12.75"/>
    <row r="414" s="135" customFormat="1" ht="12.75"/>
    <row r="415" s="135" customFormat="1" ht="12.75"/>
    <row r="416" s="135" customFormat="1" ht="12.75"/>
    <row r="417" s="135" customFormat="1" ht="12.75"/>
    <row r="418" s="135" customFormat="1" ht="12.75"/>
    <row r="419" s="135" customFormat="1" ht="12.75"/>
    <row r="420" s="135" customFormat="1" ht="12.75"/>
    <row r="421" s="135" customFormat="1" ht="12.75"/>
    <row r="422" s="135" customFormat="1" ht="12.75"/>
    <row r="423" s="135" customFormat="1" ht="12.75"/>
    <row r="424" s="135" customFormat="1" ht="12.75"/>
    <row r="425" s="135" customFormat="1" ht="12.75"/>
    <row r="426" s="135" customFormat="1" ht="12.75"/>
    <row r="427" s="135" customFormat="1" ht="12.75"/>
    <row r="428" s="135" customFormat="1" ht="12.75"/>
    <row r="429" s="135" customFormat="1" ht="12.75"/>
    <row r="430" s="135" customFormat="1" ht="12.75"/>
    <row r="431" s="135" customFormat="1" ht="12.75"/>
    <row r="432" s="135" customFormat="1" ht="12.75"/>
    <row r="433" s="135" customFormat="1" ht="12.75"/>
    <row r="434" s="135" customFormat="1" ht="12.75"/>
    <row r="435" s="135" customFormat="1" ht="12.75"/>
    <row r="436" s="135" customFormat="1" ht="12.75"/>
    <row r="437" s="135" customFormat="1" ht="12.75"/>
    <row r="438" s="135" customFormat="1" ht="12.75"/>
    <row r="439" s="135" customFormat="1" ht="12.75"/>
    <row r="440" s="135" customFormat="1" ht="12.75"/>
    <row r="441" s="135" customFormat="1" ht="12.75"/>
    <row r="442" s="135" customFormat="1" ht="12.75"/>
    <row r="443" s="135" customFormat="1" ht="12.75"/>
    <row r="444" s="135" customFormat="1" ht="12.75"/>
    <row r="445" s="135" customFormat="1" ht="12.75"/>
    <row r="446" s="135" customFormat="1" ht="12.75"/>
    <row r="447" s="135" customFormat="1" ht="12.75"/>
    <row r="448" s="135" customFormat="1" ht="12.75"/>
    <row r="449" s="135" customFormat="1" ht="12.75"/>
    <row r="450" s="135" customFormat="1" ht="12.75"/>
    <row r="451" s="135" customFormat="1" ht="12.75"/>
    <row r="452" s="135" customFormat="1" ht="12.75"/>
    <row r="453" s="135" customFormat="1" ht="12.75"/>
    <row r="454" s="135" customFormat="1" ht="12.75"/>
    <row r="455" s="135" customFormat="1" ht="12.75"/>
    <row r="456" s="135" customFormat="1" ht="12.75"/>
    <row r="457" s="135" customFormat="1" ht="12.75"/>
    <row r="458" s="135" customFormat="1" ht="12.75"/>
    <row r="459" s="135" customFormat="1" ht="12.75"/>
    <row r="460" s="135" customFormat="1" ht="12.75"/>
    <row r="461" s="135" customFormat="1" ht="12.75"/>
    <row r="462" s="135" customFormat="1" ht="12.75"/>
    <row r="463" s="135" customFormat="1" ht="12.75"/>
    <row r="464" s="135" customFormat="1" ht="12.75"/>
    <row r="465" s="135" customFormat="1" ht="12.75"/>
    <row r="466" s="135" customFormat="1" ht="12.75"/>
    <row r="467" s="135" customFormat="1" ht="12.75"/>
    <row r="468" s="135" customFormat="1" ht="12.75"/>
    <row r="469" s="135" customFormat="1" ht="12.75"/>
    <row r="470" s="135" customFormat="1" ht="12.75"/>
    <row r="471" s="135" customFormat="1" ht="12.75"/>
    <row r="472" s="135" customFormat="1" ht="12.75"/>
    <row r="473" s="135" customFormat="1" ht="12.75"/>
    <row r="474" s="135" customFormat="1" ht="12.75"/>
    <row r="475" s="135" customFormat="1" ht="12.75"/>
    <row r="476" s="135" customFormat="1" ht="12.75"/>
    <row r="477" s="135" customFormat="1" ht="12.75"/>
    <row r="478" s="135" customFormat="1" ht="12.75"/>
    <row r="479" s="135" customFormat="1" ht="12.75"/>
    <row r="480" s="135" customFormat="1" ht="12.75"/>
    <row r="481" s="135" customFormat="1" ht="12.75"/>
    <row r="482" s="135" customFormat="1" ht="12.75"/>
    <row r="483" s="135" customFormat="1" ht="12.75"/>
    <row r="484" s="135" customFormat="1" ht="12.75"/>
    <row r="485" s="135" customFormat="1" ht="12.75"/>
    <row r="486" s="135" customFormat="1" ht="12.75"/>
    <row r="487" s="135" customFormat="1" ht="12.75"/>
    <row r="488" s="135" customFormat="1" ht="12.75"/>
    <row r="489" s="135" customFormat="1" ht="12.75"/>
    <row r="490" s="135" customFormat="1" ht="12.75"/>
    <row r="491" s="135" customFormat="1" ht="12.75"/>
    <row r="492" s="135" customFormat="1" ht="12.75"/>
    <row r="493" s="135" customFormat="1" ht="12.75"/>
    <row r="494" s="135" customFormat="1" ht="12.75"/>
    <row r="495" s="135" customFormat="1" ht="12.75"/>
    <row r="496" s="135" customFormat="1" ht="12.75"/>
    <row r="497" s="135" customFormat="1" ht="12.75"/>
    <row r="498" s="135" customFormat="1" ht="12.75"/>
    <row r="499" s="135" customFormat="1" ht="12.75"/>
    <row r="500" s="135" customFormat="1" ht="12.75"/>
    <row r="501" s="135" customFormat="1" ht="12.75"/>
    <row r="502" s="135" customFormat="1" ht="12.75"/>
    <row r="503" s="135" customFormat="1" ht="12.75"/>
    <row r="504" s="135" customFormat="1" ht="12.75"/>
    <row r="505" s="135" customFormat="1" ht="12.75"/>
    <row r="506" s="135" customFormat="1" ht="12.75"/>
    <row r="507" s="135" customFormat="1" ht="12.75"/>
    <row r="508" s="135" customFormat="1" ht="12.75"/>
    <row r="509" s="135" customFormat="1" ht="12.75"/>
    <row r="510" s="135" customFormat="1" ht="12.75"/>
    <row r="511" s="135" customFormat="1" ht="12.75"/>
    <row r="512" s="135" customFormat="1" ht="12.75"/>
    <row r="513" s="135" customFormat="1" ht="12.75"/>
    <row r="514" s="135" customFormat="1" ht="12.75"/>
    <row r="515" s="135" customFormat="1" ht="12.75"/>
    <row r="516" s="135" customFormat="1" ht="12.75"/>
    <row r="517" s="135" customFormat="1" ht="12.75"/>
    <row r="518" s="135" customFormat="1" ht="12.75"/>
    <row r="519" s="135" customFormat="1" ht="12.75"/>
    <row r="520" s="135" customFormat="1" ht="12.75"/>
    <row r="521" s="135" customFormat="1" ht="12.75"/>
    <row r="522" s="135" customFormat="1" ht="12.75"/>
    <row r="523" s="135" customFormat="1" ht="12.75"/>
    <row r="524" s="135" customFormat="1" ht="12.75"/>
    <row r="525" s="135" customFormat="1" ht="12.75"/>
    <row r="526" s="135" customFormat="1" ht="12.75"/>
    <row r="527" s="135" customFormat="1" ht="12.75"/>
    <row r="528" s="135" customFormat="1" ht="12.75"/>
    <row r="529" s="135" customFormat="1" ht="12.75"/>
    <row r="530" s="135" customFormat="1" ht="12.75"/>
    <row r="531" s="135" customFormat="1" ht="12.75"/>
    <row r="532" s="135" customFormat="1" ht="12.75"/>
    <row r="533" s="135" customFormat="1" ht="12.75"/>
    <row r="534" s="135" customFormat="1" ht="12.75"/>
    <row r="535" s="135" customFormat="1" ht="12.75"/>
    <row r="536" s="135" customFormat="1" ht="12.75"/>
    <row r="537" s="135" customFormat="1" ht="12.75"/>
    <row r="538" s="135" customFormat="1" ht="12.75"/>
    <row r="539" s="135" customFormat="1" ht="12.75"/>
    <row r="540" s="135" customFormat="1" ht="12.75"/>
    <row r="541" s="135" customFormat="1" ht="12.75"/>
    <row r="542" s="135" customFormat="1" ht="12.75"/>
    <row r="543" s="135" customFormat="1" ht="12.75"/>
    <row r="544" s="135" customFormat="1" ht="12.75"/>
    <row r="545" s="135" customFormat="1" ht="12.75"/>
    <row r="546" s="135" customFormat="1" ht="12.75"/>
    <row r="547" s="135" customFormat="1" ht="12.75"/>
    <row r="548" s="135" customFormat="1" ht="12.75"/>
    <row r="549" s="135" customFormat="1" ht="12.75"/>
    <row r="550" s="135" customFormat="1" ht="12.75"/>
    <row r="551" s="135" customFormat="1" ht="12.75"/>
    <row r="552" s="135" customFormat="1" ht="12.75"/>
    <row r="553" s="135" customFormat="1" ht="12.75"/>
    <row r="554" s="135" customFormat="1" ht="12.75"/>
    <row r="555" s="135" customFormat="1" ht="12.75"/>
    <row r="556" s="135" customFormat="1" ht="12.75"/>
    <row r="557" s="135" customFormat="1" ht="12.75"/>
    <row r="558" s="135" customFormat="1" ht="12.75"/>
    <row r="559" s="135" customFormat="1" ht="12.75"/>
    <row r="560" s="135" customFormat="1" ht="12.75"/>
    <row r="561" s="135" customFormat="1" ht="12.75"/>
    <row r="562" s="135" customFormat="1" ht="12.75"/>
    <row r="563" s="135" customFormat="1" ht="12.75"/>
    <row r="564" s="135" customFormat="1" ht="12.75"/>
    <row r="565" s="135" customFormat="1" ht="12.75"/>
    <row r="566" s="135" customFormat="1" ht="12.75"/>
    <row r="567" s="135" customFormat="1" ht="12.75"/>
    <row r="568" s="135" customFormat="1" ht="12.75"/>
    <row r="569" s="135" customFormat="1" ht="12.75"/>
    <row r="570" s="135" customFormat="1" ht="12.75"/>
    <row r="571" s="135" customFormat="1" ht="12.75"/>
    <row r="572" s="135" customFormat="1" ht="12.75"/>
    <row r="573" s="135" customFormat="1" ht="12.75"/>
    <row r="574" s="135" customFormat="1" ht="12.75"/>
    <row r="575" s="135" customFormat="1" ht="12.75"/>
    <row r="576" s="135" customFormat="1" ht="12.75"/>
    <row r="577" s="135" customFormat="1" ht="12.75"/>
    <row r="578" s="135" customFormat="1" ht="12.75"/>
    <row r="579" s="135" customFormat="1" ht="12.75"/>
    <row r="580" s="135" customFormat="1" ht="12.75"/>
    <row r="581" s="135" customFormat="1" ht="12.75"/>
    <row r="582" s="135" customFormat="1" ht="12.75"/>
    <row r="583" s="135" customFormat="1" ht="12.75"/>
    <row r="584" s="135" customFormat="1" ht="12.75"/>
    <row r="585" s="135" customFormat="1" ht="12.75"/>
    <row r="586" s="135" customFormat="1" ht="12.75"/>
    <row r="587" s="135" customFormat="1" ht="12.75"/>
    <row r="588" s="135" customFormat="1" ht="12.75"/>
    <row r="589" s="135" customFormat="1" ht="12.75"/>
    <row r="590" s="135" customFormat="1" ht="12.75"/>
    <row r="591" s="135" customFormat="1" ht="12.75"/>
    <row r="592" s="135" customFormat="1" ht="12.75"/>
    <row r="593" s="135" customFormat="1" ht="12.75"/>
    <row r="594" s="135" customFormat="1" ht="12.75"/>
    <row r="595" s="135" customFormat="1" ht="12.75"/>
    <row r="596" s="135" customFormat="1" ht="12.75"/>
    <row r="597" s="135" customFormat="1" ht="12.75"/>
    <row r="598" s="135" customFormat="1" ht="12.75"/>
    <row r="599" s="135" customFormat="1" ht="12.75"/>
    <row r="600" s="135" customFormat="1" ht="12.75"/>
    <row r="601" s="135" customFormat="1" ht="12.75"/>
    <row r="602" s="135" customFormat="1" ht="12.75"/>
    <row r="603" s="135" customFormat="1" ht="12.75"/>
    <row r="604" s="135" customFormat="1" ht="12.75"/>
    <row r="605" s="135" customFormat="1" ht="12.75"/>
    <row r="606" s="135" customFormat="1" ht="12.75"/>
    <row r="607" s="135" customFormat="1" ht="12.75"/>
    <row r="608" s="135" customFormat="1" ht="12.75"/>
    <row r="609" s="135" customFormat="1" ht="12.75"/>
    <row r="610" s="135" customFormat="1" ht="12.75"/>
    <row r="611" s="135" customFormat="1" ht="12.75"/>
    <row r="612" s="135" customFormat="1" ht="12.75"/>
    <row r="613" s="135" customFormat="1" ht="12.75"/>
    <row r="614" s="135" customFormat="1" ht="12.75"/>
    <row r="615" s="135" customFormat="1" ht="12.75"/>
    <row r="616" s="135" customFormat="1" ht="12.75"/>
    <row r="617" s="135" customFormat="1" ht="12.75"/>
    <row r="618" s="135" customFormat="1" ht="12.75"/>
    <row r="619" s="135" customFormat="1" ht="12.75"/>
    <row r="620" s="135" customFormat="1" ht="12.75"/>
    <row r="621" s="135" customFormat="1" ht="12.75"/>
    <row r="622" s="135" customFormat="1" ht="12.75"/>
    <row r="623" s="135" customFormat="1" ht="12.75"/>
    <row r="624" s="135" customFormat="1" ht="12.75"/>
    <row r="625" s="135" customFormat="1" ht="12.75"/>
    <row r="626" s="135" customFormat="1" ht="12.75"/>
    <row r="627" s="135" customFormat="1" ht="12.75"/>
    <row r="628" s="135" customFormat="1" ht="12.75"/>
    <row r="629" s="135" customFormat="1" ht="12.75"/>
    <row r="630" s="135" customFormat="1" ht="12.75"/>
    <row r="631" s="135" customFormat="1" ht="12.75"/>
    <row r="632" s="135" customFormat="1" ht="12.75"/>
    <row r="633" s="135" customFormat="1" ht="12.75"/>
    <row r="634" s="135" customFormat="1" ht="12.75"/>
    <row r="635" s="135" customFormat="1" ht="12.75"/>
    <row r="636" s="135" customFormat="1" ht="12.75"/>
    <row r="637" s="135" customFormat="1" ht="12.75"/>
    <row r="638" s="135" customFormat="1" ht="12.75"/>
    <row r="639" s="135" customFormat="1" ht="12.75"/>
    <row r="640" s="135" customFormat="1" ht="12.75"/>
    <row r="641" s="135" customFormat="1" ht="12.75"/>
    <row r="642" s="135" customFormat="1" ht="12.75"/>
    <row r="643" s="135" customFormat="1" ht="12.75"/>
    <row r="644" s="135" customFormat="1" ht="12.75"/>
    <row r="645" s="135" customFormat="1" ht="12.75"/>
    <row r="646" s="135" customFormat="1" ht="12.75"/>
    <row r="647" s="135" customFormat="1" ht="12.75"/>
    <row r="648" s="135" customFormat="1" ht="12.75"/>
    <row r="649" s="135" customFormat="1" ht="12.75"/>
    <row r="650" s="135" customFormat="1" ht="12.75"/>
    <row r="651" s="135" customFormat="1" ht="12.75"/>
    <row r="652" s="135" customFormat="1" ht="12.75"/>
    <row r="653" s="135" customFormat="1" ht="12.75"/>
    <row r="654" s="135" customFormat="1" ht="12.75"/>
    <row r="655" s="135" customFormat="1" ht="12.75"/>
    <row r="656" s="135" customFormat="1" ht="12.75"/>
    <row r="657" s="135" customFormat="1" ht="12.75"/>
    <row r="658" s="135" customFormat="1" ht="12.75"/>
    <row r="659" s="135" customFormat="1" ht="12.75"/>
    <row r="660" s="135" customFormat="1" ht="12.75"/>
    <row r="661" s="135" customFormat="1" ht="12.75"/>
    <row r="662" s="135" customFormat="1" ht="12.75"/>
    <row r="663" s="135" customFormat="1" ht="12.75"/>
    <row r="664" s="135" customFormat="1" ht="12.75"/>
    <row r="665" s="135" customFormat="1" ht="12.75"/>
    <row r="666" s="135" customFormat="1" ht="12.75"/>
    <row r="667" s="135" customFormat="1" ht="12.75"/>
    <row r="668" s="135" customFormat="1" ht="12.75"/>
    <row r="669" s="135" customFormat="1" ht="12.75"/>
    <row r="670" s="135" customFormat="1" ht="12.75"/>
    <row r="671" s="135" customFormat="1" ht="12.75"/>
    <row r="672" s="135" customFormat="1" ht="12.75"/>
    <row r="673" s="135" customFormat="1" ht="12.75"/>
    <row r="674" s="135" customFormat="1" ht="12.75"/>
    <row r="675" s="135" customFormat="1" ht="12.75"/>
    <row r="676" s="135" customFormat="1" ht="12.75"/>
    <row r="677" s="135" customFormat="1" ht="12.75"/>
    <row r="678" s="135" customFormat="1" ht="12.75"/>
    <row r="679" s="135" customFormat="1" ht="12.75"/>
    <row r="680" s="135" customFormat="1" ht="12.75"/>
    <row r="681" s="135" customFormat="1" ht="12.75"/>
    <row r="682" s="135" customFormat="1" ht="12.75"/>
    <row r="683" s="135" customFormat="1" ht="12.75"/>
    <row r="684" s="135" customFormat="1" ht="12.75"/>
    <row r="685" s="135" customFormat="1" ht="12.75"/>
    <row r="686" s="135" customFormat="1" ht="12.75"/>
    <row r="687" s="135" customFormat="1" ht="12.75"/>
    <row r="688" s="135" customFormat="1" ht="12.75"/>
    <row r="689" s="135" customFormat="1" ht="12.75"/>
    <row r="690" s="135" customFormat="1" ht="12.75"/>
    <row r="691" s="135" customFormat="1" ht="12.75"/>
    <row r="692" s="135" customFormat="1" ht="12.75"/>
    <row r="693" s="135" customFormat="1" ht="12.75"/>
    <row r="694" s="135" customFormat="1" ht="12.75"/>
    <row r="695" s="135" customFormat="1" ht="12.75"/>
    <row r="696" s="135" customFormat="1" ht="12.75"/>
    <row r="697" s="135" customFormat="1" ht="12.75"/>
    <row r="698" s="135" customFormat="1" ht="12.75"/>
    <row r="699" s="135" customFormat="1" ht="12.75"/>
    <row r="700" s="135" customFormat="1" ht="12.75"/>
    <row r="701" s="135" customFormat="1" ht="12.75"/>
    <row r="702" s="135" customFormat="1" ht="12.75"/>
    <row r="703" s="135" customFormat="1" ht="12.75"/>
    <row r="704" s="135" customFormat="1" ht="12.75"/>
    <row r="705" s="135" customFormat="1" ht="12.75"/>
    <row r="706" s="135" customFormat="1" ht="12.75"/>
    <row r="707" s="135" customFormat="1" ht="12.75"/>
    <row r="708" s="135" customFormat="1" ht="12.75"/>
    <row r="709" s="135" customFormat="1" ht="12.75"/>
    <row r="710" s="135" customFormat="1" ht="12.75"/>
    <row r="711" s="135" customFormat="1" ht="12.75"/>
    <row r="712" s="135" customFormat="1" ht="12.75"/>
    <row r="713" s="135" customFormat="1" ht="12.75"/>
    <row r="714" s="135" customFormat="1" ht="12.75"/>
    <row r="715" s="135" customFormat="1" ht="12.75"/>
    <row r="716" s="135" customFormat="1" ht="12.75"/>
    <row r="717" s="135" customFormat="1" ht="12.75"/>
    <row r="718" s="135" customFormat="1" ht="12.75"/>
    <row r="719" s="135" customFormat="1" ht="12.75"/>
    <row r="720" s="135" customFormat="1" ht="12.75"/>
    <row r="721" s="135" customFormat="1" ht="12.75"/>
    <row r="722" s="135" customFormat="1" ht="12.75"/>
    <row r="723" s="135" customFormat="1" ht="12.75"/>
    <row r="724" s="135" customFormat="1" ht="12.75"/>
    <row r="725" s="135" customFormat="1" ht="12.75"/>
    <row r="726" s="135" customFormat="1" ht="12.75"/>
    <row r="727" s="135" customFormat="1" ht="12.75"/>
    <row r="728" s="135" customFormat="1" ht="12.75"/>
    <row r="729" s="135" customFormat="1" ht="12.75"/>
    <row r="730" s="135" customFormat="1" ht="12.75"/>
    <row r="731" s="135" customFormat="1" ht="12.75"/>
    <row r="732" s="135" customFormat="1" ht="12.75"/>
    <row r="733" s="135" customFormat="1" ht="12.75"/>
    <row r="734" s="135" customFormat="1" ht="12.75"/>
    <row r="735" s="135" customFormat="1" ht="12.75"/>
    <row r="736" s="135" customFormat="1" ht="12.75"/>
    <row r="737" s="135" customFormat="1" ht="12.75"/>
    <row r="738" s="135" customFormat="1" ht="12.75"/>
    <row r="739" s="135" customFormat="1" ht="12.75"/>
    <row r="740" s="135" customFormat="1" ht="12.75"/>
    <row r="741" s="135" customFormat="1" ht="12.75"/>
    <row r="742" s="135" customFormat="1" ht="12.75"/>
    <row r="743" s="135" customFormat="1" ht="12.75"/>
    <row r="744" s="135" customFormat="1" ht="12.75"/>
    <row r="745" s="135" customFormat="1" ht="12.75"/>
    <row r="746" s="135" customFormat="1" ht="12.75"/>
    <row r="747" s="135" customFormat="1" ht="12.75"/>
    <row r="748" s="135" customFormat="1" ht="12.75"/>
    <row r="749" s="135" customFormat="1" ht="12.75"/>
    <row r="750" s="135" customFormat="1" ht="12.75"/>
    <row r="751" s="135" customFormat="1" ht="12.75"/>
    <row r="752" s="135" customFormat="1" ht="12.75"/>
    <row r="753" s="135" customFormat="1" ht="12.75"/>
    <row r="754" s="135" customFormat="1" ht="12.75"/>
    <row r="755" s="135" customFormat="1" ht="12.75"/>
    <row r="756" s="135" customFormat="1" ht="12.75"/>
    <row r="757" s="135" customFormat="1" ht="12.75"/>
    <row r="758" s="135" customFormat="1" ht="12.75"/>
    <row r="759" s="135" customFormat="1" ht="12.75"/>
    <row r="760" s="135" customFormat="1" ht="12.75"/>
    <row r="761" s="135" customFormat="1" ht="12.75"/>
    <row r="762" s="135" customFormat="1" ht="12.75"/>
    <row r="763" s="135" customFormat="1" ht="12.75"/>
    <row r="764" s="135" customFormat="1" ht="12.75"/>
    <row r="765" s="135" customFormat="1" ht="12.75"/>
    <row r="766" s="135" customFormat="1" ht="12.75"/>
    <row r="767" s="135" customFormat="1" ht="12.75"/>
    <row r="768" s="135" customFormat="1" ht="12.75"/>
    <row r="769" s="135" customFormat="1" ht="12.75"/>
    <row r="770" s="135" customFormat="1" ht="12.75"/>
    <row r="771" s="135" customFormat="1" ht="12.75"/>
    <row r="772" s="135" customFormat="1" ht="12.75"/>
    <row r="773" s="135" customFormat="1" ht="12.75"/>
    <row r="774" s="135" customFormat="1" ht="12.75"/>
    <row r="775" s="135" customFormat="1" ht="12.75"/>
    <row r="776" s="135" customFormat="1" ht="12.75"/>
    <row r="777" s="135" customFormat="1" ht="12.75"/>
    <row r="778" s="135" customFormat="1" ht="12.75"/>
    <row r="779" s="135" customFormat="1" ht="12.75"/>
    <row r="780" s="135" customFormat="1" ht="12.75"/>
    <row r="781" s="135" customFormat="1" ht="12.75"/>
    <row r="782" s="135" customFormat="1" ht="12.75"/>
    <row r="783" s="135" customFormat="1" ht="12.75"/>
    <row r="784" s="135" customFormat="1" ht="12.75"/>
    <row r="785" s="135" customFormat="1" ht="12.75"/>
    <row r="786" s="135" customFormat="1" ht="12.75"/>
    <row r="787" s="135" customFormat="1" ht="12.75"/>
    <row r="788" s="135" customFormat="1" ht="12.75"/>
    <row r="789" s="135" customFormat="1" ht="12.75"/>
    <row r="790" s="135" customFormat="1" ht="12.75"/>
    <row r="791" s="135" customFormat="1" ht="12.75"/>
    <row r="792" s="135" customFormat="1" ht="12.75"/>
    <row r="793" s="135" customFormat="1" ht="12.75"/>
    <row r="794" s="135" customFormat="1" ht="12.75"/>
    <row r="795" s="135" customFormat="1" ht="12.75"/>
    <row r="796" s="135" customFormat="1" ht="12.75"/>
    <row r="797" s="135" customFormat="1" ht="12.75"/>
    <row r="798" s="135" customFormat="1" ht="12.75"/>
    <row r="799" s="135" customFormat="1" ht="12.75"/>
    <row r="800" s="135" customFormat="1" ht="12.75"/>
    <row r="801" s="135" customFormat="1" ht="12.75"/>
    <row r="802" s="135" customFormat="1" ht="12.75"/>
    <row r="803" s="135" customFormat="1" ht="12.75"/>
    <row r="804" s="135" customFormat="1" ht="12.75"/>
    <row r="805" s="135" customFormat="1" ht="12.75"/>
    <row r="806" s="135" customFormat="1" ht="12.75"/>
    <row r="807" s="135" customFormat="1" ht="12.75"/>
    <row r="808" s="135" customFormat="1" ht="12.75"/>
    <row r="809" s="135" customFormat="1" ht="12.75"/>
    <row r="810" s="135" customFormat="1" ht="12.75"/>
    <row r="811" s="135" customFormat="1" ht="12.75"/>
    <row r="812" s="135" customFormat="1" ht="12.75"/>
    <row r="813" s="135" customFormat="1" ht="12.75"/>
    <row r="814" s="135" customFormat="1" ht="12.75"/>
    <row r="815" s="135" customFormat="1" ht="12.75"/>
    <row r="816" s="135" customFormat="1" ht="12.75"/>
    <row r="817" s="135" customFormat="1" ht="12.75"/>
    <row r="818" s="135" customFormat="1" ht="12.75"/>
    <row r="819" s="135" customFormat="1" ht="12.75"/>
    <row r="820" s="135" customFormat="1" ht="12.75"/>
    <row r="821" s="135" customFormat="1" ht="12.75"/>
    <row r="822" s="135" customFormat="1" ht="12.75"/>
    <row r="823" s="135" customFormat="1" ht="12.75"/>
    <row r="824" s="135" customFormat="1" ht="12.75"/>
    <row r="825" s="135" customFormat="1" ht="12.75"/>
    <row r="826" s="135" customFormat="1" ht="12.75"/>
    <row r="827" s="135" customFormat="1" ht="12.75"/>
    <row r="828" s="135" customFormat="1" ht="12.75"/>
    <row r="829" s="135" customFormat="1" ht="12.75"/>
    <row r="830" s="135" customFormat="1" ht="12.75"/>
    <row r="831" s="135" customFormat="1" ht="12.75"/>
    <row r="832" s="135" customFormat="1" ht="12.75"/>
    <row r="833" s="135" customFormat="1" ht="12.75"/>
    <row r="834" s="135" customFormat="1" ht="12.75"/>
    <row r="835" s="135" customFormat="1" ht="12.75"/>
    <row r="836" s="135" customFormat="1" ht="12.75"/>
    <row r="837" s="135" customFormat="1" ht="12.75"/>
    <row r="838" s="135" customFormat="1" ht="12.75"/>
    <row r="839" s="135" customFormat="1" ht="12.75"/>
    <row r="840" s="135" customFormat="1" ht="12.75"/>
    <row r="841" s="135" customFormat="1" ht="12.75"/>
    <row r="842" s="135" customFormat="1" ht="12.75"/>
    <row r="843" s="135" customFormat="1" ht="12.75"/>
    <row r="844" s="135" customFormat="1" ht="12.75"/>
    <row r="845" s="135" customFormat="1" ht="12.75"/>
    <row r="846" s="135" customFormat="1" ht="12.75"/>
    <row r="847" s="135" customFormat="1" ht="12.75"/>
    <row r="848" s="135" customFormat="1" ht="12.75"/>
    <row r="849" s="135" customFormat="1" ht="12.75"/>
    <row r="850" s="135" customFormat="1" ht="12.75"/>
    <row r="851" s="135" customFormat="1" ht="12.75"/>
    <row r="852" s="135" customFormat="1" ht="12.75"/>
    <row r="853" s="135" customFormat="1" ht="12.75"/>
    <row r="854" s="135" customFormat="1" ht="12.75"/>
    <row r="855" s="135" customFormat="1" ht="12.75"/>
    <row r="856" s="135" customFormat="1" ht="12.75"/>
    <row r="857" s="135" customFormat="1" ht="12.75"/>
    <row r="858" s="135" customFormat="1" ht="14.25" customHeight="1"/>
    <row r="859" s="135" customFormat="1" ht="12.75"/>
    <row r="860" s="135" customFormat="1" ht="12.75"/>
    <row r="861" s="135" customFormat="1" ht="12.75"/>
    <row r="862" s="135" customFormat="1" ht="12.75"/>
    <row r="863" s="135" customFormat="1" ht="12.75"/>
    <row r="864" s="135" customFormat="1" ht="12.75"/>
    <row r="865" s="135" customFormat="1" ht="12.75"/>
    <row r="866" s="135" customFormat="1" ht="12.75"/>
    <row r="867" s="135" customFormat="1" ht="12.75"/>
    <row r="868" s="135" customFormat="1" ht="12.75"/>
    <row r="869" s="135" customFormat="1" ht="12.75"/>
    <row r="870" s="135" customFormat="1" ht="12.75"/>
    <row r="871" s="135" customFormat="1" ht="12.75"/>
    <row r="872" s="135" customFormat="1" ht="12.75"/>
    <row r="873" s="135" customFormat="1" ht="12.75"/>
    <row r="874" s="135" customFormat="1" ht="12.75"/>
    <row r="875" s="135" customFormat="1" ht="12.75"/>
    <row r="876" s="135" customFormat="1" ht="12.75"/>
    <row r="877" s="135" customFormat="1" ht="12.75"/>
    <row r="878" s="135" customFormat="1" ht="12.75"/>
    <row r="879" s="135" customFormat="1" ht="12.75"/>
    <row r="880" s="135" customFormat="1" ht="12.75"/>
    <row r="881" s="135" customFormat="1" ht="12.75"/>
    <row r="882" s="135" customFormat="1" ht="12.75"/>
    <row r="883" s="135" customFormat="1" ht="12.75"/>
    <row r="884" s="135" customFormat="1" ht="12.75"/>
    <row r="885" s="135" customFormat="1" ht="12.75"/>
    <row r="886" s="135" customFormat="1" ht="12.75"/>
    <row r="887" s="135" customFormat="1" ht="14.25" customHeight="1"/>
    <row r="888" s="135" customFormat="1" ht="12.75"/>
    <row r="889" s="135" customFormat="1" ht="12.75"/>
    <row r="890" s="135" customFormat="1" ht="12.75"/>
    <row r="891" s="135" customFormat="1" ht="12.75"/>
    <row r="892" s="135" customFormat="1" ht="12.75"/>
    <row r="893" s="135" customFormat="1" ht="12.75"/>
    <row r="894" s="135" customFormat="1" ht="12.75"/>
    <row r="895" s="135" customFormat="1" ht="12.75"/>
    <row r="896" s="135" customFormat="1" ht="12.75"/>
    <row r="897" s="135" customFormat="1" ht="12.75"/>
    <row r="898" s="135" customFormat="1" ht="12.75"/>
    <row r="899" s="135" customFormat="1" ht="12.75"/>
    <row r="900" s="135" customFormat="1" ht="12.75"/>
    <row r="901" s="135" customFormat="1" ht="12.75"/>
    <row r="902" s="135" customFormat="1" ht="12.75"/>
    <row r="903" s="135" customFormat="1" ht="12.75"/>
    <row r="904" s="135" customFormat="1" ht="12.75"/>
    <row r="905" s="135" customFormat="1" ht="12.75"/>
    <row r="906" s="135" customFormat="1" ht="12.75"/>
    <row r="907" s="135" customFormat="1" ht="12.75"/>
    <row r="908" s="135" customFormat="1" ht="12.75"/>
    <row r="909" s="135" customFormat="1" ht="12.75"/>
    <row r="910" s="135" customFormat="1" ht="12.75"/>
    <row r="911" s="135" customFormat="1" ht="12.75"/>
    <row r="912" s="135" customFormat="1" ht="12.75"/>
    <row r="913" s="135" customFormat="1" ht="12.75"/>
    <row r="914" s="135" customFormat="1" ht="12.75"/>
    <row r="915" s="135" customFormat="1" ht="12.75"/>
    <row r="916" s="135" customFormat="1" ht="12.75"/>
    <row r="917" s="135" customFormat="1" ht="12.75"/>
    <row r="918" s="135" customFormat="1" ht="12.75"/>
    <row r="919" s="135" customFormat="1" ht="12.75"/>
    <row r="920" s="135" customFormat="1" ht="12.75"/>
    <row r="921" s="135" customFormat="1" ht="12.75"/>
    <row r="922" s="135" customFormat="1" ht="14.25" customHeight="1"/>
    <row r="923" s="135" customFormat="1" ht="12.75"/>
    <row r="924" s="135" customFormat="1" ht="12.75"/>
    <row r="925" s="135" customFormat="1" ht="12.75"/>
    <row r="926" s="135" customFormat="1" ht="12.75"/>
    <row r="927" s="135" customFormat="1" ht="12.75"/>
    <row r="928" s="135" customFormat="1" ht="12.75"/>
    <row r="929" s="135" customFormat="1" ht="12.75"/>
    <row r="930" s="135" customFormat="1" ht="12.75"/>
    <row r="931" s="135" customFormat="1" ht="12.75"/>
    <row r="932" s="135" customFormat="1" ht="12.75"/>
    <row r="933" s="135" customFormat="1" ht="12.75"/>
    <row r="934" s="135" customFormat="1" ht="12.75"/>
    <row r="935" s="135" customFormat="1" ht="12.75"/>
    <row r="936" s="135" customFormat="1" ht="12.75"/>
    <row r="937" s="135" customFormat="1" ht="12.75"/>
    <row r="938" s="135" customFormat="1" ht="12.75"/>
    <row r="939" s="135" customFormat="1" ht="12.75"/>
    <row r="940" s="135" customFormat="1" ht="12.75"/>
    <row r="941" s="135" customFormat="1" ht="12.75"/>
    <row r="942" s="135" customFormat="1" ht="12.75"/>
    <row r="943" s="135" customFormat="1" ht="12.75"/>
    <row r="944" s="135" customFormat="1" ht="12.75"/>
    <row r="945" s="135" customFormat="1" ht="12.75"/>
    <row r="946" s="135" customFormat="1" ht="12.75"/>
    <row r="947" s="135" customFormat="1" ht="12.75"/>
    <row r="948" s="135" customFormat="1" ht="12.75"/>
    <row r="949" s="135" customFormat="1" ht="12.75"/>
    <row r="950" s="135" customFormat="1" ht="12.75"/>
    <row r="951" s="135" customFormat="1" ht="12.75"/>
    <row r="952" s="135" customFormat="1" ht="12.75"/>
    <row r="953" s="135" customFormat="1" ht="12.75"/>
    <row r="954" s="135" customFormat="1" ht="12.75"/>
    <row r="955" s="135" customFormat="1" ht="12.75"/>
    <row r="956" s="135" customFormat="1" ht="12.75"/>
    <row r="957" s="135" customFormat="1" ht="12.75"/>
    <row r="958" s="135" customFormat="1" ht="15" customHeight="1"/>
    <row r="959" s="135" customFormat="1" ht="12.75"/>
    <row r="960" s="135" customFormat="1" ht="12.75"/>
    <row r="961" s="135" customFormat="1" ht="12.75"/>
    <row r="962" s="135" customFormat="1" ht="12.75"/>
    <row r="963" s="135" customFormat="1" ht="12.75"/>
    <row r="964" s="135" customFormat="1" ht="12.75"/>
    <row r="965" s="135" customFormat="1" ht="12.75"/>
    <row r="966" s="135" customFormat="1" ht="12.75"/>
    <row r="967" s="135" customFormat="1" ht="12.75"/>
    <row r="968" s="135" customFormat="1" ht="12.75"/>
    <row r="969" s="135" customFormat="1" ht="12.75"/>
    <row r="970" s="135" customFormat="1" ht="12.75"/>
    <row r="971" s="135" customFormat="1" ht="12.75"/>
    <row r="972" s="135" customFormat="1" ht="12.75"/>
    <row r="973" s="135" customFormat="1" ht="12.75"/>
    <row r="974" s="135" customFormat="1" ht="12.75"/>
    <row r="975" s="135" customFormat="1" ht="12.75"/>
    <row r="976" s="135" customFormat="1" ht="12.75"/>
    <row r="977" s="135" customFormat="1" ht="12.75"/>
    <row r="978" s="135" customFormat="1" ht="12.75"/>
    <row r="979" s="135" customFormat="1" ht="12.75"/>
    <row r="980" s="135" customFormat="1" ht="12.75"/>
    <row r="981" s="135" customFormat="1" ht="12.75"/>
    <row r="982" s="135" customFormat="1" ht="12.75"/>
    <row r="983" s="135" customFormat="1" ht="12.75"/>
    <row r="984" s="135" customFormat="1" ht="12.75"/>
    <row r="985" s="135" customFormat="1" ht="14.25" customHeight="1"/>
    <row r="986" s="135" customFormat="1" ht="12.75"/>
    <row r="987" s="135" customFormat="1" ht="12.75"/>
    <row r="988" s="135" customFormat="1" ht="12.75"/>
    <row r="989" s="135" customFormat="1" ht="12.75"/>
    <row r="990" s="135" customFormat="1" ht="12.75"/>
    <row r="991" s="135" customFormat="1" ht="12.75"/>
    <row r="992" s="135" customFormat="1" ht="12.75"/>
    <row r="993" s="135" customFormat="1" ht="12.75"/>
    <row r="994" s="135" customFormat="1" ht="12.75"/>
    <row r="995" s="135" customFormat="1" ht="12.75"/>
    <row r="996" s="135" customFormat="1" ht="12.75"/>
    <row r="997" s="135" customFormat="1" ht="12.75"/>
    <row r="998" s="135" customFormat="1" ht="12.75"/>
    <row r="999" s="135" customFormat="1" ht="12.75"/>
    <row r="1000" s="135" customFormat="1" ht="12.75"/>
    <row r="1001" s="135" customFormat="1" ht="12.75"/>
    <row r="1002" s="135" customFormat="1" ht="12.75"/>
    <row r="1003" s="135" customFormat="1" ht="12.75"/>
    <row r="1004" s="135" customFormat="1" ht="12.75"/>
    <row r="1005" s="135" customFormat="1" ht="12.75"/>
    <row r="1006" s="135" customFormat="1" ht="12.75"/>
    <row r="1007" s="135" customFormat="1" ht="12.75"/>
    <row r="1008" s="135" customFormat="1" ht="12.75"/>
    <row r="1009" s="135" customFormat="1" ht="12.75"/>
    <row r="1010" s="135" customFormat="1" ht="12.75"/>
    <row r="1011" s="135" customFormat="1" ht="12.75"/>
    <row r="1012" s="135" customFormat="1" ht="12.75"/>
    <row r="1013" s="135" customFormat="1" ht="12.75"/>
    <row r="1014" s="135" customFormat="1" ht="12.75"/>
    <row r="1015" s="135" customFormat="1" ht="12.75"/>
    <row r="1016" s="135" customFormat="1" ht="12.75"/>
    <row r="1017" s="135" customFormat="1" ht="12.75"/>
    <row r="1018" s="135" customFormat="1" ht="14.25" customHeight="1"/>
    <row r="1019" s="135" customFormat="1" ht="12.75"/>
    <row r="1020" s="135" customFormat="1" ht="12.75"/>
    <row r="1021" s="135" customFormat="1" ht="12.75"/>
    <row r="1022" s="135" customFormat="1" ht="12.75"/>
    <row r="1023" s="135" customFormat="1" ht="12.75"/>
    <row r="1024" s="135" customFormat="1" ht="12.75"/>
    <row r="1025" s="135" customFormat="1" ht="12.75"/>
    <row r="1026" s="135" customFormat="1" ht="12.75"/>
    <row r="1027" s="135" customFormat="1" ht="12.75"/>
    <row r="1028" s="135" customFormat="1" ht="12.75"/>
    <row r="1029" s="135" customFormat="1" ht="12.75"/>
    <row r="1030" s="135" customFormat="1" ht="12.75"/>
    <row r="1031" s="135" customFormat="1" ht="12.75"/>
    <row r="1032" s="135" customFormat="1" ht="12.75"/>
    <row r="1033" s="135" customFormat="1" ht="12.75"/>
    <row r="1034" s="135" customFormat="1" ht="12.75"/>
    <row r="1035" s="135" customFormat="1" ht="12.75"/>
    <row r="1036" s="135" customFormat="1" ht="12.75"/>
    <row r="1037" s="135" customFormat="1" ht="12.75"/>
    <row r="1038" s="135" customFormat="1" ht="12.75"/>
    <row r="1039" s="135" customFormat="1" ht="12.75"/>
    <row r="1040" s="135" customFormat="1" ht="12.75"/>
    <row r="1041" s="135" customFormat="1" ht="12.75"/>
    <row r="1042" s="135" customFormat="1" ht="12.75"/>
    <row r="1043" s="135" customFormat="1" ht="12.75"/>
    <row r="1044" s="135" customFormat="1" ht="12.75"/>
    <row r="1045" s="135" customFormat="1" ht="12.75"/>
    <row r="1046" s="135" customFormat="1" ht="12.75"/>
    <row r="1047" s="135" customFormat="1" ht="14.25" customHeight="1"/>
    <row r="1048" s="135" customFormat="1" ht="12.75"/>
    <row r="1049" s="135" customFormat="1" ht="12.75"/>
    <row r="1050" s="135" customFormat="1" ht="12.75"/>
    <row r="1051" s="135" customFormat="1" ht="12.75"/>
    <row r="1052" s="135" customFormat="1" ht="12.75"/>
    <row r="1053" s="135" customFormat="1" ht="12.75"/>
    <row r="1054" s="135" customFormat="1" ht="12.75"/>
    <row r="1055" s="135" customFormat="1" ht="12.75"/>
    <row r="1056" s="135" customFormat="1" ht="12.75"/>
    <row r="1057" s="135" customFormat="1" ht="12.75"/>
    <row r="1058" s="135" customFormat="1" ht="12.75"/>
    <row r="1059" s="135" customFormat="1" ht="12.75"/>
    <row r="1060" s="135" customFormat="1" ht="12.75"/>
    <row r="1061" s="135" customFormat="1" ht="12.75"/>
    <row r="1062" s="135" customFormat="1" ht="12.75"/>
    <row r="1063" s="135" customFormat="1" ht="12.75"/>
    <row r="1064" s="135" customFormat="1" ht="12.75"/>
    <row r="1065" s="135" customFormat="1" ht="12.75"/>
    <row r="1066" s="135" customFormat="1" ht="12.75"/>
    <row r="1067" s="135" customFormat="1" ht="12.75"/>
    <row r="1068" s="135" customFormat="1" ht="12.75"/>
    <row r="1069" s="135" customFormat="1" ht="12.75"/>
    <row r="1070" s="135" customFormat="1" ht="12.75"/>
    <row r="1071" s="135" customFormat="1" ht="12.75"/>
    <row r="1072" s="135" customFormat="1" ht="12.75"/>
    <row r="1073" s="135" customFormat="1" ht="12.75"/>
    <row r="1074" s="135" customFormat="1" ht="12.75"/>
    <row r="1075" s="135" customFormat="1" ht="12.75"/>
    <row r="1076" s="135" customFormat="1" ht="12.75"/>
    <row r="1077" s="135" customFormat="1" ht="12.75"/>
    <row r="1078" s="135" customFormat="1" ht="12.75"/>
    <row r="1079" s="135" customFormat="1" ht="12.75"/>
    <row r="1080" s="135" customFormat="1" ht="12.75"/>
    <row r="1081" s="135" customFormat="1" ht="12.75"/>
    <row r="1082" s="135" customFormat="1" ht="12.75"/>
    <row r="1083" s="135" customFormat="1" ht="12.75"/>
    <row r="1084" s="135" customFormat="1" ht="12.75"/>
    <row r="1085" s="135" customFormat="1" ht="12.75"/>
    <row r="1086" s="135" customFormat="1" ht="14.25" customHeight="1"/>
    <row r="1087" s="135" customFormat="1" ht="12.75"/>
    <row r="1088" s="135" customFormat="1" ht="12.75"/>
    <row r="1089" s="135" customFormat="1" ht="12.75"/>
    <row r="1090" s="135" customFormat="1" ht="12.75"/>
    <row r="1091" s="135" customFormat="1" ht="12.75"/>
    <row r="1092" s="135" customFormat="1" ht="12.75"/>
    <row r="1093" s="135" customFormat="1" ht="12.75"/>
    <row r="1094" s="135" customFormat="1" ht="12.75"/>
    <row r="1095" s="135" customFormat="1" ht="12.75"/>
    <row r="1096" s="135" customFormat="1" ht="12.75"/>
    <row r="1097" s="135" customFormat="1" ht="12.75"/>
    <row r="1098" s="135" customFormat="1" ht="12.75"/>
    <row r="1099" s="135" customFormat="1" ht="12.75"/>
    <row r="1100" s="135" customFormat="1" ht="12.75"/>
    <row r="1101" s="135" customFormat="1" ht="12.75"/>
    <row r="1102" s="135" customFormat="1" ht="12.75"/>
    <row r="1103" s="135" customFormat="1" ht="12.75"/>
    <row r="1104" s="135" customFormat="1" ht="12.75"/>
    <row r="1105" s="135" customFormat="1" ht="12.75"/>
    <row r="1106" s="135" customFormat="1" ht="12.75"/>
    <row r="1107" s="135" customFormat="1" ht="12.75"/>
    <row r="1108" s="135" customFormat="1" ht="12.75"/>
    <row r="1109" s="135" customFormat="1" ht="12.75"/>
    <row r="1110" s="135" customFormat="1" ht="14.25" customHeight="1"/>
    <row r="1111" s="135" customFormat="1" ht="12.75"/>
    <row r="1112" s="135" customFormat="1" ht="12.75"/>
    <row r="1113" s="135" customFormat="1" ht="12.75"/>
    <row r="1114" s="135" customFormat="1" ht="12.75"/>
    <row r="1115" s="135" customFormat="1" ht="12.75"/>
    <row r="1116" s="135" customFormat="1" ht="12.75"/>
    <row r="1117" s="135" customFormat="1" ht="12.75"/>
    <row r="1118" s="135" customFormat="1" ht="12.75"/>
    <row r="1119" s="135" customFormat="1" ht="12.75"/>
    <row r="1120" s="135" customFormat="1" ht="12.75"/>
    <row r="1121" spans="2:22" ht="12.75">
      <c r="B1121" s="135"/>
      <c r="C1121" s="135"/>
      <c r="D1121" s="135"/>
      <c r="E1121" s="135"/>
      <c r="F1121" s="135"/>
      <c r="J1121" s="135"/>
      <c r="K1121" s="135"/>
      <c r="L1121" s="135"/>
      <c r="N1121" s="135"/>
      <c r="S1121" s="135"/>
      <c r="V1121" s="135"/>
    </row>
    <row r="1122" spans="2:22" ht="12.75">
      <c r="B1122" s="135"/>
      <c r="C1122" s="135"/>
      <c r="D1122" s="135"/>
      <c r="E1122" s="135"/>
      <c r="F1122" s="135"/>
      <c r="J1122" s="135"/>
      <c r="K1122" s="135"/>
      <c r="L1122" s="135"/>
      <c r="N1122" s="135"/>
      <c r="S1122" s="135"/>
      <c r="V1122" s="135"/>
    </row>
    <row r="1123" spans="2:22" ht="12.75">
      <c r="B1123" s="135"/>
      <c r="C1123" s="135"/>
      <c r="D1123" s="135"/>
      <c r="E1123" s="135"/>
      <c r="F1123" s="135"/>
      <c r="J1123" s="135"/>
      <c r="K1123" s="135"/>
      <c r="L1123" s="135"/>
      <c r="N1123" s="135"/>
      <c r="S1123" s="135"/>
      <c r="V1123" s="135"/>
    </row>
    <row r="1124" spans="2:22" ht="12.75">
      <c r="B1124" s="135"/>
      <c r="C1124" s="135"/>
      <c r="D1124" s="135"/>
      <c r="E1124" s="135"/>
      <c r="F1124" s="135"/>
      <c r="J1124" s="135"/>
      <c r="K1124" s="135"/>
      <c r="L1124" s="135"/>
      <c r="N1124" s="135"/>
      <c r="S1124" s="135"/>
      <c r="V1124" s="135"/>
    </row>
    <row r="1125" spans="2:22" ht="12.75">
      <c r="B1125" s="135"/>
      <c r="C1125" s="135"/>
      <c r="D1125" s="135"/>
      <c r="E1125" s="135"/>
      <c r="F1125" s="135"/>
      <c r="J1125" s="135"/>
      <c r="K1125" s="135"/>
      <c r="L1125" s="135"/>
      <c r="N1125" s="135"/>
      <c r="S1125" s="135"/>
      <c r="V1125" s="135"/>
    </row>
    <row r="1126" spans="2:22" ht="12.75">
      <c r="B1126" s="135"/>
      <c r="C1126" s="135"/>
      <c r="D1126" s="135"/>
      <c r="E1126" s="135"/>
      <c r="F1126" s="135"/>
      <c r="J1126" s="135"/>
      <c r="K1126" s="135"/>
      <c r="L1126" s="135"/>
      <c r="N1126" s="135"/>
      <c r="S1126" s="135"/>
      <c r="V1126" s="135"/>
    </row>
    <row r="1127" spans="2:22" ht="12.75">
      <c r="B1127" s="135"/>
      <c r="C1127" s="135"/>
      <c r="D1127" s="135"/>
      <c r="E1127" s="135"/>
      <c r="F1127" s="135"/>
      <c r="J1127" s="135"/>
      <c r="K1127" s="135"/>
      <c r="L1127" s="135"/>
      <c r="N1127" s="135"/>
      <c r="S1127" s="135"/>
      <c r="V1127" s="135"/>
    </row>
    <row r="1128" spans="2:22" ht="14.25" customHeight="1">
      <c r="B1128" s="135"/>
      <c r="C1128" s="135"/>
      <c r="D1128" s="135"/>
      <c r="E1128" s="135"/>
      <c r="F1128" s="135"/>
      <c r="J1128" s="135"/>
      <c r="K1128" s="135"/>
      <c r="L1128" s="135"/>
      <c r="N1128" s="135"/>
      <c r="S1128" s="135"/>
      <c r="V1128" s="135"/>
    </row>
    <row r="1129" spans="2:22" ht="12.75">
      <c r="B1129" s="135"/>
      <c r="C1129" s="135"/>
      <c r="D1129" s="135"/>
      <c r="E1129" s="135"/>
      <c r="F1129" s="135"/>
      <c r="J1129" s="135"/>
      <c r="K1129" s="135"/>
      <c r="L1129" s="135"/>
      <c r="N1129" s="135"/>
      <c r="S1129" s="135"/>
      <c r="V1129" s="135"/>
    </row>
    <row r="1130" spans="2:22" ht="12.75">
      <c r="B1130" s="135"/>
      <c r="C1130" s="135"/>
      <c r="D1130" s="135"/>
      <c r="E1130" s="135"/>
      <c r="F1130" s="135"/>
      <c r="J1130" s="135"/>
      <c r="K1130" s="135"/>
      <c r="L1130" s="135"/>
      <c r="N1130" s="135"/>
      <c r="S1130" s="135"/>
      <c r="V1130" s="135"/>
    </row>
    <row r="1131" spans="2:22" ht="12.75">
      <c r="B1131" s="135"/>
      <c r="C1131" s="135"/>
      <c r="D1131" s="135"/>
      <c r="E1131" s="135"/>
      <c r="F1131" s="135"/>
      <c r="J1131" s="135"/>
      <c r="K1131" s="135"/>
      <c r="L1131" s="135"/>
      <c r="N1131" s="135"/>
      <c r="S1131" s="135"/>
      <c r="V1131" s="135"/>
    </row>
    <row r="1132" spans="1:114" s="140" customFormat="1" ht="12.75">
      <c r="A1132" s="135"/>
      <c r="B1132" s="135"/>
      <c r="C1132" s="135"/>
      <c r="D1132" s="135"/>
      <c r="E1132" s="135"/>
      <c r="F1132" s="135"/>
      <c r="G1132" s="135"/>
      <c r="H1132" s="135"/>
      <c r="I1132" s="135"/>
      <c r="J1132" s="135"/>
      <c r="K1132" s="135"/>
      <c r="L1132" s="135"/>
      <c r="M1132" s="135"/>
      <c r="N1132" s="135"/>
      <c r="O1132" s="135"/>
      <c r="P1132" s="135"/>
      <c r="Q1132" s="135"/>
      <c r="R1132" s="135"/>
      <c r="S1132" s="135"/>
      <c r="T1132" s="135"/>
      <c r="U1132" s="135"/>
      <c r="V1132" s="135"/>
      <c r="W1132" s="135"/>
      <c r="X1132" s="135"/>
      <c r="Y1132" s="135"/>
      <c r="Z1132" s="135"/>
      <c r="AA1132" s="135"/>
      <c r="AB1132" s="135"/>
      <c r="AC1132" s="135"/>
      <c r="AD1132" s="135"/>
      <c r="AE1132" s="135"/>
      <c r="AF1132" s="135"/>
      <c r="AG1132" s="135"/>
      <c r="AH1132" s="135"/>
      <c r="AI1132" s="135"/>
      <c r="AJ1132" s="135"/>
      <c r="AK1132" s="135"/>
      <c r="AL1132" s="135"/>
      <c r="AM1132" s="135"/>
      <c r="AN1132" s="135"/>
      <c r="AO1132" s="135"/>
      <c r="AP1132" s="135"/>
      <c r="AQ1132" s="135"/>
      <c r="AR1132" s="135"/>
      <c r="AS1132" s="135"/>
      <c r="AT1132" s="135"/>
      <c r="AU1132" s="135"/>
      <c r="AV1132" s="135"/>
      <c r="AW1132" s="135"/>
      <c r="AX1132" s="135"/>
      <c r="AY1132" s="135"/>
      <c r="AZ1132" s="135"/>
      <c r="BA1132" s="135"/>
      <c r="BB1132" s="135"/>
      <c r="BC1132" s="135"/>
      <c r="BD1132" s="135"/>
      <c r="BE1132" s="135"/>
      <c r="BF1132" s="135"/>
      <c r="BG1132" s="135"/>
      <c r="BH1132" s="135"/>
      <c r="BI1132" s="135"/>
      <c r="BJ1132" s="135"/>
      <c r="BK1132" s="135"/>
      <c r="BL1132" s="135"/>
      <c r="BM1132" s="135"/>
      <c r="BN1132" s="135"/>
      <c r="BO1132" s="135"/>
      <c r="BP1132" s="135"/>
      <c r="BQ1132" s="135"/>
      <c r="BR1132" s="135"/>
      <c r="BS1132" s="135"/>
      <c r="BT1132" s="135"/>
      <c r="BU1132" s="135"/>
      <c r="BV1132" s="135"/>
      <c r="BW1132" s="135"/>
      <c r="BX1132" s="135"/>
      <c r="BY1132" s="135"/>
      <c r="BZ1132" s="135"/>
      <c r="CA1132" s="135"/>
      <c r="CB1132" s="135"/>
      <c r="CC1132" s="135"/>
      <c r="CD1132" s="135"/>
      <c r="CE1132" s="135"/>
      <c r="CF1132" s="135"/>
      <c r="CG1132" s="135"/>
      <c r="CH1132" s="135"/>
      <c r="CI1132" s="135"/>
      <c r="CJ1132" s="135"/>
      <c r="CK1132" s="135"/>
      <c r="CL1132" s="135"/>
      <c r="CM1132" s="135"/>
      <c r="CN1132" s="135"/>
      <c r="CO1132" s="135"/>
      <c r="CP1132" s="135"/>
      <c r="CQ1132" s="135"/>
      <c r="CR1132" s="135"/>
      <c r="CS1132" s="135"/>
      <c r="CT1132" s="135"/>
      <c r="CU1132" s="135"/>
      <c r="CV1132" s="135"/>
      <c r="CW1132" s="135"/>
      <c r="CX1132" s="135"/>
      <c r="CY1132" s="135"/>
      <c r="CZ1132" s="135"/>
      <c r="DA1132" s="135"/>
      <c r="DB1132" s="135"/>
      <c r="DC1132" s="135"/>
      <c r="DD1132" s="135"/>
      <c r="DE1132" s="135"/>
      <c r="DF1132" s="135"/>
      <c r="DG1132" s="135"/>
      <c r="DH1132" s="135"/>
      <c r="DI1132" s="135"/>
      <c r="DJ1132" s="135"/>
    </row>
    <row r="1133" spans="2:22" ht="12.75">
      <c r="B1133" s="135"/>
      <c r="C1133" s="135"/>
      <c r="D1133" s="135"/>
      <c r="E1133" s="135"/>
      <c r="F1133" s="135"/>
      <c r="J1133" s="135"/>
      <c r="K1133" s="135"/>
      <c r="L1133" s="135"/>
      <c r="N1133" s="135"/>
      <c r="S1133" s="135"/>
      <c r="V1133" s="135"/>
    </row>
    <row r="1134" spans="2:22" ht="12.75">
      <c r="B1134" s="135"/>
      <c r="C1134" s="135"/>
      <c r="D1134" s="135"/>
      <c r="E1134" s="135"/>
      <c r="F1134" s="135"/>
      <c r="J1134" s="135"/>
      <c r="K1134" s="135"/>
      <c r="L1134" s="135"/>
      <c r="N1134" s="135"/>
      <c r="S1134" s="135"/>
      <c r="V1134" s="135"/>
    </row>
    <row r="1135" spans="2:22" ht="12.75">
      <c r="B1135" s="135"/>
      <c r="C1135" s="135"/>
      <c r="D1135" s="135"/>
      <c r="E1135" s="135"/>
      <c r="F1135" s="135"/>
      <c r="J1135" s="135"/>
      <c r="K1135" s="135"/>
      <c r="L1135" s="135"/>
      <c r="N1135" s="135"/>
      <c r="S1135" s="135"/>
      <c r="V1135" s="135"/>
    </row>
    <row r="1136" spans="2:22" ht="12.75">
      <c r="B1136" s="135"/>
      <c r="C1136" s="135"/>
      <c r="D1136" s="135"/>
      <c r="E1136" s="135"/>
      <c r="F1136" s="135"/>
      <c r="J1136" s="135"/>
      <c r="K1136" s="135"/>
      <c r="L1136" s="135"/>
      <c r="N1136" s="135"/>
      <c r="S1136" s="135"/>
      <c r="V1136" s="135"/>
    </row>
    <row r="1137" s="135" customFormat="1" ht="12.75"/>
    <row r="1138" s="135" customFormat="1" ht="12.75"/>
    <row r="1139" s="135" customFormat="1" ht="12.75"/>
    <row r="1140" s="135" customFormat="1" ht="14.25" customHeight="1"/>
    <row r="1141" s="135" customFormat="1" ht="12.75"/>
    <row r="1142" s="135" customFormat="1" ht="12.75"/>
    <row r="1143" s="135" customFormat="1" ht="12.75"/>
    <row r="1144" s="135" customFormat="1" ht="12.75"/>
    <row r="1145" s="135" customFormat="1" ht="12.75"/>
    <row r="1146" s="135" customFormat="1" ht="12.75"/>
    <row r="1147" s="135" customFormat="1" ht="12.75"/>
    <row r="1148" s="135" customFormat="1" ht="12.75"/>
    <row r="1149" s="135" customFormat="1" ht="12.75"/>
    <row r="1150" s="135" customFormat="1" ht="12.75"/>
    <row r="1151" s="135" customFormat="1" ht="12.75"/>
    <row r="1152" s="135" customFormat="1" ht="12.75"/>
    <row r="1153" s="135" customFormat="1" ht="12.75"/>
    <row r="1154" s="135" customFormat="1" ht="12.75"/>
    <row r="1155" s="135" customFormat="1" ht="12.75"/>
    <row r="1156" s="135" customFormat="1" ht="12.75"/>
    <row r="1157" s="135" customFormat="1" ht="12.75"/>
    <row r="1158" s="135" customFormat="1" ht="12.75"/>
    <row r="1159" s="135" customFormat="1" ht="12.75"/>
    <row r="1160" s="135" customFormat="1" ht="12.75"/>
    <row r="1161" s="135" customFormat="1" ht="12.75"/>
    <row r="1162" s="135" customFormat="1" ht="12.75"/>
    <row r="1163" s="135" customFormat="1" ht="12.75"/>
    <row r="1164" s="135" customFormat="1" ht="12.75"/>
    <row r="1165" s="135" customFormat="1" ht="12.75"/>
    <row r="1166" s="135" customFormat="1" ht="12.75"/>
    <row r="1167" s="135" customFormat="1" ht="12.75"/>
    <row r="1168" s="135" customFormat="1" ht="12.75"/>
    <row r="1169" s="135" customFormat="1" ht="12.75"/>
    <row r="1170" s="135" customFormat="1" ht="12.75"/>
    <row r="1171" s="135" customFormat="1" ht="12.75"/>
    <row r="1172" s="135" customFormat="1" ht="12.75"/>
    <row r="1173" s="135" customFormat="1" ht="12.75"/>
    <row r="1174" s="135" customFormat="1" ht="12.75"/>
    <row r="1175" s="135" customFormat="1" ht="12.75"/>
    <row r="1176" s="135" customFormat="1" ht="12.75"/>
    <row r="1177" s="135" customFormat="1" ht="12.75"/>
    <row r="1178" s="135" customFormat="1" ht="12.75"/>
    <row r="1179" s="135" customFormat="1" ht="12.75"/>
    <row r="1180" s="135" customFormat="1" ht="12.75"/>
    <row r="1181" s="135" customFormat="1" ht="12.75"/>
    <row r="1182" s="135" customFormat="1" ht="12.75"/>
    <row r="1183" s="135" customFormat="1" ht="12.75"/>
    <row r="1184" s="135" customFormat="1" ht="12.75"/>
    <row r="1185" s="135" customFormat="1" ht="12.75"/>
    <row r="1186" s="135" customFormat="1" ht="12.75"/>
    <row r="1187" s="135" customFormat="1" ht="12.75"/>
    <row r="1188" s="135" customFormat="1" ht="12.75"/>
    <row r="1189" s="135" customFormat="1" ht="12.75"/>
    <row r="1190" s="135" customFormat="1" ht="12.75"/>
    <row r="1191" s="135" customFormat="1" ht="12.75"/>
    <row r="1192" s="135" customFormat="1" ht="12.75"/>
    <row r="1193" s="135" customFormat="1" ht="12.75"/>
    <row r="1194" s="135" customFormat="1" ht="12.75"/>
    <row r="1195" s="135" customFormat="1" ht="12.75"/>
    <row r="1196" s="135" customFormat="1" ht="12.75"/>
    <row r="1197" s="135" customFormat="1" ht="12.75"/>
    <row r="1198" s="135" customFormat="1" ht="12.75"/>
    <row r="1199" s="135" customFormat="1" ht="12.75"/>
    <row r="1200" s="135" customFormat="1" ht="12.75"/>
    <row r="1201" s="135" customFormat="1" ht="12.75"/>
    <row r="1202" s="135" customFormat="1" ht="12.75"/>
    <row r="1203" s="135" customFormat="1" ht="12.75"/>
    <row r="1204" s="135" customFormat="1" ht="12.75"/>
    <row r="1205" s="135" customFormat="1" ht="12.75"/>
    <row r="1206" s="135" customFormat="1" ht="12.75"/>
    <row r="1207" s="135" customFormat="1" ht="12.75"/>
    <row r="1208" s="135" customFormat="1" ht="12.75"/>
    <row r="1209" s="135" customFormat="1" ht="12.75"/>
    <row r="1210" s="135" customFormat="1" ht="12.75"/>
    <row r="1211" s="135" customFormat="1" ht="12.75"/>
    <row r="1212" s="135" customFormat="1" ht="12.75"/>
    <row r="1213" s="135" customFormat="1" ht="12.75"/>
    <row r="1214" s="135" customFormat="1" ht="12.75"/>
    <row r="1215" s="135" customFormat="1" ht="12.75"/>
    <row r="1216" s="135" customFormat="1" ht="12.75"/>
    <row r="1217" s="135" customFormat="1" ht="12.75"/>
    <row r="1218" s="135" customFormat="1" ht="12.75"/>
    <row r="1219" s="135" customFormat="1" ht="12.75"/>
    <row r="1220" s="135" customFormat="1" ht="12.75"/>
    <row r="1221" s="135" customFormat="1" ht="12.75"/>
    <row r="1222" s="135" customFormat="1" ht="12.75"/>
    <row r="1223" s="135" customFormat="1" ht="12.75"/>
    <row r="1224" s="135" customFormat="1" ht="12.75"/>
    <row r="1225" s="135" customFormat="1" ht="12.75"/>
    <row r="1226" s="135" customFormat="1" ht="12.75"/>
    <row r="1227" s="135" customFormat="1" ht="12.75"/>
    <row r="1228" s="135" customFormat="1" ht="12.75"/>
    <row r="1229" s="135" customFormat="1" ht="12.75"/>
    <row r="1230" s="135" customFormat="1" ht="12.75"/>
    <row r="1231" s="135" customFormat="1" ht="12.75"/>
    <row r="1232" s="135" customFormat="1" ht="12.75"/>
    <row r="1233" s="135" customFormat="1" ht="12.75"/>
    <row r="1234" s="135" customFormat="1" ht="12.75"/>
    <row r="1235" s="135" customFormat="1" ht="12.75"/>
    <row r="1236" s="135" customFormat="1" ht="12.75"/>
    <row r="1237" s="135" customFormat="1" ht="12.75"/>
    <row r="1238" s="135" customFormat="1" ht="12.75"/>
    <row r="1239" s="135" customFormat="1" ht="12.75"/>
    <row r="1240" s="135" customFormat="1" ht="12.75"/>
    <row r="1241" s="135" customFormat="1" ht="12.75"/>
    <row r="1242" s="135" customFormat="1" ht="12.75"/>
    <row r="1243" s="135" customFormat="1" ht="12.75"/>
    <row r="1244" s="135" customFormat="1" ht="12.75"/>
    <row r="1245" s="135" customFormat="1" ht="12.75"/>
    <row r="1246" s="135" customFormat="1" ht="12.75"/>
    <row r="1247" s="135" customFormat="1" ht="12.75"/>
    <row r="1248" s="135" customFormat="1" ht="12.75"/>
    <row r="1249" s="135" customFormat="1" ht="12.75"/>
    <row r="1250" s="135" customFormat="1" ht="12.75"/>
    <row r="1251" s="135" customFormat="1" ht="12.75"/>
    <row r="1252" s="135" customFormat="1" ht="12.75"/>
    <row r="1253" s="135" customFormat="1" ht="12.75"/>
    <row r="1254" s="135" customFormat="1" ht="12.75"/>
    <row r="1255" s="135" customFormat="1" ht="12.75"/>
    <row r="1256" s="135" customFormat="1" ht="12.75"/>
    <row r="1257" s="135" customFormat="1" ht="12.75"/>
    <row r="1258" s="135" customFormat="1" ht="12.75"/>
    <row r="1259" s="135" customFormat="1" ht="12.75"/>
    <row r="1260" s="135" customFormat="1" ht="12.75"/>
    <row r="1261" s="135" customFormat="1" ht="12.75"/>
    <row r="1262" s="135" customFormat="1" ht="12.75"/>
    <row r="1263" s="135" customFormat="1" ht="12.75"/>
    <row r="1264" s="135" customFormat="1" ht="12.75"/>
    <row r="1265" s="135" customFormat="1" ht="12.75"/>
    <row r="1266" s="135" customFormat="1" ht="12.75"/>
    <row r="1267" s="135" customFormat="1" ht="12.75"/>
    <row r="1268" s="135" customFormat="1" ht="12.75"/>
    <row r="1269" s="135" customFormat="1" ht="12.75"/>
    <row r="1270" s="135" customFormat="1" ht="12.75"/>
    <row r="1271" s="135" customFormat="1" ht="12.75"/>
    <row r="1272" s="135" customFormat="1" ht="12.75"/>
    <row r="1273" s="135" customFormat="1" ht="12.75"/>
    <row r="1274" s="135" customFormat="1" ht="12.75"/>
    <row r="1275" s="135" customFormat="1" ht="12.75"/>
    <row r="1276" s="135" customFormat="1" ht="12.75"/>
    <row r="1277" s="135" customFormat="1" ht="12.75"/>
    <row r="1278" s="135" customFormat="1" ht="12.75"/>
    <row r="1279" s="135" customFormat="1" ht="12.75"/>
    <row r="1280" s="135" customFormat="1" ht="12.75"/>
    <row r="1281" s="135" customFormat="1" ht="12.75"/>
    <row r="1282" s="135" customFormat="1" ht="12.75"/>
    <row r="1283" s="135" customFormat="1" ht="12.75"/>
    <row r="1284" s="135" customFormat="1" ht="12.75"/>
    <row r="1285" s="135" customFormat="1" ht="12.75"/>
    <row r="1286" s="135" customFormat="1" ht="12.75"/>
    <row r="1287" s="135" customFormat="1" ht="12.75"/>
    <row r="1288" s="135" customFormat="1" ht="12.75"/>
    <row r="1289" s="135" customFormat="1" ht="12.75"/>
    <row r="1290" s="135" customFormat="1" ht="12.75"/>
    <row r="1291" s="135" customFormat="1" ht="12.75"/>
    <row r="1292" s="135" customFormat="1" ht="12.75"/>
    <row r="1293" s="135" customFormat="1" ht="12.75"/>
    <row r="1294" s="135" customFormat="1" ht="12.75"/>
    <row r="1295" s="135" customFormat="1" ht="12.75"/>
    <row r="1296" s="135" customFormat="1" ht="12.75"/>
    <row r="1297" s="135" customFormat="1" ht="12.75"/>
    <row r="1298" s="135" customFormat="1" ht="12.75"/>
    <row r="1299" s="135" customFormat="1" ht="12.75"/>
    <row r="1300" s="135" customFormat="1" ht="12.75"/>
    <row r="1301" s="135" customFormat="1" ht="12.75"/>
    <row r="1302" s="135" customFormat="1" ht="12.75"/>
    <row r="1303" s="135" customFormat="1" ht="12.75"/>
    <row r="1304" s="135" customFormat="1" ht="12.75"/>
    <row r="1305" s="135" customFormat="1" ht="12.75"/>
    <row r="1306" s="135" customFormat="1" ht="12.75"/>
    <row r="1307" s="135" customFormat="1" ht="12.75"/>
    <row r="1308" s="135" customFormat="1" ht="12.75"/>
    <row r="1309" s="135" customFormat="1" ht="12.75"/>
    <row r="1310" s="135" customFormat="1" ht="12.75"/>
    <row r="1311" s="135" customFormat="1" ht="12.75"/>
    <row r="1312" s="135" customFormat="1" ht="12.75"/>
    <row r="1313" s="135" customFormat="1" ht="12.75"/>
    <row r="1314" s="135" customFormat="1" ht="12.75"/>
    <row r="1315" s="135" customFormat="1" ht="12.75"/>
    <row r="1316" s="135" customFormat="1" ht="12.75"/>
    <row r="1317" s="135" customFormat="1" ht="12.75"/>
    <row r="1318" s="135" customFormat="1" ht="12.75"/>
    <row r="1319" s="135" customFormat="1" ht="12.75"/>
    <row r="1320" s="135" customFormat="1" ht="12.75"/>
    <row r="1321" s="135" customFormat="1" ht="12.75"/>
    <row r="1322" s="135" customFormat="1" ht="12.75"/>
    <row r="1323" s="135" customFormat="1" ht="12.75"/>
    <row r="1324" s="135" customFormat="1" ht="12.75"/>
    <row r="1325" s="135" customFormat="1" ht="12.75"/>
    <row r="1326" s="135" customFormat="1" ht="12.75"/>
    <row r="1327" s="135" customFormat="1" ht="12.75"/>
    <row r="1328" s="135" customFormat="1" ht="12.75"/>
    <row r="1329" s="135" customFormat="1" ht="12.75"/>
    <row r="1330" s="135" customFormat="1" ht="12.75"/>
    <row r="1331" s="135" customFormat="1" ht="12.75"/>
    <row r="1332" s="135" customFormat="1" ht="12.75"/>
    <row r="1333" s="135" customFormat="1" ht="12.75"/>
    <row r="1334" s="135" customFormat="1" ht="12.75"/>
    <row r="1335" s="135" customFormat="1" ht="12.75"/>
    <row r="1336" s="135" customFormat="1" ht="12.75"/>
    <row r="1337" s="135" customFormat="1" ht="12.75"/>
    <row r="1338" s="135" customFormat="1" ht="12.75"/>
    <row r="1339" s="135" customFormat="1" ht="12.75"/>
    <row r="1340" s="135" customFormat="1" ht="12.75"/>
    <row r="1341" s="135" customFormat="1" ht="12.75"/>
    <row r="1342" s="135" customFormat="1" ht="12.75"/>
    <row r="1343" s="135" customFormat="1" ht="12.75"/>
    <row r="1344" s="135" customFormat="1" ht="12.75"/>
    <row r="1345" s="135" customFormat="1" ht="12.75"/>
    <row r="1346" s="135" customFormat="1" ht="12.75"/>
    <row r="1347" s="135" customFormat="1" ht="12.75"/>
    <row r="1348" s="135" customFormat="1" ht="12.75"/>
    <row r="1349" s="135" customFormat="1" ht="12.75"/>
    <row r="1350" s="135" customFormat="1" ht="12.75"/>
    <row r="1351" s="135" customFormat="1" ht="12.75"/>
    <row r="1352" s="135" customFormat="1" ht="12.75"/>
    <row r="1353" s="135" customFormat="1" ht="12.75"/>
    <row r="1354" s="135" customFormat="1" ht="12.75"/>
    <row r="1355" s="135" customFormat="1" ht="12.75"/>
    <row r="1356" s="135" customFormat="1" ht="12.75"/>
    <row r="1357" s="135" customFormat="1" ht="12.75"/>
    <row r="1358" s="135" customFormat="1" ht="12.75"/>
    <row r="1359" s="135" customFormat="1" ht="12.75"/>
    <row r="1360" s="135" customFormat="1" ht="12.75"/>
    <row r="1361" s="135" customFormat="1" ht="12.75"/>
    <row r="1362" s="135" customFormat="1" ht="12.75"/>
    <row r="1363" s="135" customFormat="1" ht="12.75"/>
    <row r="1364" s="135" customFormat="1" ht="12.75"/>
    <row r="1365" s="135" customFormat="1" ht="12.75"/>
    <row r="1366" s="135" customFormat="1" ht="12.75"/>
    <row r="1367" s="135" customFormat="1" ht="12.75"/>
    <row r="1368" s="135" customFormat="1" ht="12.75"/>
    <row r="1369" s="135" customFormat="1" ht="12.75"/>
    <row r="1370" s="135" customFormat="1" ht="12.75"/>
    <row r="1371" s="135" customFormat="1" ht="12.75"/>
    <row r="1372" s="135" customFormat="1" ht="12.75"/>
    <row r="1373" s="135" customFormat="1" ht="12.75"/>
    <row r="1374" s="135" customFormat="1" ht="12.75"/>
    <row r="1375" s="135" customFormat="1" ht="12.75"/>
    <row r="1376" s="135" customFormat="1" ht="12.75"/>
    <row r="1377" s="135" customFormat="1" ht="12.75"/>
    <row r="1378" s="135" customFormat="1" ht="12.75"/>
    <row r="1379" s="135" customFormat="1" ht="12.75"/>
    <row r="1380" s="135" customFormat="1" ht="12.75"/>
    <row r="1381" s="135" customFormat="1" ht="12.75"/>
    <row r="1382" s="135" customFormat="1" ht="12.75"/>
    <row r="1383" s="135" customFormat="1" ht="12.75"/>
    <row r="1384" s="135" customFormat="1" ht="12.75"/>
    <row r="1385" s="135" customFormat="1" ht="12.75"/>
    <row r="1386" s="135" customFormat="1" ht="12.75"/>
    <row r="1387" s="135" customFormat="1" ht="12.75"/>
    <row r="1388" s="135" customFormat="1" ht="12.75"/>
    <row r="1389" s="135" customFormat="1" ht="12.75"/>
    <row r="1390" s="135" customFormat="1" ht="12.75"/>
    <row r="1391" s="135" customFormat="1" ht="12.75"/>
    <row r="1392" s="135" customFormat="1" ht="12.75"/>
    <row r="1393" s="135" customFormat="1" ht="12.75"/>
    <row r="1394" s="135" customFormat="1" ht="12.75"/>
    <row r="1395" s="135" customFormat="1" ht="12.75"/>
    <row r="1396" s="135" customFormat="1" ht="12.75"/>
    <row r="1397" s="135" customFormat="1" ht="12.75"/>
    <row r="1398" s="135" customFormat="1" ht="12.75"/>
    <row r="1399" s="135" customFormat="1" ht="12.75"/>
    <row r="1400" s="135" customFormat="1" ht="12.75"/>
    <row r="1401" s="135" customFormat="1" ht="12.75"/>
    <row r="1402" s="135" customFormat="1" ht="12.75"/>
    <row r="1403" s="135" customFormat="1" ht="12.75"/>
    <row r="1404" s="135" customFormat="1" ht="12.75"/>
    <row r="1405" s="135" customFormat="1" ht="12.75"/>
    <row r="1406" s="135" customFormat="1" ht="12.75"/>
    <row r="1407" s="135" customFormat="1" ht="12.75"/>
    <row r="1408" s="135" customFormat="1" ht="12.75"/>
    <row r="1409" s="135" customFormat="1" ht="12.75"/>
    <row r="1410" s="135" customFormat="1" ht="12.75"/>
    <row r="1411" s="135" customFormat="1" ht="12.75"/>
    <row r="1412" s="135" customFormat="1" ht="12.75"/>
    <row r="1413" s="135" customFormat="1" ht="12.75"/>
    <row r="1414" s="135" customFormat="1" ht="12.75"/>
    <row r="1415" s="135" customFormat="1" ht="12.75"/>
    <row r="1416" s="135" customFormat="1" ht="12.75"/>
    <row r="1417" s="135" customFormat="1" ht="12.75"/>
    <row r="1418" s="135" customFormat="1" ht="12.75"/>
    <row r="1419" s="135" customFormat="1" ht="12.75"/>
    <row r="1420" s="135" customFormat="1" ht="12.75"/>
    <row r="1421" s="135" customFormat="1" ht="12.75"/>
    <row r="1422" s="135" customFormat="1" ht="12.75"/>
    <row r="1423" s="135" customFormat="1" ht="12.75"/>
    <row r="1424" s="135" customFormat="1" ht="12.75"/>
    <row r="1425" s="135" customFormat="1" ht="12.75"/>
    <row r="1426" s="135" customFormat="1" ht="12.75"/>
    <row r="1427" s="135" customFormat="1" ht="12.75"/>
    <row r="1428" s="135" customFormat="1" ht="12.75"/>
    <row r="1429" s="135" customFormat="1" ht="12.75"/>
    <row r="1430" s="135" customFormat="1" ht="12.75"/>
    <row r="1431" s="135" customFormat="1" ht="12.75"/>
    <row r="1432" s="135" customFormat="1" ht="12.75"/>
    <row r="1433" s="135" customFormat="1" ht="12.75"/>
    <row r="1434" s="135" customFormat="1" ht="12.75"/>
    <row r="1435" s="135" customFormat="1" ht="12.75"/>
    <row r="1436" s="135" customFormat="1" ht="12.75"/>
    <row r="1437" s="135" customFormat="1" ht="12.75"/>
    <row r="1438" s="135" customFormat="1" ht="12.75"/>
    <row r="1439" s="135" customFormat="1" ht="12.75"/>
    <row r="1440" s="135" customFormat="1" ht="12.75"/>
    <row r="1441" s="135" customFormat="1" ht="12.75"/>
    <row r="1442" s="135" customFormat="1" ht="12.75"/>
    <row r="1443" s="135" customFormat="1" ht="12.75"/>
    <row r="1444" s="135" customFormat="1" ht="12.75"/>
    <row r="1445" s="135" customFormat="1" ht="12.75"/>
    <row r="1446" s="135" customFormat="1" ht="12.75"/>
    <row r="1447" s="135" customFormat="1" ht="12.75"/>
    <row r="1448" s="135" customFormat="1" ht="12.75"/>
    <row r="1449" s="135" customFormat="1" ht="12.75"/>
    <row r="1450" s="135" customFormat="1" ht="12.75"/>
    <row r="1451" s="135" customFormat="1" ht="12.75"/>
    <row r="1452" s="135" customFormat="1" ht="12.75"/>
    <row r="1453" s="135" customFormat="1" ht="12.75"/>
    <row r="1454" s="135" customFormat="1" ht="12.75"/>
    <row r="1455" s="135" customFormat="1" ht="12.75"/>
    <row r="1456" s="135" customFormat="1" ht="12.75"/>
    <row r="1457" s="135" customFormat="1" ht="12.75"/>
    <row r="1458" s="135" customFormat="1" ht="12.75"/>
    <row r="1459" s="135" customFormat="1" ht="12.75"/>
    <row r="1460" s="135" customFormat="1" ht="12.75"/>
    <row r="1461" s="135" customFormat="1" ht="12.75"/>
    <row r="1462" s="135" customFormat="1" ht="12.75"/>
    <row r="1463" s="135" customFormat="1" ht="12.75"/>
    <row r="1464" s="135" customFormat="1" ht="12.75"/>
    <row r="1465" s="135" customFormat="1" ht="12.75"/>
    <row r="1466" s="135" customFormat="1" ht="12.75"/>
    <row r="1467" s="135" customFormat="1" ht="12.75"/>
    <row r="1468" s="135" customFormat="1" ht="12.75"/>
    <row r="1469" s="135" customFormat="1" ht="12.75"/>
    <row r="1470" s="135" customFormat="1" ht="12.75"/>
    <row r="1471" s="135" customFormat="1" ht="12.75"/>
    <row r="1472" s="135" customFormat="1" ht="12.75"/>
    <row r="1473" s="135" customFormat="1" ht="12.75"/>
    <row r="1474" s="135" customFormat="1" ht="12.75"/>
    <row r="1475" s="135" customFormat="1" ht="12.75"/>
    <row r="1476" s="135" customFormat="1" ht="12.75"/>
    <row r="1477" s="135" customFormat="1" ht="12.75"/>
    <row r="1478" s="135" customFormat="1" ht="12.75"/>
    <row r="1479" s="135" customFormat="1" ht="12.75"/>
    <row r="1480" s="135" customFormat="1" ht="12.75"/>
    <row r="1481" s="135" customFormat="1" ht="12.75"/>
    <row r="1482" s="135" customFormat="1" ht="12.75"/>
    <row r="1483" s="135" customFormat="1" ht="12.75"/>
    <row r="1484" s="135" customFormat="1" ht="12.75"/>
    <row r="1485" s="135" customFormat="1" ht="12.75"/>
    <row r="1486" s="135" customFormat="1" ht="12.75"/>
    <row r="1487" s="135" customFormat="1" ht="12.75"/>
    <row r="1488" s="135" customFormat="1" ht="12.75"/>
    <row r="1489" s="135" customFormat="1" ht="12.75"/>
    <row r="1490" s="135" customFormat="1" ht="12.75"/>
    <row r="1491" s="135" customFormat="1" ht="12.75"/>
    <row r="1492" s="135" customFormat="1" ht="12.75"/>
    <row r="1493" s="135" customFormat="1" ht="12.75"/>
    <row r="1494" s="135" customFormat="1" ht="12.75"/>
    <row r="1495" s="135" customFormat="1" ht="12.75"/>
    <row r="1496" s="135" customFormat="1" ht="12.75"/>
    <row r="1497" s="135" customFormat="1" ht="12.75"/>
    <row r="1498" s="135" customFormat="1" ht="12.75"/>
    <row r="1499" s="135" customFormat="1" ht="12.75"/>
    <row r="1500" s="135" customFormat="1" ht="12.75"/>
    <row r="1501" s="135" customFormat="1" ht="12.75"/>
    <row r="1502" s="135" customFormat="1" ht="12.75"/>
    <row r="1503" s="135" customFormat="1" ht="12.75"/>
    <row r="1504" s="135" customFormat="1" ht="12.75"/>
    <row r="1505" s="135" customFormat="1" ht="12.75"/>
    <row r="1506" s="135" customFormat="1" ht="12.75"/>
    <row r="1507" s="135" customFormat="1" ht="12.75"/>
    <row r="1508" s="135" customFormat="1" ht="12.75"/>
    <row r="1509" s="135" customFormat="1" ht="12.75"/>
    <row r="1510" s="135" customFormat="1" ht="12.75"/>
    <row r="1511" s="135" customFormat="1" ht="12.75"/>
    <row r="1512" s="135" customFormat="1" ht="12.75"/>
    <row r="1513" s="135" customFormat="1" ht="12.75"/>
    <row r="1514" s="135" customFormat="1" ht="12.75"/>
    <row r="1515" s="135" customFormat="1" ht="12.75"/>
    <row r="1516" s="135" customFormat="1" ht="12.75"/>
    <row r="1517" s="135" customFormat="1" ht="12.75"/>
    <row r="1518" s="135" customFormat="1" ht="12.75"/>
    <row r="1519" s="135" customFormat="1" ht="12.75"/>
    <row r="1520" s="135" customFormat="1" ht="12.75"/>
    <row r="1521" s="135" customFormat="1" ht="12.75"/>
    <row r="1522" s="135" customFormat="1" ht="12.75"/>
    <row r="1523" s="135" customFormat="1" ht="12.75"/>
    <row r="1524" s="135" customFormat="1" ht="12.75"/>
    <row r="1525" s="135" customFormat="1" ht="12.75"/>
    <row r="1526" s="135" customFormat="1" ht="12.75"/>
    <row r="1527" s="135" customFormat="1" ht="12.75"/>
    <row r="1528" s="135" customFormat="1" ht="12.75"/>
    <row r="1529" s="135" customFormat="1" ht="12.75"/>
    <row r="1530" s="135" customFormat="1" ht="12.75"/>
    <row r="1531" s="135" customFormat="1" ht="12.75"/>
    <row r="1532" s="135" customFormat="1" ht="12.75"/>
    <row r="1533" s="135" customFormat="1" ht="12.75"/>
    <row r="1534" s="135" customFormat="1" ht="12.75"/>
    <row r="1535" s="135" customFormat="1" ht="12.75"/>
    <row r="1536" s="135" customFormat="1" ht="12.75"/>
    <row r="1537" s="135" customFormat="1" ht="12.75"/>
    <row r="1538" s="135" customFormat="1" ht="12.75"/>
    <row r="1539" s="135" customFormat="1" ht="12.75"/>
    <row r="1540" s="135" customFormat="1" ht="12.75"/>
    <row r="1541" s="135" customFormat="1" ht="12.75"/>
    <row r="1542" s="135" customFormat="1" ht="12.75"/>
    <row r="1543" s="135" customFormat="1" ht="12.75"/>
    <row r="1544" s="135" customFormat="1" ht="12.75"/>
    <row r="1545" s="135" customFormat="1" ht="12.75"/>
    <row r="1546" s="135" customFormat="1" ht="12.75"/>
    <row r="1547" s="135" customFormat="1" ht="12.75"/>
    <row r="1548" s="135" customFormat="1" ht="12.75"/>
    <row r="1549" s="135" customFormat="1" ht="12.75"/>
    <row r="1550" s="135" customFormat="1" ht="12.75"/>
    <row r="1551" s="135" customFormat="1" ht="12.75"/>
    <row r="1552" s="135" customFormat="1" ht="12.75"/>
    <row r="1553" s="135" customFormat="1" ht="12.75"/>
    <row r="1554" s="135" customFormat="1" ht="12.75"/>
    <row r="1555" s="135" customFormat="1" ht="12.75"/>
    <row r="1556" s="135" customFormat="1" ht="12.75"/>
    <row r="1557" s="135" customFormat="1" ht="12.75"/>
    <row r="1558" s="135" customFormat="1" ht="12.75"/>
    <row r="1559" s="135" customFormat="1" ht="12.75"/>
    <row r="1560" s="135" customFormat="1" ht="12.75"/>
    <row r="1561" s="135" customFormat="1" ht="12.75"/>
    <row r="1562" s="135" customFormat="1" ht="12.75"/>
    <row r="1563" s="135" customFormat="1" ht="12.75"/>
    <row r="1564" s="135" customFormat="1" ht="12.75"/>
    <row r="1565" s="135" customFormat="1" ht="12.75"/>
    <row r="1566" s="135" customFormat="1" ht="12.75"/>
    <row r="1567" s="135" customFormat="1" ht="12.75"/>
    <row r="1568" s="135" customFormat="1" ht="12.75"/>
    <row r="1569" s="135" customFormat="1" ht="12.75"/>
    <row r="1570" s="135" customFormat="1" ht="12.75"/>
    <row r="1571" s="135" customFormat="1" ht="12.75"/>
    <row r="1572" s="135" customFormat="1" ht="12.75"/>
    <row r="1573" s="135" customFormat="1" ht="12.75"/>
    <row r="1574" s="135" customFormat="1" ht="12.75"/>
    <row r="1575" s="135" customFormat="1" ht="12.75"/>
    <row r="1576" s="135" customFormat="1" ht="12.75"/>
    <row r="1577" s="135" customFormat="1" ht="12.75"/>
    <row r="1578" s="135" customFormat="1" ht="12.75"/>
    <row r="1579" s="135" customFormat="1" ht="12.75"/>
    <row r="1580" s="135" customFormat="1" ht="12.75"/>
    <row r="1581" s="135" customFormat="1" ht="12.75"/>
    <row r="1582" s="135" customFormat="1" ht="12.75"/>
    <row r="1583" s="135" customFormat="1" ht="12.75"/>
    <row r="1584" s="135" customFormat="1" ht="12.75"/>
    <row r="1585" s="135" customFormat="1" ht="12.75"/>
    <row r="1586" s="135" customFormat="1" ht="12.75"/>
    <row r="1587" s="135" customFormat="1" ht="12.75"/>
    <row r="1588" s="135" customFormat="1" ht="12.75"/>
    <row r="1589" s="135" customFormat="1" ht="12.75"/>
    <row r="1590" s="135" customFormat="1" ht="12.75"/>
    <row r="1591" s="135" customFormat="1" ht="12.75"/>
    <row r="1592" s="135" customFormat="1" ht="12.75"/>
    <row r="1593" s="135" customFormat="1" ht="12.75"/>
    <row r="1594" s="135" customFormat="1" ht="12.75"/>
    <row r="1595" s="135" customFormat="1" ht="12.75"/>
    <row r="1596" s="135" customFormat="1" ht="12.75"/>
    <row r="1597" s="135" customFormat="1" ht="12.75"/>
    <row r="1598" s="135" customFormat="1" ht="12.75"/>
    <row r="1599" s="135" customFormat="1" ht="12.75"/>
    <row r="1600" s="135" customFormat="1" ht="12.75"/>
    <row r="1601" s="135" customFormat="1" ht="12.75"/>
    <row r="1602" s="135" customFormat="1" ht="12.75"/>
    <row r="1603" s="135" customFormat="1" ht="12.75"/>
    <row r="1604" s="135" customFormat="1" ht="12.75"/>
    <row r="1605" s="135" customFormat="1" ht="12.75"/>
    <row r="1606" s="135" customFormat="1" ht="12.75"/>
    <row r="1607" s="135" customFormat="1" ht="12.75"/>
    <row r="1608" s="135" customFormat="1" ht="12.75"/>
    <row r="1609" s="135" customFormat="1" ht="12.75"/>
    <row r="1610" s="135" customFormat="1" ht="12.75"/>
    <row r="1611" s="135" customFormat="1" ht="12.75"/>
    <row r="1612" s="135" customFormat="1" ht="12.75"/>
    <row r="1613" s="135" customFormat="1" ht="12.75"/>
    <row r="1614" s="135" customFormat="1" ht="12.75"/>
    <row r="1615" s="135" customFormat="1" ht="12.75"/>
    <row r="1616" s="135" customFormat="1" ht="12.75"/>
    <row r="1617" s="135" customFormat="1" ht="12.75"/>
    <row r="1618" s="135" customFormat="1" ht="12.75"/>
    <row r="1619" s="135" customFormat="1" ht="12.75"/>
    <row r="1620" s="135" customFormat="1" ht="12.75"/>
    <row r="1621" s="135" customFormat="1" ht="12.75"/>
    <row r="1622" s="135" customFormat="1" ht="12.75"/>
    <row r="1623" s="135" customFormat="1" ht="12.75"/>
    <row r="1624" s="135" customFormat="1" ht="12.75"/>
    <row r="1625" s="135" customFormat="1" ht="12.75"/>
    <row r="1626" s="135" customFormat="1" ht="12.75"/>
    <row r="1627" s="135" customFormat="1" ht="12.75"/>
    <row r="1628" s="135" customFormat="1" ht="12.75"/>
    <row r="1629" s="135" customFormat="1" ht="12.75"/>
    <row r="1630" s="135" customFormat="1" ht="12.75"/>
    <row r="1631" s="135" customFormat="1" ht="12.75"/>
    <row r="1632" s="135" customFormat="1" ht="12.75"/>
    <row r="1633" s="135" customFormat="1" ht="12.75"/>
    <row r="1634" s="135" customFormat="1" ht="12.75"/>
    <row r="1635" s="135" customFormat="1" ht="12.75"/>
    <row r="1636" s="135" customFormat="1" ht="12.75"/>
    <row r="1637" s="135" customFormat="1" ht="12.75"/>
    <row r="1638" s="135" customFormat="1" ht="12.75"/>
    <row r="1639" s="135" customFormat="1" ht="12.75"/>
    <row r="1640" s="135" customFormat="1" ht="12.75"/>
    <row r="1641" s="135" customFormat="1" ht="12.75"/>
    <row r="1642" s="135" customFormat="1" ht="12.75"/>
    <row r="1643" s="135" customFormat="1" ht="12.75"/>
    <row r="1644" s="135" customFormat="1" ht="12.75"/>
    <row r="1645" s="135" customFormat="1" ht="12.75"/>
    <row r="1646" s="135" customFormat="1" ht="12.75"/>
    <row r="1647" s="135" customFormat="1" ht="12.75"/>
    <row r="1648" s="135" customFormat="1" ht="12.75"/>
    <row r="1649" s="135" customFormat="1" ht="12.75"/>
    <row r="1650" s="135" customFormat="1" ht="12.75"/>
    <row r="1651" s="135" customFormat="1" ht="12.75"/>
    <row r="1652" s="135" customFormat="1" ht="12.75"/>
    <row r="1653" s="135" customFormat="1" ht="12.75"/>
    <row r="1654" s="135" customFormat="1" ht="12.75"/>
    <row r="1655" s="135" customFormat="1" ht="12.75"/>
    <row r="1656" s="135" customFormat="1" ht="12.75"/>
    <row r="1657" s="135" customFormat="1" ht="12.75"/>
    <row r="1658" s="135" customFormat="1" ht="12.75"/>
    <row r="1659" s="135" customFormat="1" ht="12.75"/>
    <row r="1660" s="135" customFormat="1" ht="12.75"/>
    <row r="1661" s="135" customFormat="1" ht="12.75"/>
    <row r="1662" s="135" customFormat="1" ht="12.75"/>
    <row r="1663" s="135" customFormat="1" ht="12.75"/>
    <row r="1664" s="135" customFormat="1" ht="12.75"/>
    <row r="1665" s="135" customFormat="1" ht="12.75"/>
    <row r="1666" s="135" customFormat="1" ht="12.75"/>
    <row r="1667" s="135" customFormat="1" ht="12.75"/>
    <row r="1668" s="135" customFormat="1" ht="12.75"/>
    <row r="1669" s="135" customFormat="1" ht="12.75"/>
    <row r="1670" s="135" customFormat="1" ht="12.75"/>
    <row r="1671" s="135" customFormat="1" ht="12.75"/>
    <row r="1672" s="135" customFormat="1" ht="12.75"/>
    <row r="1673" s="135" customFormat="1" ht="12.75"/>
    <row r="1674" s="135" customFormat="1" ht="12.75"/>
    <row r="1675" s="135" customFormat="1" ht="12.75"/>
    <row r="1676" s="135" customFormat="1" ht="12.75"/>
    <row r="1677" s="135" customFormat="1" ht="12.75"/>
    <row r="1678" s="135" customFormat="1" ht="12.75"/>
    <row r="1679" s="135" customFormat="1" ht="12.75"/>
    <row r="1680" s="135" customFormat="1" ht="12.75"/>
    <row r="1681" s="135" customFormat="1" ht="12.75"/>
    <row r="1682" s="135" customFormat="1" ht="12.75"/>
    <row r="1683" s="135" customFormat="1" ht="12.75"/>
    <row r="1684" s="135" customFormat="1" ht="12.75"/>
    <row r="1685" s="135" customFormat="1" ht="12.75"/>
    <row r="1686" s="135" customFormat="1" ht="12.75"/>
    <row r="1687" s="135" customFormat="1" ht="12.75"/>
    <row r="1688" s="135" customFormat="1" ht="12.75"/>
    <row r="1689" s="135" customFormat="1" ht="12.75"/>
    <row r="1690" s="135" customFormat="1" ht="12.75"/>
    <row r="1691" s="135" customFormat="1" ht="12.75"/>
    <row r="1692" s="135" customFormat="1" ht="12.75"/>
    <row r="1693" s="135" customFormat="1" ht="12.75"/>
    <row r="1694" s="135" customFormat="1" ht="12.75"/>
    <row r="1695" s="135" customFormat="1" ht="12.75"/>
    <row r="1696" s="135" customFormat="1" ht="12.75"/>
    <row r="1697" s="135" customFormat="1" ht="12.75"/>
    <row r="1698" s="135" customFormat="1" ht="12.75"/>
    <row r="1699" s="135" customFormat="1" ht="12.75"/>
    <row r="1700" s="135" customFormat="1" ht="12.75"/>
    <row r="1701" s="135" customFormat="1" ht="12.75"/>
    <row r="1702" s="135" customFormat="1" ht="12.75"/>
    <row r="1703" s="135" customFormat="1" ht="12.75"/>
    <row r="1704" s="135" customFormat="1" ht="12.75"/>
    <row r="1705" s="135" customFormat="1" ht="12.75"/>
    <row r="1706" s="135" customFormat="1" ht="12.75"/>
    <row r="1707" s="135" customFormat="1" ht="12.75"/>
    <row r="1708" s="135" customFormat="1" ht="12.75"/>
    <row r="1709" s="135" customFormat="1" ht="12.75"/>
    <row r="1710" s="135" customFormat="1" ht="12.75"/>
    <row r="1711" s="135" customFormat="1" ht="12.75"/>
    <row r="1712" s="135" customFormat="1" ht="12.75"/>
    <row r="1713" s="135" customFormat="1" ht="12.75"/>
    <row r="1714" s="135" customFormat="1" ht="12.75"/>
    <row r="1715" s="135" customFormat="1" ht="12.75"/>
    <row r="1716" s="135" customFormat="1" ht="12.75"/>
    <row r="1717" s="135" customFormat="1" ht="12.75"/>
    <row r="1718" s="135" customFormat="1" ht="12.75"/>
    <row r="1719" s="135" customFormat="1" ht="12.75"/>
    <row r="1720" s="135" customFormat="1" ht="12.75"/>
    <row r="1721" s="135" customFormat="1" ht="12.75"/>
    <row r="1722" s="135" customFormat="1" ht="12.75"/>
    <row r="1723" s="135" customFormat="1" ht="12.75"/>
    <row r="1724" s="135" customFormat="1" ht="12.75"/>
    <row r="1725" s="135" customFormat="1" ht="12.75"/>
    <row r="1726" s="135" customFormat="1" ht="12.75"/>
    <row r="1727" s="135" customFormat="1" ht="12.75"/>
    <row r="1728" s="135" customFormat="1" ht="12.75"/>
    <row r="1729" s="135" customFormat="1" ht="12.75"/>
    <row r="1730" s="135" customFormat="1" ht="12.75"/>
    <row r="1731" s="135" customFormat="1" ht="12.75"/>
    <row r="1732" s="135" customFormat="1" ht="12.75"/>
    <row r="1733" s="135" customFormat="1" ht="12.75"/>
    <row r="1734" s="135" customFormat="1" ht="12.75"/>
    <row r="1735" s="135" customFormat="1" ht="12.75"/>
    <row r="1736" s="135" customFormat="1" ht="12.75"/>
    <row r="1737" s="135" customFormat="1" ht="12.75"/>
    <row r="1738" s="135" customFormat="1" ht="12.75"/>
    <row r="1739" s="135" customFormat="1" ht="12.75"/>
    <row r="1740" s="135" customFormat="1" ht="12.75"/>
    <row r="1741" s="135" customFormat="1" ht="12.75"/>
    <row r="1742" s="135" customFormat="1" ht="12.75"/>
    <row r="1743" s="135" customFormat="1" ht="12.75"/>
    <row r="1744" s="135" customFormat="1" ht="12.75"/>
    <row r="1745" s="135" customFormat="1" ht="12.75"/>
    <row r="1746" s="135" customFormat="1" ht="12.75"/>
    <row r="1747" s="135" customFormat="1" ht="12.75"/>
    <row r="1748" s="135" customFormat="1" ht="12.75"/>
    <row r="1749" s="135" customFormat="1" ht="12.75"/>
    <row r="1750" s="135" customFormat="1" ht="12.75"/>
    <row r="1751" s="135" customFormat="1" ht="12.75"/>
    <row r="1752" s="135" customFormat="1" ht="12.75"/>
    <row r="1753" s="135" customFormat="1" ht="12.75"/>
    <row r="1754" s="135" customFormat="1" ht="12.75"/>
    <row r="1755" s="135" customFormat="1" ht="12.75"/>
    <row r="1756" s="135" customFormat="1" ht="12.75"/>
    <row r="1757" s="135" customFormat="1" ht="12.75"/>
    <row r="1758" s="135" customFormat="1" ht="12.75"/>
    <row r="1759" s="135" customFormat="1" ht="12.75"/>
    <row r="1760" s="135" customFormat="1" ht="12.75"/>
    <row r="1761" s="135" customFormat="1" ht="12.75"/>
    <row r="1762" s="135" customFormat="1" ht="12.75"/>
    <row r="1763" s="135" customFormat="1" ht="12.75"/>
    <row r="1764" s="135" customFormat="1" ht="12.75"/>
    <row r="1765" s="135" customFormat="1" ht="12.75"/>
    <row r="1766" s="135" customFormat="1" ht="12.75"/>
    <row r="1767" s="135" customFormat="1" ht="12.75"/>
    <row r="1768" s="135" customFormat="1" ht="12.75"/>
    <row r="1769" s="135" customFormat="1" ht="12.75"/>
    <row r="1770" s="135" customFormat="1" ht="12.75"/>
    <row r="1771" s="135" customFormat="1" ht="12.75"/>
    <row r="1772" s="135" customFormat="1" ht="12.75"/>
    <row r="1773" s="135" customFormat="1" ht="12.75"/>
    <row r="1774" s="135" customFormat="1" ht="12.75"/>
    <row r="1775" s="135" customFormat="1" ht="12.75"/>
    <row r="1776" s="135" customFormat="1" ht="12.75"/>
    <row r="1777" s="135" customFormat="1" ht="12.75"/>
    <row r="1778" s="135" customFormat="1" ht="12.75"/>
    <row r="1779" s="135" customFormat="1" ht="12.75"/>
    <row r="1780" s="135" customFormat="1" ht="12.75"/>
    <row r="1781" s="135" customFormat="1" ht="12.75"/>
    <row r="1782" s="135" customFormat="1" ht="12.75"/>
    <row r="1783" s="135" customFormat="1" ht="12.75"/>
    <row r="1784" s="135" customFormat="1" ht="12.75"/>
    <row r="1785" s="135" customFormat="1" ht="12.75"/>
    <row r="1786" s="135" customFormat="1" ht="12.75"/>
    <row r="1787" s="135" customFormat="1" ht="12.75"/>
    <row r="1788" s="135" customFormat="1" ht="12.75"/>
    <row r="1789" s="135" customFormat="1" ht="12.75"/>
    <row r="1790" s="135" customFormat="1" ht="12.75"/>
    <row r="1791" s="135" customFormat="1" ht="12.75"/>
    <row r="1792" s="135" customFormat="1" ht="12.75"/>
    <row r="1793" s="135" customFormat="1" ht="12.75"/>
    <row r="1794" s="135" customFormat="1" ht="12.75"/>
    <row r="1795" s="135" customFormat="1" ht="12.75"/>
    <row r="1796" s="135" customFormat="1" ht="12.75"/>
    <row r="1797" s="135" customFormat="1" ht="12.75"/>
    <row r="1798" s="135" customFormat="1" ht="12.75"/>
    <row r="1799" s="135" customFormat="1" ht="12.75"/>
    <row r="1800" s="135" customFormat="1" ht="12.75"/>
    <row r="1801" s="135" customFormat="1" ht="12.75"/>
    <row r="1802" s="135" customFormat="1" ht="12.75"/>
    <row r="1803" s="135" customFormat="1" ht="12.75"/>
    <row r="1804" s="135" customFormat="1" ht="12.75"/>
    <row r="1805" s="135" customFormat="1" ht="12.75"/>
    <row r="1806" s="135" customFormat="1" ht="12.75"/>
    <row r="1807" s="135" customFormat="1" ht="12.75"/>
    <row r="1808" s="135" customFormat="1" ht="12.75"/>
    <row r="1809" s="135" customFormat="1" ht="12.75"/>
    <row r="1810" s="135" customFormat="1" ht="12.75"/>
    <row r="1811" s="135" customFormat="1" ht="12.75"/>
    <row r="1812" s="135" customFormat="1" ht="12.75"/>
    <row r="1813" s="135" customFormat="1" ht="12.75"/>
    <row r="1814" s="135" customFormat="1" ht="12.75"/>
    <row r="1815" s="135" customFormat="1" ht="12.75"/>
    <row r="1816" s="135" customFormat="1" ht="12.75"/>
    <row r="1817" s="135" customFormat="1" ht="12.75"/>
    <row r="1818" s="135" customFormat="1" ht="12.75"/>
    <row r="1819" s="135" customFormat="1" ht="12.75"/>
    <row r="1820" s="135" customFormat="1" ht="12.75"/>
    <row r="1821" s="135" customFormat="1" ht="12.75"/>
    <row r="1822" s="135" customFormat="1" ht="12.75"/>
    <row r="1823" s="135" customFormat="1" ht="12.75"/>
    <row r="1824" s="135" customFormat="1" ht="12.75"/>
    <row r="1825" s="135" customFormat="1" ht="12.75"/>
    <row r="1826" s="135" customFormat="1" ht="12.75"/>
    <row r="1827" s="135" customFormat="1" ht="12.75"/>
    <row r="1828" s="135" customFormat="1" ht="12.75"/>
    <row r="1829" s="135" customFormat="1" ht="12.75"/>
    <row r="1830" s="135" customFormat="1" ht="12.75"/>
    <row r="1831" s="135" customFormat="1" ht="12.75"/>
    <row r="1832" s="135" customFormat="1" ht="12.75"/>
    <row r="1833" s="135" customFormat="1" ht="12.75"/>
    <row r="1834" s="135" customFormat="1" ht="12.75"/>
    <row r="1835" s="135" customFormat="1" ht="12.75"/>
    <row r="1836" s="135" customFormat="1" ht="12.75"/>
    <row r="1837" s="135" customFormat="1" ht="12.75"/>
    <row r="1838" s="135" customFormat="1" ht="12.75"/>
    <row r="1839" s="135" customFormat="1" ht="12.75"/>
    <row r="1840" s="135" customFormat="1" ht="12.75"/>
    <row r="1841" s="135" customFormat="1" ht="12.75"/>
    <row r="1842" s="135" customFormat="1" ht="12.75"/>
    <row r="1843" s="135" customFormat="1" ht="12.75"/>
    <row r="1844" s="135" customFormat="1" ht="12.75"/>
    <row r="1845" s="135" customFormat="1" ht="12.75"/>
    <row r="1846" s="135" customFormat="1" ht="12.75"/>
    <row r="1847" s="135" customFormat="1" ht="12.75"/>
    <row r="1848" s="135" customFormat="1" ht="12.75"/>
    <row r="1849" s="135" customFormat="1" ht="12.75"/>
    <row r="1850" s="135" customFormat="1" ht="12.75"/>
    <row r="1851" s="135" customFormat="1" ht="12.75"/>
    <row r="1852" s="135" customFormat="1" ht="12.75"/>
    <row r="1853" s="135" customFormat="1" ht="12.75"/>
    <row r="1854" s="135" customFormat="1" ht="12.75"/>
    <row r="1855" s="135" customFormat="1" ht="12.75"/>
    <row r="1856" s="135" customFormat="1" ht="12.75"/>
    <row r="1857" s="135" customFormat="1" ht="12.75"/>
    <row r="1858" s="135" customFormat="1" ht="12.75"/>
    <row r="1859" s="135" customFormat="1" ht="12.75"/>
    <row r="1860" s="135" customFormat="1" ht="12.75"/>
    <row r="1861" s="135" customFormat="1" ht="12.75"/>
    <row r="1862" s="135" customFormat="1" ht="12.75"/>
    <row r="1863" s="135" customFormat="1" ht="12.75"/>
    <row r="1864" s="135" customFormat="1" ht="12.75"/>
    <row r="1865" s="135" customFormat="1" ht="12.75"/>
    <row r="1866" s="135" customFormat="1" ht="12.75"/>
    <row r="1867" s="135" customFormat="1" ht="12.75"/>
    <row r="1868" s="135" customFormat="1" ht="12.75"/>
    <row r="1869" s="135" customFormat="1" ht="12.75"/>
    <row r="1870" s="135" customFormat="1" ht="12.75"/>
    <row r="1871" s="135" customFormat="1" ht="12.75"/>
    <row r="1872" s="135" customFormat="1" ht="12.75"/>
    <row r="1873" s="135" customFormat="1" ht="12.75"/>
    <row r="1874" s="135" customFormat="1" ht="12.75"/>
    <row r="1875" s="135" customFormat="1" ht="12.75"/>
    <row r="1876" s="135" customFormat="1" ht="12.75"/>
    <row r="1877" s="135" customFormat="1" ht="12.75"/>
    <row r="1878" s="135" customFormat="1" ht="12.75"/>
    <row r="1879" s="135" customFormat="1" ht="12.75"/>
    <row r="1880" s="135" customFormat="1" ht="12.75"/>
    <row r="1881" s="135" customFormat="1" ht="12.75"/>
    <row r="1882" s="135" customFormat="1" ht="12.75"/>
    <row r="1883" s="135" customFormat="1" ht="12.75"/>
    <row r="1884" s="135" customFormat="1" ht="12.75"/>
    <row r="1885" s="135" customFormat="1" ht="12.75"/>
    <row r="1886" s="135" customFormat="1" ht="12.75"/>
    <row r="1887" s="135" customFormat="1" ht="12.75"/>
    <row r="1888" s="135" customFormat="1" ht="12.75"/>
    <row r="1889" s="135" customFormat="1" ht="12.75"/>
    <row r="1890" s="135" customFormat="1" ht="12.75"/>
    <row r="1891" s="135" customFormat="1" ht="12.75"/>
    <row r="1892" s="135" customFormat="1" ht="12.75"/>
    <row r="1893" s="135" customFormat="1" ht="12.75"/>
    <row r="1894" s="135" customFormat="1" ht="12.75"/>
    <row r="1895" s="135" customFormat="1" ht="12.75"/>
    <row r="1896" s="135" customFormat="1" ht="12.75"/>
    <row r="1897" s="135" customFormat="1" ht="12.75"/>
    <row r="1898" s="135" customFormat="1" ht="12.75"/>
    <row r="1899" s="135" customFormat="1" ht="12.75"/>
    <row r="1900" s="135" customFormat="1" ht="12.75"/>
    <row r="1901" s="135" customFormat="1" ht="12.75"/>
    <row r="1902" s="135" customFormat="1" ht="12.75"/>
    <row r="1903" s="135" customFormat="1" ht="12.75"/>
    <row r="1904" s="135" customFormat="1" ht="12.75"/>
    <row r="1905" s="135" customFormat="1" ht="12.75"/>
    <row r="1906" s="135" customFormat="1" ht="12.75"/>
    <row r="1907" s="135" customFormat="1" ht="12.75"/>
    <row r="1908" s="135" customFormat="1" ht="12.75"/>
    <row r="1909" s="135" customFormat="1" ht="12.75"/>
    <row r="1910" s="135" customFormat="1" ht="12.75"/>
    <row r="1911" s="135" customFormat="1" ht="12.75"/>
    <row r="1912" s="135" customFormat="1" ht="12.75"/>
    <row r="1913" s="135" customFormat="1" ht="12.75"/>
    <row r="1914" s="135" customFormat="1" ht="12.75"/>
    <row r="1915" s="135" customFormat="1" ht="12.75"/>
    <row r="1916" s="135" customFormat="1" ht="12.75"/>
    <row r="1917" s="135" customFormat="1" ht="12.75"/>
    <row r="1918" s="135" customFormat="1" ht="12.75"/>
    <row r="1919" s="135" customFormat="1" ht="12.75"/>
    <row r="1920" s="135" customFormat="1" ht="12.75"/>
    <row r="1921" s="135" customFormat="1" ht="12.75"/>
    <row r="1922" s="135" customFormat="1" ht="12.75"/>
    <row r="1923" s="135" customFormat="1" ht="12.75"/>
    <row r="1924" s="135" customFormat="1" ht="12.75"/>
    <row r="1925" s="135" customFormat="1" ht="12.75"/>
    <row r="1926" s="135" customFormat="1" ht="12.75"/>
    <row r="1927" s="135" customFormat="1" ht="12.75"/>
    <row r="1928" s="135" customFormat="1" ht="12.75"/>
    <row r="1929" s="135" customFormat="1" ht="12.75"/>
    <row r="1930" s="135" customFormat="1" ht="12.75"/>
    <row r="1931" s="135" customFormat="1" ht="12.75"/>
    <row r="1932" s="135" customFormat="1" ht="12.75"/>
    <row r="1933" s="135" customFormat="1" ht="12.75"/>
    <row r="1934" s="135" customFormat="1" ht="12.75"/>
    <row r="1935" s="135" customFormat="1" ht="12.75"/>
    <row r="1936" s="135" customFormat="1" ht="12.75"/>
    <row r="1937" s="135" customFormat="1" ht="12.75"/>
    <row r="1938" s="135" customFormat="1" ht="12.75"/>
    <row r="1939" s="135" customFormat="1" ht="12.75"/>
    <row r="1940" s="135" customFormat="1" ht="12.75"/>
    <row r="1941" s="135" customFormat="1" ht="12.75"/>
    <row r="1942" s="135" customFormat="1" ht="12.75"/>
    <row r="1943" s="135" customFormat="1" ht="12.75"/>
    <row r="1944" s="135" customFormat="1" ht="12.75"/>
    <row r="1945" s="135" customFormat="1" ht="12.75"/>
    <row r="1946" s="135" customFormat="1" ht="12.75"/>
    <row r="1947" s="135" customFormat="1" ht="12.75"/>
    <row r="1948" s="135" customFormat="1" ht="12.75"/>
    <row r="1949" s="135" customFormat="1" ht="12.75"/>
    <row r="1950" s="135" customFormat="1" ht="12.75"/>
    <row r="1951" s="135" customFormat="1" ht="12.75"/>
    <row r="1952" s="135" customFormat="1" ht="12.75"/>
    <row r="1953" s="135" customFormat="1" ht="12.75"/>
    <row r="1954" s="135" customFormat="1" ht="12.75"/>
    <row r="1955" s="135" customFormat="1" ht="12.75"/>
    <row r="1956" s="135" customFormat="1" ht="12.75"/>
    <row r="1957" s="135" customFormat="1" ht="12.75"/>
    <row r="1958" s="135" customFormat="1" ht="12.75"/>
    <row r="1959" s="135" customFormat="1" ht="12.75"/>
    <row r="1960" s="135" customFormat="1" ht="12.75"/>
    <row r="1961" s="135" customFormat="1" ht="12.75"/>
    <row r="1962" s="135" customFormat="1" ht="12.75"/>
    <row r="1963" s="135" customFormat="1" ht="12.75"/>
    <row r="1964" s="135" customFormat="1" ht="12.75"/>
    <row r="1965" s="135" customFormat="1" ht="12.75"/>
    <row r="1966" s="135" customFormat="1" ht="12.75"/>
    <row r="1967" s="135" customFormat="1" ht="12.75"/>
    <row r="1968" s="135" customFormat="1" ht="12.75"/>
    <row r="1969" s="135" customFormat="1" ht="12.75"/>
    <row r="1970" s="135" customFormat="1" ht="12.75"/>
    <row r="1971" s="135" customFormat="1" ht="12.75"/>
    <row r="1972" s="135" customFormat="1" ht="12.75"/>
    <row r="1973" s="135" customFormat="1" ht="12.75"/>
    <row r="1974" s="135" customFormat="1" ht="12.75"/>
    <row r="1975" s="135" customFormat="1" ht="12.75"/>
    <row r="1976" s="135" customFormat="1" ht="12.75"/>
    <row r="1977" s="135" customFormat="1" ht="12.75"/>
    <row r="1978" s="135" customFormat="1" ht="12.75"/>
    <row r="1979" s="135" customFormat="1" ht="12.75"/>
    <row r="1980" s="135" customFormat="1" ht="12.75"/>
    <row r="1981" s="135" customFormat="1" ht="12.75"/>
    <row r="1982" s="135" customFormat="1" ht="12.75"/>
    <row r="1983" s="135" customFormat="1" ht="12.75"/>
    <row r="1984" s="135" customFormat="1" ht="12.75"/>
    <row r="1985" s="135" customFormat="1" ht="12.75"/>
    <row r="1986" s="135" customFormat="1" ht="12.75"/>
    <row r="1987" s="135" customFormat="1" ht="12.75"/>
    <row r="1988" s="135" customFormat="1" ht="12.75"/>
    <row r="1989" s="135" customFormat="1" ht="12.75"/>
    <row r="1990" s="135" customFormat="1" ht="12.75"/>
    <row r="1991" s="135" customFormat="1" ht="12.75"/>
    <row r="1992" s="135" customFormat="1" ht="12.75"/>
    <row r="1993" s="135" customFormat="1" ht="12.75"/>
    <row r="1994" s="135" customFormat="1" ht="12.75"/>
    <row r="1995" s="135" customFormat="1" ht="12.75"/>
    <row r="1996" s="135" customFormat="1" ht="12.75"/>
    <row r="1997" s="135" customFormat="1" ht="12.75"/>
    <row r="1998" s="135" customFormat="1" ht="12.75"/>
    <row r="1999" s="135" customFormat="1" ht="12.75"/>
    <row r="2000" s="135" customFormat="1" ht="12.75"/>
    <row r="2001" s="135" customFormat="1" ht="12.75"/>
    <row r="2002" s="135" customFormat="1" ht="12.75"/>
    <row r="2003" s="135" customFormat="1" ht="12.75"/>
    <row r="2004" s="135" customFormat="1" ht="12.75"/>
    <row r="2005" s="135" customFormat="1" ht="12.75"/>
    <row r="2006" s="135" customFormat="1" ht="12.75"/>
    <row r="2007" s="135" customFormat="1" ht="12.75"/>
    <row r="2008" s="135" customFormat="1" ht="12.75"/>
    <row r="2009" s="135" customFormat="1" ht="12.75"/>
    <row r="2010" s="135" customFormat="1" ht="12.75"/>
    <row r="2011" s="135" customFormat="1" ht="12.75"/>
    <row r="2012" s="135" customFormat="1" ht="12.75"/>
    <row r="2013" s="135" customFormat="1" ht="12.75"/>
    <row r="2014" s="135" customFormat="1" ht="12.75"/>
    <row r="2015" s="135" customFormat="1" ht="12.75"/>
    <row r="2016" s="135" customFormat="1" ht="12.75"/>
    <row r="2017" s="135" customFormat="1" ht="12.75"/>
    <row r="2018" s="135" customFormat="1" ht="12.75"/>
    <row r="2019" s="135" customFormat="1" ht="12.75"/>
    <row r="2020" s="135" customFormat="1" ht="12.75"/>
    <row r="2021" s="135" customFormat="1" ht="12.75"/>
    <row r="2022" s="135" customFormat="1" ht="12.75"/>
    <row r="2023" s="135" customFormat="1" ht="12.75"/>
    <row r="2024" s="135" customFormat="1" ht="12.75"/>
    <row r="2025" s="135" customFormat="1" ht="12.75"/>
    <row r="2026" s="135" customFormat="1" ht="12.75"/>
    <row r="2027" s="135" customFormat="1" ht="12.75"/>
    <row r="2028" s="135" customFormat="1" ht="12.75"/>
    <row r="2029" s="135" customFormat="1" ht="12.75"/>
    <row r="2030" s="135" customFormat="1" ht="12.75"/>
    <row r="2031" s="135" customFormat="1" ht="12.75"/>
    <row r="2032" s="135" customFormat="1" ht="12.75"/>
    <row r="2033" s="135" customFormat="1" ht="12.75"/>
    <row r="2034" s="135" customFormat="1" ht="12.75"/>
    <row r="2035" s="135" customFormat="1" ht="12.75"/>
    <row r="2036" s="135" customFormat="1" ht="12.75"/>
    <row r="2037" s="135" customFormat="1" ht="12.75"/>
    <row r="2038" s="135" customFormat="1" ht="12.75"/>
    <row r="2039" s="135" customFormat="1" ht="12.75"/>
    <row r="2040" s="135" customFormat="1" ht="12.75"/>
    <row r="2041" s="135" customFormat="1" ht="12.75"/>
    <row r="2042" s="135" customFormat="1" ht="12.75"/>
    <row r="2043" s="135" customFormat="1" ht="12.75"/>
    <row r="2044" s="135" customFormat="1" ht="12.75"/>
    <row r="2045" s="135" customFormat="1" ht="12.75"/>
    <row r="2046" s="135" customFormat="1" ht="12.75"/>
    <row r="2047" s="135" customFormat="1" ht="12.75"/>
    <row r="2048" s="135" customFormat="1" ht="12.75"/>
    <row r="2049" s="135" customFormat="1" ht="12.75"/>
    <row r="2050" s="135" customFormat="1" ht="12.75"/>
    <row r="2051" s="135" customFormat="1" ht="12.75"/>
    <row r="2052" s="135" customFormat="1" ht="12.75"/>
    <row r="2053" s="135" customFormat="1" ht="12.75"/>
    <row r="2054" s="135" customFormat="1" ht="12.75"/>
    <row r="2055" s="135" customFormat="1" ht="12.75"/>
    <row r="2056" s="135" customFormat="1" ht="12.75"/>
    <row r="2057" s="135" customFormat="1" ht="12.75"/>
    <row r="2058" s="135" customFormat="1" ht="12.75"/>
    <row r="2059" s="135" customFormat="1" ht="12.75"/>
    <row r="2060" s="135" customFormat="1" ht="12.75"/>
    <row r="2061" s="135" customFormat="1" ht="12.75"/>
    <row r="2062" s="135" customFormat="1" ht="12.75"/>
    <row r="2063" s="135" customFormat="1" ht="12.75"/>
    <row r="2064" s="135" customFormat="1" ht="12.75"/>
    <row r="2065" s="135" customFormat="1" ht="12.75"/>
    <row r="2066" s="135" customFormat="1" ht="12.75"/>
    <row r="2067" s="135" customFormat="1" ht="12.75"/>
    <row r="2068" s="135" customFormat="1" ht="12.75"/>
    <row r="2069" s="135" customFormat="1" ht="12.75"/>
    <row r="2070" s="135" customFormat="1" ht="12.75"/>
    <row r="2071" s="135" customFormat="1" ht="12.75"/>
    <row r="2072" s="135" customFormat="1" ht="12.75"/>
    <row r="2073" s="135" customFormat="1" ht="12.75"/>
    <row r="2074" s="135" customFormat="1" ht="12.75"/>
    <row r="2075" s="135" customFormat="1" ht="12.75"/>
    <row r="2076" s="135" customFormat="1" ht="12.75"/>
    <row r="2077" s="135" customFormat="1" ht="12.75"/>
    <row r="2078" s="135" customFormat="1" ht="12.75"/>
    <row r="2079" s="135" customFormat="1" ht="12.75"/>
    <row r="2080" s="135" customFormat="1" ht="12.75"/>
    <row r="2081" s="135" customFormat="1" ht="12.75"/>
    <row r="2082" s="135" customFormat="1" ht="12.75"/>
    <row r="2083" s="135" customFormat="1" ht="12.75"/>
    <row r="2084" s="135" customFormat="1" ht="12.75"/>
    <row r="2085" s="135" customFormat="1" ht="12.75"/>
    <row r="2086" s="135" customFormat="1" ht="12.75"/>
    <row r="2087" s="135" customFormat="1" ht="12.75"/>
    <row r="2088" s="135" customFormat="1" ht="12.75"/>
    <row r="2089" s="135" customFormat="1" ht="12.75"/>
    <row r="2090" s="135" customFormat="1" ht="12.75"/>
    <row r="2091" s="135" customFormat="1" ht="12.75"/>
    <row r="2092" s="135" customFormat="1" ht="12.75"/>
    <row r="2093" s="135" customFormat="1" ht="12.75"/>
    <row r="2094" s="135" customFormat="1" ht="12.75"/>
    <row r="2095" s="135" customFormat="1" ht="12.75"/>
    <row r="2096" s="135" customFormat="1" ht="12.75"/>
    <row r="2097" s="135" customFormat="1" ht="12.75"/>
    <row r="2098" s="135" customFormat="1" ht="12.75"/>
    <row r="2099" s="135" customFormat="1" ht="12.75"/>
    <row r="2100" s="135" customFormat="1" ht="12.75"/>
    <row r="2101" s="135" customFormat="1" ht="12.75"/>
    <row r="2102" s="135" customFormat="1" ht="12.75"/>
    <row r="2103" s="135" customFormat="1" ht="12.75"/>
    <row r="2104" s="135" customFormat="1" ht="12.75"/>
    <row r="2105" s="135" customFormat="1" ht="12.75"/>
    <row r="2106" s="135" customFormat="1" ht="12.75"/>
    <row r="2107" s="135" customFormat="1" ht="12.75"/>
    <row r="2108" s="135" customFormat="1" ht="12.75"/>
    <row r="2109" s="135" customFormat="1" ht="12.75"/>
    <row r="2110" s="135" customFormat="1" ht="12.75"/>
    <row r="2111" s="135" customFormat="1" ht="12.75"/>
    <row r="2112" s="135" customFormat="1" ht="12.75"/>
    <row r="2113" s="135" customFormat="1" ht="12.75"/>
    <row r="2114" s="135" customFormat="1" ht="12.75"/>
    <row r="2115" s="135" customFormat="1" ht="12.75"/>
    <row r="2116" s="135" customFormat="1" ht="12.75"/>
    <row r="2117" s="135" customFormat="1" ht="12.75"/>
    <row r="2118" s="135" customFormat="1" ht="12.75"/>
    <row r="2119" s="135" customFormat="1" ht="12.75"/>
    <row r="2120" s="135" customFormat="1" ht="12.75"/>
    <row r="2121" s="135" customFormat="1" ht="12.75"/>
    <row r="2122" s="135" customFormat="1" ht="12.75"/>
    <row r="2123" s="135" customFormat="1" ht="12.75"/>
    <row r="2124" s="135" customFormat="1" ht="12.75"/>
    <row r="2125" s="135" customFormat="1" ht="12.75"/>
    <row r="2126" s="135" customFormat="1" ht="12.75"/>
    <row r="2127" s="135" customFormat="1" ht="12.75"/>
    <row r="2128" s="135" customFormat="1" ht="12.75"/>
    <row r="2129" s="135" customFormat="1" ht="12.75"/>
    <row r="2130" s="135" customFormat="1" ht="12.75"/>
    <row r="2131" s="135" customFormat="1" ht="12.75"/>
    <row r="2132" s="135" customFormat="1" ht="12.75"/>
    <row r="2133" s="135" customFormat="1" ht="12.75"/>
    <row r="2134" s="135" customFormat="1" ht="12.75"/>
    <row r="2135" s="135" customFormat="1" ht="12.75"/>
    <row r="2136" s="135" customFormat="1" ht="12.75"/>
    <row r="2137" s="135" customFormat="1" ht="12.75"/>
    <row r="2138" s="135" customFormat="1" ht="12.75"/>
    <row r="2139" s="135" customFormat="1" ht="12.75"/>
    <row r="2140" s="135" customFormat="1" ht="12.75"/>
    <row r="2141" s="135" customFormat="1" ht="12.75"/>
    <row r="2142" s="135" customFormat="1" ht="12.75"/>
    <row r="2143" s="135" customFormat="1" ht="12.75"/>
    <row r="2144" s="135" customFormat="1" ht="12.75"/>
    <row r="2145" s="135" customFormat="1" ht="12.75"/>
    <row r="2146" s="135" customFormat="1" ht="12.75"/>
    <row r="2147" s="135" customFormat="1" ht="12.75"/>
    <row r="2148" s="135" customFormat="1" ht="12.75"/>
    <row r="2149" s="135" customFormat="1" ht="12.75"/>
    <row r="2150" s="135" customFormat="1" ht="12.75"/>
    <row r="2151" s="135" customFormat="1" ht="12.75"/>
    <row r="2152" s="135" customFormat="1" ht="12.75"/>
    <row r="2153" s="135" customFormat="1" ht="12.75"/>
    <row r="2154" s="135" customFormat="1" ht="12.75"/>
    <row r="2155" s="135" customFormat="1" ht="12.75"/>
    <row r="2156" s="135" customFormat="1" ht="12.75"/>
    <row r="2157" s="135" customFormat="1" ht="12.75"/>
    <row r="2158" s="135" customFormat="1" ht="12.75"/>
    <row r="2159" s="135" customFormat="1" ht="12.75"/>
    <row r="2160" s="135" customFormat="1" ht="12.75"/>
    <row r="2161" s="135" customFormat="1" ht="12.75"/>
    <row r="2162" s="135" customFormat="1" ht="12.75"/>
    <row r="2163" s="135" customFormat="1" ht="12.75"/>
    <row r="2164" s="135" customFormat="1" ht="12.75"/>
    <row r="2165" s="135" customFormat="1" ht="12.75"/>
    <row r="2166" s="135" customFormat="1" ht="12.75"/>
    <row r="2167" s="135" customFormat="1" ht="12.75"/>
    <row r="2168" s="135" customFormat="1" ht="12.75"/>
    <row r="2169" s="135" customFormat="1" ht="12.75"/>
    <row r="2170" s="135" customFormat="1" ht="12.75"/>
    <row r="2171" s="135" customFormat="1" ht="12.75"/>
    <row r="2172" s="135" customFormat="1" ht="12.75"/>
    <row r="2173" s="135" customFormat="1" ht="12.75"/>
    <row r="2174" s="135" customFormat="1" ht="12.75"/>
    <row r="2175" s="135" customFormat="1" ht="12.75"/>
    <row r="2176" s="135" customFormat="1" ht="12.75"/>
    <row r="2177" s="135" customFormat="1" ht="12.75"/>
    <row r="2178" s="135" customFormat="1" ht="12.75"/>
    <row r="2179" s="135" customFormat="1" ht="12.75"/>
    <row r="2180" s="135" customFormat="1" ht="12.75"/>
    <row r="2181" s="135" customFormat="1" ht="12.75"/>
    <row r="2182" s="135" customFormat="1" ht="12.75"/>
    <row r="2183" s="135" customFormat="1" ht="12.75"/>
    <row r="2184" s="135" customFormat="1" ht="12.75"/>
    <row r="2185" s="135" customFormat="1" ht="12.75"/>
    <row r="2186" s="135" customFormat="1" ht="12.75"/>
    <row r="2187" s="135" customFormat="1" ht="12.75"/>
    <row r="2188" s="135" customFormat="1" ht="12.75"/>
    <row r="2189" s="135" customFormat="1" ht="12.75"/>
    <row r="2190" s="135" customFormat="1" ht="12.75"/>
    <row r="2191" s="135" customFormat="1" ht="12.75"/>
    <row r="2192" s="135" customFormat="1" ht="12.75"/>
    <row r="2193" s="135" customFormat="1" ht="12.75"/>
    <row r="2194" s="135" customFormat="1" ht="12.75"/>
    <row r="2195" s="135" customFormat="1" ht="12.75"/>
    <row r="2196" s="135" customFormat="1" ht="12.75"/>
    <row r="2197" s="135" customFormat="1" ht="12.75"/>
    <row r="2198" s="135" customFormat="1" ht="12.75"/>
    <row r="2199" s="135" customFormat="1" ht="12.75"/>
    <row r="2200" s="135" customFormat="1" ht="12.75"/>
    <row r="2201" s="135" customFormat="1" ht="12.75"/>
    <row r="2202" s="135" customFormat="1" ht="12.75"/>
    <row r="2203" s="135" customFormat="1" ht="12.75"/>
    <row r="2204" s="135" customFormat="1" ht="12.75"/>
    <row r="2205" s="135" customFormat="1" ht="12.75"/>
    <row r="2206" s="135" customFormat="1" ht="12.75"/>
    <row r="2207" s="135" customFormat="1" ht="12.75"/>
    <row r="2208" s="135" customFormat="1" ht="12.75"/>
    <row r="2209" s="135" customFormat="1" ht="12.75"/>
    <row r="2210" s="135" customFormat="1" ht="12.75"/>
    <row r="2211" s="135" customFormat="1" ht="12.75"/>
    <row r="2212" s="135" customFormat="1" ht="12.75"/>
    <row r="2213" s="135" customFormat="1" ht="12.75"/>
    <row r="2214" s="135" customFormat="1" ht="12.75"/>
    <row r="2215" s="135" customFormat="1" ht="12.75"/>
    <row r="2216" s="135" customFormat="1" ht="12.75"/>
    <row r="2217" s="135" customFormat="1" ht="12.75"/>
    <row r="2218" s="135" customFormat="1" ht="12.75"/>
    <row r="2219" s="135" customFormat="1" ht="12.75"/>
    <row r="2220" s="135" customFormat="1" ht="12.75"/>
    <row r="2221" s="135" customFormat="1" ht="12.75"/>
    <row r="2222" s="135" customFormat="1" ht="12.75"/>
    <row r="2223" s="135" customFormat="1" ht="12.75"/>
    <row r="2224" s="135" customFormat="1" ht="12.75"/>
    <row r="2225" s="135" customFormat="1" ht="12.75"/>
    <row r="2226" s="135" customFormat="1" ht="12.75"/>
    <row r="2227" s="135" customFormat="1" ht="12.75"/>
    <row r="2228" s="135" customFormat="1" ht="12.75"/>
    <row r="2229" s="135" customFormat="1" ht="12.75"/>
    <row r="2230" s="135" customFormat="1" ht="12.75"/>
    <row r="2231" s="135" customFormat="1" ht="12.75"/>
    <row r="2232" s="135" customFormat="1" ht="12.75"/>
    <row r="2233" s="135" customFormat="1" ht="12.75"/>
    <row r="2234" s="135" customFormat="1" ht="12.75"/>
    <row r="2235" s="135" customFormat="1" ht="12.75"/>
    <row r="2236" s="135" customFormat="1" ht="12.75"/>
    <row r="2237" s="135" customFormat="1" ht="12.75"/>
    <row r="2238" s="135" customFormat="1" ht="12.75"/>
    <row r="2239" s="135" customFormat="1" ht="12.75"/>
    <row r="2240" s="135" customFormat="1" ht="12.75"/>
    <row r="2241" s="135" customFormat="1" ht="12.75"/>
    <row r="2242" s="135" customFormat="1" ht="12.75"/>
    <row r="2243" s="135" customFormat="1" ht="12.75"/>
    <row r="2244" s="135" customFormat="1" ht="12.75"/>
    <row r="2245" s="135" customFormat="1" ht="12.75"/>
    <row r="2246" s="135" customFormat="1" ht="12.75"/>
    <row r="2247" s="135" customFormat="1" ht="12.75"/>
    <row r="2248" s="135" customFormat="1" ht="12.75"/>
    <row r="2249" s="135" customFormat="1" ht="12.75"/>
    <row r="2250" s="135" customFormat="1" ht="12.75"/>
    <row r="2251" s="135" customFormat="1" ht="12.75"/>
    <row r="2252" s="135" customFormat="1" ht="12.75"/>
    <row r="2253" s="135" customFormat="1" ht="12.75"/>
    <row r="2254" s="135" customFormat="1" ht="12.75"/>
    <row r="2255" s="135" customFormat="1" ht="12.75"/>
    <row r="2256" s="135" customFormat="1" ht="12.75"/>
    <row r="2257" s="135" customFormat="1" ht="12.75"/>
    <row r="2258" s="135" customFormat="1" ht="12.75"/>
    <row r="2259" s="135" customFormat="1" ht="12.75"/>
    <row r="2260" s="135" customFormat="1" ht="12.75"/>
    <row r="2261" s="135" customFormat="1" ht="12.75"/>
    <row r="2262" s="135" customFormat="1" ht="12.75"/>
    <row r="2263" s="135" customFormat="1" ht="12.75"/>
    <row r="2264" s="135" customFormat="1" ht="12.75"/>
    <row r="2265" s="135" customFormat="1" ht="12.75"/>
    <row r="2266" s="135" customFormat="1" ht="12.75"/>
    <row r="2267" s="135" customFormat="1" ht="12.75"/>
    <row r="2268" s="135" customFormat="1" ht="12.75"/>
    <row r="2269" s="135" customFormat="1" ht="12.75"/>
    <row r="2270" s="135" customFormat="1" ht="12.75"/>
    <row r="2271" s="135" customFormat="1" ht="12.75"/>
    <row r="2272" s="135" customFormat="1" ht="12.75"/>
    <row r="2273" s="135" customFormat="1" ht="12.75"/>
    <row r="2274" s="135" customFormat="1" ht="12.75"/>
    <row r="2275" s="135" customFormat="1" ht="12.75"/>
    <row r="2276" s="135" customFormat="1" ht="12.75"/>
    <row r="2277" s="135" customFormat="1" ht="12.75"/>
    <row r="2278" s="135" customFormat="1" ht="12.75"/>
    <row r="2279" s="135" customFormat="1" ht="12.75"/>
    <row r="2280" s="135" customFormat="1" ht="12.75"/>
    <row r="2281" s="135" customFormat="1" ht="12.75"/>
    <row r="2282" s="135" customFormat="1" ht="12.75"/>
    <row r="2283" s="135" customFormat="1" ht="12.75"/>
    <row r="2284" s="135" customFormat="1" ht="12.75"/>
    <row r="2285" s="135" customFormat="1" ht="12.75"/>
    <row r="2286" s="135" customFormat="1" ht="12.75"/>
    <row r="2287" s="135" customFormat="1" ht="12.75"/>
    <row r="2288" s="135" customFormat="1" ht="12.75"/>
    <row r="2289" s="135" customFormat="1" ht="12.75"/>
    <row r="2290" s="135" customFormat="1" ht="12.75"/>
    <row r="2291" s="135" customFormat="1" ht="12.75"/>
    <row r="2292" s="135" customFormat="1" ht="12.75"/>
    <row r="2293" s="135" customFormat="1" ht="12.75"/>
    <row r="2294" s="135" customFormat="1" ht="12.75"/>
    <row r="2295" s="135" customFormat="1" ht="12.75"/>
    <row r="2296" s="135" customFormat="1" ht="12.75"/>
    <row r="2297" s="135" customFormat="1" ht="12.75"/>
    <row r="2298" s="135" customFormat="1" ht="12.75"/>
    <row r="2299" s="135" customFormat="1" ht="12.75"/>
    <row r="2300" s="135" customFormat="1" ht="12.75"/>
    <row r="2301" s="135" customFormat="1" ht="12.75"/>
    <row r="2302" s="135" customFormat="1" ht="12.75"/>
    <row r="2303" s="135" customFormat="1" ht="12.75"/>
    <row r="2304" s="135" customFormat="1" ht="12.75"/>
    <row r="2305" s="135" customFormat="1" ht="12.75"/>
    <row r="2306" s="135" customFormat="1" ht="12.75"/>
    <row r="2307" s="135" customFormat="1" ht="12.75"/>
    <row r="2308" s="135" customFormat="1" ht="12.75"/>
    <row r="2309" s="135" customFormat="1" ht="12.75"/>
    <row r="2310" s="135" customFormat="1" ht="12.75"/>
    <row r="2311" s="135" customFormat="1" ht="12.75"/>
    <row r="2312" s="135" customFormat="1" ht="12.75"/>
    <row r="2313" s="135" customFormat="1" ht="12.75"/>
    <row r="2314" s="135" customFormat="1" ht="12.75"/>
    <row r="2315" s="135" customFormat="1" ht="12.75"/>
    <row r="2316" s="135" customFormat="1" ht="12.75"/>
    <row r="2317" s="135" customFormat="1" ht="12.75"/>
    <row r="2318" s="135" customFormat="1" ht="12.75"/>
    <row r="2319" s="135" customFormat="1" ht="12.75"/>
    <row r="2320" s="135" customFormat="1" ht="12.75"/>
    <row r="2321" s="135" customFormat="1" ht="12.75"/>
    <row r="2322" s="135" customFormat="1" ht="12.75"/>
    <row r="2323" s="135" customFormat="1" ht="12.75"/>
    <row r="2324" s="135" customFormat="1" ht="12.75"/>
    <row r="2325" s="135" customFormat="1" ht="12.75"/>
    <row r="2326" s="135" customFormat="1" ht="12.75"/>
    <row r="2327" s="135" customFormat="1" ht="12.75"/>
    <row r="2328" s="135" customFormat="1" ht="12.75"/>
    <row r="2329" s="135" customFormat="1" ht="12.75"/>
    <row r="2330" s="135" customFormat="1" ht="12.75"/>
    <row r="2331" s="135" customFormat="1" ht="12.75"/>
    <row r="2332" s="135" customFormat="1" ht="12.75"/>
    <row r="2333" s="135" customFormat="1" ht="12.75"/>
    <row r="2334" s="135" customFormat="1" ht="12.75"/>
    <row r="2335" s="135" customFormat="1" ht="12.75"/>
    <row r="2336" s="135" customFormat="1" ht="12.75"/>
    <row r="2337" s="135" customFormat="1" ht="12.75"/>
    <row r="2338" s="135" customFormat="1" ht="12.75"/>
    <row r="2339" s="135" customFormat="1" ht="12.75"/>
    <row r="2340" s="135" customFormat="1" ht="12.75"/>
    <row r="2341" s="135" customFormat="1" ht="12.75"/>
    <row r="2342" s="135" customFormat="1" ht="12.75"/>
    <row r="2343" s="135" customFormat="1" ht="12.75"/>
    <row r="2344" s="135" customFormat="1" ht="12.75"/>
    <row r="2345" s="135" customFormat="1" ht="12.75"/>
    <row r="2346" s="135" customFormat="1" ht="12.75"/>
    <row r="2347" s="135" customFormat="1" ht="12.75"/>
    <row r="2348" s="135" customFormat="1" ht="12.75"/>
    <row r="2349" s="135" customFormat="1" ht="12.75"/>
    <row r="2350" s="135" customFormat="1" ht="12.75"/>
    <row r="2351" s="135" customFormat="1" ht="12.75"/>
    <row r="2352" s="135" customFormat="1" ht="12.75"/>
    <row r="2353" s="135" customFormat="1" ht="12.75"/>
    <row r="2354" s="135" customFormat="1" ht="12.75"/>
    <row r="2355" s="135" customFormat="1" ht="12.75"/>
    <row r="2356" s="135" customFormat="1" ht="12.75"/>
    <row r="2357" s="135" customFormat="1" ht="12.75"/>
    <row r="2358" s="135" customFormat="1" ht="12.75"/>
    <row r="2359" s="135" customFormat="1" ht="12.75"/>
    <row r="2360" s="135" customFormat="1" ht="12.75"/>
    <row r="2361" s="135" customFormat="1" ht="12.75"/>
    <row r="2362" s="135" customFormat="1" ht="12.75"/>
    <row r="2363" s="135" customFormat="1" ht="12.75"/>
    <row r="2364" s="135" customFormat="1" ht="12.75"/>
    <row r="2365" s="135" customFormat="1" ht="12.75"/>
    <row r="2366" s="135" customFormat="1" ht="12.75"/>
    <row r="2367" s="135" customFormat="1" ht="12.75"/>
    <row r="2368" s="135" customFormat="1" ht="12.75"/>
    <row r="2369" s="135" customFormat="1" ht="12.75"/>
    <row r="2370" s="135" customFormat="1" ht="12.75"/>
    <row r="2371" s="135" customFormat="1" ht="12.75"/>
    <row r="2372" s="135" customFormat="1" ht="12.75"/>
    <row r="2373" s="135" customFormat="1" ht="12.75"/>
    <row r="2374" s="135" customFormat="1" ht="12.75"/>
    <row r="2375" s="135" customFormat="1" ht="12.75"/>
    <row r="2376" s="135" customFormat="1" ht="12.75"/>
    <row r="2377" s="135" customFormat="1" ht="12.75"/>
    <row r="2378" s="135" customFormat="1" ht="12.75"/>
    <row r="2379" s="135" customFormat="1" ht="12.75"/>
    <row r="2380" s="135" customFormat="1" ht="12.75"/>
    <row r="2381" s="135" customFormat="1" ht="12.75"/>
    <row r="2382" s="135" customFormat="1" ht="12.75"/>
    <row r="2383" s="135" customFormat="1" ht="12.75"/>
    <row r="2384" s="135" customFormat="1" ht="12.75"/>
    <row r="2385" s="135" customFormat="1" ht="12.75"/>
    <row r="2386" s="135" customFormat="1" ht="12.75"/>
    <row r="2387" s="135" customFormat="1" ht="12.75"/>
    <row r="2388" s="135" customFormat="1" ht="12.75"/>
    <row r="2389" s="135" customFormat="1" ht="12.75"/>
    <row r="2390" s="135" customFormat="1" ht="12.75"/>
    <row r="2391" s="135" customFormat="1" ht="12.75"/>
    <row r="2392" s="135" customFormat="1" ht="12.75"/>
    <row r="2393" s="135" customFormat="1" ht="12.75"/>
    <row r="2394" s="135" customFormat="1" ht="12.75"/>
    <row r="2395" s="135" customFormat="1" ht="12.75"/>
    <row r="2396" s="135" customFormat="1" ht="12.75"/>
    <row r="2397" s="135" customFormat="1" ht="12.75"/>
    <row r="2398" s="135" customFormat="1" ht="12.75"/>
    <row r="2399" s="135" customFormat="1" ht="12.75"/>
    <row r="2400" s="135" customFormat="1" ht="12.75"/>
    <row r="2401" s="135" customFormat="1" ht="12.75"/>
    <row r="2402" s="135" customFormat="1" ht="12.75"/>
    <row r="2403" s="135" customFormat="1" ht="12.75"/>
    <row r="2404" s="135" customFormat="1" ht="12.75"/>
    <row r="2405" s="135" customFormat="1" ht="12.75"/>
    <row r="2406" s="135" customFormat="1" ht="12.75"/>
    <row r="2407" s="135" customFormat="1" ht="12.75"/>
    <row r="2408" s="135" customFormat="1" ht="12.75"/>
    <row r="2409" s="135" customFormat="1" ht="12.75"/>
    <row r="2410" s="135" customFormat="1" ht="12.75"/>
    <row r="2411" s="135" customFormat="1" ht="12.75"/>
    <row r="2412" s="135" customFormat="1" ht="12.75"/>
    <row r="2413" s="135" customFormat="1" ht="12.75"/>
    <row r="2414" s="135" customFormat="1" ht="12.75"/>
    <row r="2415" s="135" customFormat="1" ht="12.75"/>
    <row r="2416" s="135" customFormat="1" ht="12.75"/>
    <row r="2417" s="135" customFormat="1" ht="12.75"/>
    <row r="2418" s="135" customFormat="1" ht="12.75"/>
    <row r="2419" s="135" customFormat="1" ht="12.75"/>
    <row r="2420" s="135" customFormat="1" ht="12.75"/>
    <row r="2421" s="135" customFormat="1" ht="12.75"/>
    <row r="2422" s="135" customFormat="1" ht="12.75"/>
    <row r="2423" s="135" customFormat="1" ht="12.75"/>
    <row r="2424" s="135" customFormat="1" ht="12.75"/>
    <row r="2425" s="135" customFormat="1" ht="12.75"/>
    <row r="2426" s="135" customFormat="1" ht="12.75"/>
    <row r="2427" s="135" customFormat="1" ht="12.75"/>
    <row r="2428" s="135" customFormat="1" ht="12.75"/>
    <row r="2429" s="135" customFormat="1" ht="12.75"/>
    <row r="2430" s="135" customFormat="1" ht="12.75"/>
    <row r="2431" s="135" customFormat="1" ht="12.75"/>
    <row r="2432" s="135" customFormat="1" ht="12.75"/>
    <row r="2433" s="135" customFormat="1" ht="12.75"/>
    <row r="2434" s="135" customFormat="1" ht="12.75"/>
    <row r="2435" s="135" customFormat="1" ht="12.75"/>
    <row r="2436" s="135" customFormat="1" ht="12.75"/>
    <row r="2437" s="135" customFormat="1" ht="12.75"/>
    <row r="2438" s="135" customFormat="1" ht="12.75"/>
    <row r="2439" s="135" customFormat="1" ht="12.75"/>
    <row r="2440" s="135" customFormat="1" ht="12.75"/>
    <row r="2441" s="135" customFormat="1" ht="12.75"/>
    <row r="2442" s="135" customFormat="1" ht="12.75"/>
    <row r="2443" s="135" customFormat="1" ht="12.75"/>
    <row r="2444" s="135" customFormat="1" ht="12.75"/>
    <row r="2445" s="135" customFormat="1" ht="12.75"/>
    <row r="2446" s="135" customFormat="1" ht="12.75"/>
    <row r="2447" s="135" customFormat="1" ht="12.75"/>
    <row r="2448" s="135" customFormat="1" ht="12.75"/>
    <row r="2449" s="135" customFormat="1" ht="12.75"/>
    <row r="2450" s="135" customFormat="1" ht="12.75"/>
    <row r="2451" s="135" customFormat="1" ht="12.75"/>
    <row r="2452" s="135" customFormat="1" ht="12.75"/>
    <row r="2453" s="135" customFormat="1" ht="12.75"/>
    <row r="2454" s="135" customFormat="1" ht="12.75"/>
    <row r="2455" s="135" customFormat="1" ht="12.75"/>
    <row r="2456" s="135" customFormat="1" ht="12.75"/>
    <row r="2457" s="135" customFormat="1" ht="12.75"/>
    <row r="2458" s="135" customFormat="1" ht="12.75"/>
    <row r="2459" s="135" customFormat="1" ht="12.75"/>
    <row r="2460" s="135" customFormat="1" ht="12.75"/>
    <row r="2461" s="135" customFormat="1" ht="12.75"/>
    <row r="2462" s="135" customFormat="1" ht="12.75"/>
    <row r="2463" s="135" customFormat="1" ht="12.75"/>
    <row r="2464" s="135" customFormat="1" ht="12.75"/>
    <row r="2465" s="135" customFormat="1" ht="12.75"/>
    <row r="2466" s="135" customFormat="1" ht="12.75"/>
    <row r="2467" s="135" customFormat="1" ht="12.75"/>
    <row r="2468" s="135" customFormat="1" ht="12.75"/>
    <row r="2469" s="135" customFormat="1" ht="12.75"/>
    <row r="2470" s="135" customFormat="1" ht="12.75"/>
    <row r="2471" s="135" customFormat="1" ht="12.75"/>
    <row r="2472" s="135" customFormat="1" ht="12.75"/>
    <row r="2473" s="135" customFormat="1" ht="12.75"/>
    <row r="2474" s="135" customFormat="1" ht="12.75"/>
    <row r="2475" s="135" customFormat="1" ht="12.75"/>
    <row r="2476" s="135" customFormat="1" ht="12.75"/>
    <row r="2477" s="135" customFormat="1" ht="12.75"/>
    <row r="2478" s="135" customFormat="1" ht="12.75"/>
    <row r="2479" s="135" customFormat="1" ht="12.75"/>
    <row r="2480" s="135" customFormat="1" ht="12.75"/>
    <row r="2481" s="135" customFormat="1" ht="12.75"/>
    <row r="2482" s="135" customFormat="1" ht="12.75"/>
    <row r="2483" s="135" customFormat="1" ht="12.75"/>
    <row r="2484" s="135" customFormat="1" ht="12.75"/>
    <row r="2485" s="135" customFormat="1" ht="12.75"/>
    <row r="2486" s="135" customFormat="1" ht="12.75"/>
    <row r="2487" s="135" customFormat="1" ht="12.75"/>
    <row r="2488" s="135" customFormat="1" ht="12.75"/>
    <row r="2489" s="135" customFormat="1" ht="12.75"/>
    <row r="2490" s="135" customFormat="1" ht="12.75"/>
    <row r="2491" s="135" customFormat="1" ht="12.75"/>
    <row r="2492" s="135" customFormat="1" ht="12.75"/>
    <row r="2493" s="135" customFormat="1" ht="12.75"/>
    <row r="2494" s="135" customFormat="1" ht="12.75"/>
    <row r="2495" s="135" customFormat="1" ht="12.75"/>
    <row r="2496" s="135" customFormat="1" ht="12.75"/>
    <row r="2497" s="135" customFormat="1" ht="12.75"/>
    <row r="2498" s="135" customFormat="1" ht="12.75"/>
    <row r="2499" s="135" customFormat="1" ht="12.75"/>
    <row r="2500" s="135" customFormat="1" ht="12.75"/>
    <row r="2501" s="135" customFormat="1" ht="12.75"/>
    <row r="2502" s="135" customFormat="1" ht="12.75"/>
    <row r="2503" s="135" customFormat="1" ht="12.75"/>
    <row r="2504" s="135" customFormat="1" ht="12.75"/>
    <row r="2505" s="135" customFormat="1" ht="12.75"/>
    <row r="2506" s="135" customFormat="1" ht="12.75"/>
    <row r="2507" s="135" customFormat="1" ht="12.75"/>
    <row r="2508" s="135" customFormat="1" ht="12.75"/>
    <row r="2509" s="135" customFormat="1" ht="12.75"/>
    <row r="2510" s="135" customFormat="1" ht="12.75"/>
    <row r="2511" s="135" customFormat="1" ht="12.75"/>
    <row r="2512" s="135" customFormat="1" ht="12.75"/>
    <row r="2513" s="135" customFormat="1" ht="12.75"/>
    <row r="2514" s="135" customFormat="1" ht="12.75"/>
    <row r="2515" s="135" customFormat="1" ht="12.75"/>
    <row r="2516" s="135" customFormat="1" ht="12.75"/>
    <row r="2517" s="135" customFormat="1" ht="12.75"/>
    <row r="2518" s="135" customFormat="1" ht="12.75"/>
    <row r="2519" s="135" customFormat="1" ht="12.75"/>
    <row r="2520" s="135" customFormat="1" ht="12.75"/>
    <row r="2521" s="135" customFormat="1" ht="12.75"/>
    <row r="2522" s="135" customFormat="1" ht="12.75"/>
    <row r="2523" s="135" customFormat="1" ht="12.75"/>
    <row r="2524" s="135" customFormat="1" ht="12.75"/>
    <row r="2525" s="135" customFormat="1" ht="12.75"/>
    <row r="2526" s="135" customFormat="1" ht="12.75"/>
    <row r="2527" s="135" customFormat="1" ht="12.75"/>
    <row r="2528" s="135" customFormat="1" ht="12.75"/>
    <row r="2529" s="135" customFormat="1" ht="12.75"/>
    <row r="2530" s="135" customFormat="1" ht="12.75"/>
    <row r="2531" s="135" customFormat="1" ht="12.75"/>
    <row r="2532" s="135" customFormat="1" ht="12.75"/>
    <row r="2533" s="135" customFormat="1" ht="12.75"/>
    <row r="2534" s="135" customFormat="1" ht="12.75"/>
    <row r="2535" s="135" customFormat="1" ht="12.75"/>
    <row r="2536" s="135" customFormat="1" ht="12.75"/>
    <row r="2537" s="135" customFormat="1" ht="12.75"/>
    <row r="2538" s="135" customFormat="1" ht="12.75"/>
    <row r="2539" s="135" customFormat="1" ht="12.75"/>
    <row r="2540" s="135" customFormat="1" ht="12.75"/>
    <row r="2541" s="135" customFormat="1" ht="12.75"/>
    <row r="2542" s="135" customFormat="1" ht="12.75"/>
    <row r="2543" s="135" customFormat="1" ht="12.75"/>
    <row r="2544" s="135" customFormat="1" ht="12.75"/>
    <row r="2545" s="135" customFormat="1" ht="12.75"/>
    <row r="2546" s="135" customFormat="1" ht="12.75"/>
    <row r="2547" s="135" customFormat="1" ht="12.75"/>
    <row r="2548" s="135" customFormat="1" ht="12.75"/>
    <row r="2549" s="135" customFormat="1" ht="12.75"/>
    <row r="2550" s="135" customFormat="1" ht="12.75"/>
    <row r="2551" s="135" customFormat="1" ht="12.75"/>
    <row r="2552" s="135" customFormat="1" ht="12.75"/>
    <row r="2553" s="135" customFormat="1" ht="12.75"/>
    <row r="2554" s="135" customFormat="1" ht="12.75"/>
    <row r="2555" s="135" customFormat="1" ht="12.75"/>
    <row r="2556" s="135" customFormat="1" ht="12.75"/>
    <row r="2557" s="135" customFormat="1" ht="12.75"/>
    <row r="2558" s="135" customFormat="1" ht="12.75"/>
    <row r="2559" s="135" customFormat="1" ht="12.75"/>
    <row r="2560" s="135" customFormat="1" ht="12.75"/>
    <row r="2561" s="135" customFormat="1" ht="12.75"/>
    <row r="2562" s="135" customFormat="1" ht="12.75"/>
    <row r="2563" s="135" customFormat="1" ht="12.75"/>
    <row r="2564" s="135" customFormat="1" ht="12.75"/>
    <row r="2565" s="135" customFormat="1" ht="12.75"/>
    <row r="2566" s="135" customFormat="1" ht="12.75"/>
    <row r="2567" s="135" customFormat="1" ht="12.75"/>
    <row r="2568" s="135" customFormat="1" ht="12.75"/>
    <row r="2569" s="135" customFormat="1" ht="12.75"/>
    <row r="2570" s="135" customFormat="1" ht="12.75"/>
    <row r="2571" s="135" customFormat="1" ht="12.75"/>
    <row r="2572" s="135" customFormat="1" ht="12.75"/>
    <row r="2573" s="135" customFormat="1" ht="12.75"/>
    <row r="2574" s="135" customFormat="1" ht="12.75"/>
    <row r="2575" s="135" customFormat="1" ht="12.75"/>
    <row r="2576" s="135" customFormat="1" ht="12.75"/>
    <row r="2577" s="135" customFormat="1" ht="12.75"/>
    <row r="2578" s="135" customFormat="1" ht="12.75"/>
    <row r="2579" s="135" customFormat="1" ht="12.75"/>
    <row r="2580" s="135" customFormat="1" ht="12.75"/>
    <row r="2581" s="135" customFormat="1" ht="12.75"/>
    <row r="2582" s="135" customFormat="1" ht="12.75"/>
    <row r="2583" s="135" customFormat="1" ht="12.75"/>
    <row r="2584" s="135" customFormat="1" ht="12.75"/>
    <row r="2585" s="135" customFormat="1" ht="12.75"/>
    <row r="2586" s="135" customFormat="1" ht="12.75"/>
    <row r="2587" s="135" customFormat="1" ht="12.75"/>
    <row r="2588" s="135" customFormat="1" ht="12.75"/>
    <row r="2589" s="135" customFormat="1" ht="12.75"/>
    <row r="2590" s="135" customFormat="1" ht="12.75"/>
    <row r="2591" s="135" customFormat="1" ht="12.75"/>
    <row r="2592" s="135" customFormat="1" ht="12.75"/>
    <row r="2593" s="135" customFormat="1" ht="12.75"/>
    <row r="2594" s="135" customFormat="1" ht="12.75"/>
    <row r="2595" s="135" customFormat="1" ht="12.75"/>
    <row r="2596" s="135" customFormat="1" ht="12.75"/>
    <row r="2597" s="135" customFormat="1" ht="12.75"/>
    <row r="2598" s="135" customFormat="1" ht="12.75"/>
    <row r="2599" s="135" customFormat="1" ht="12.75"/>
    <row r="2600" s="135" customFormat="1" ht="12.75"/>
    <row r="2601" s="135" customFormat="1" ht="12.75"/>
    <row r="2602" s="135" customFormat="1" ht="12.75"/>
    <row r="2603" s="135" customFormat="1" ht="12.75"/>
    <row r="2604" s="135" customFormat="1" ht="12.75"/>
    <row r="2605" s="135" customFormat="1" ht="12.75"/>
    <row r="2606" s="135" customFormat="1" ht="12.75"/>
    <row r="2607" s="135" customFormat="1" ht="12.75"/>
    <row r="2608" s="135" customFormat="1" ht="12.75"/>
    <row r="2609" s="135" customFormat="1" ht="12.75"/>
    <row r="2610" s="135" customFormat="1" ht="12.75"/>
    <row r="2611" s="135" customFormat="1" ht="12.75"/>
    <row r="2612" s="135" customFormat="1" ht="12.75"/>
    <row r="2613" s="135" customFormat="1" ht="12.75"/>
    <row r="2614" s="135" customFormat="1" ht="12.75"/>
    <row r="2615" s="135" customFormat="1" ht="12.75"/>
    <row r="2616" s="135" customFormat="1" ht="12.75"/>
    <row r="2617" s="135" customFormat="1" ht="12.75"/>
    <row r="2618" s="135" customFormat="1" ht="12.75"/>
    <row r="2619" s="135" customFormat="1" ht="12.75"/>
    <row r="2620" s="135" customFormat="1" ht="12.75"/>
    <row r="2621" s="135" customFormat="1" ht="12.75"/>
    <row r="2622" s="135" customFormat="1" ht="12.75"/>
    <row r="2623" s="135" customFormat="1" ht="12.75"/>
    <row r="2624" s="135" customFormat="1" ht="12.75"/>
    <row r="2625" s="135" customFormat="1" ht="12.75"/>
    <row r="2626" s="135" customFormat="1" ht="12.75"/>
    <row r="2627" s="135" customFormat="1" ht="12.75"/>
    <row r="2628" s="135" customFormat="1" ht="12.75"/>
    <row r="2629" s="135" customFormat="1" ht="12.75"/>
    <row r="2630" s="135" customFormat="1" ht="12.75"/>
    <row r="2631" s="135" customFormat="1" ht="12.75"/>
    <row r="2632" s="135" customFormat="1" ht="12.75"/>
    <row r="2633" s="135" customFormat="1" ht="12.75"/>
    <row r="2634" s="135" customFormat="1" ht="12.75"/>
    <row r="2635" s="135" customFormat="1" ht="12.75"/>
    <row r="2636" s="135" customFormat="1" ht="12.75"/>
    <row r="2637" s="135" customFormat="1" ht="12.75"/>
    <row r="2638" s="135" customFormat="1" ht="12.75"/>
    <row r="2639" s="135" customFormat="1" ht="12.75"/>
    <row r="2640" s="135" customFormat="1" ht="12.75"/>
    <row r="2641" s="135" customFormat="1" ht="12.75"/>
    <row r="2642" s="135" customFormat="1" ht="12.75"/>
    <row r="2643" s="135" customFormat="1" ht="12.75"/>
    <row r="2644" s="135" customFormat="1" ht="12.75"/>
    <row r="2645" s="135" customFormat="1" ht="12.75"/>
    <row r="2646" s="135" customFormat="1" ht="12.75"/>
    <row r="2647" s="135" customFormat="1" ht="12.75"/>
    <row r="2648" s="135" customFormat="1" ht="12.75"/>
    <row r="2649" s="135" customFormat="1" ht="12.75"/>
    <row r="2650" s="135" customFormat="1" ht="12.75"/>
    <row r="2651" s="135" customFormat="1" ht="12.75"/>
    <row r="2652" s="135" customFormat="1" ht="12.75"/>
    <row r="2653" s="135" customFormat="1" ht="12.75"/>
    <row r="2654" s="135" customFormat="1" ht="12.75"/>
    <row r="2655" s="135" customFormat="1" ht="12.75"/>
    <row r="2656" s="135" customFormat="1" ht="12.75"/>
    <row r="2657" s="135" customFormat="1" ht="12.75"/>
    <row r="2658" s="135" customFormat="1" ht="12.75"/>
    <row r="2659" s="135" customFormat="1" ht="12.75"/>
    <row r="2660" s="135" customFormat="1" ht="12.75"/>
    <row r="2661" s="135" customFormat="1" ht="12.75"/>
    <row r="2662" s="135" customFormat="1" ht="12.75"/>
    <row r="2663" s="135" customFormat="1" ht="12.75"/>
    <row r="2664" s="135" customFormat="1" ht="12.75"/>
    <row r="2665" s="135" customFormat="1" ht="12.75"/>
    <row r="2666" s="135" customFormat="1" ht="12.75"/>
    <row r="2667" s="135" customFormat="1" ht="12.75"/>
    <row r="2668" s="135" customFormat="1" ht="12.75"/>
    <row r="2669" s="135" customFormat="1" ht="12.75"/>
    <row r="2670" s="135" customFormat="1" ht="12.75"/>
    <row r="2671" s="135" customFormat="1" ht="12.75"/>
    <row r="2672" s="135" customFormat="1" ht="12.75"/>
    <row r="2673" s="135" customFormat="1" ht="12.75"/>
    <row r="2674" s="135" customFormat="1" ht="12.75"/>
    <row r="2675" s="135" customFormat="1" ht="12.75"/>
    <row r="2676" s="135" customFormat="1" ht="12.75"/>
    <row r="2677" s="135" customFormat="1" ht="12.75"/>
    <row r="2678" s="135" customFormat="1" ht="12.75"/>
    <row r="2679" s="135" customFormat="1" ht="12.75"/>
    <row r="2680" s="135" customFormat="1" ht="12.75"/>
    <row r="2681" s="135" customFormat="1" ht="12.75"/>
    <row r="2682" s="135" customFormat="1" ht="12.75"/>
    <row r="2683" s="135" customFormat="1" ht="12.75"/>
    <row r="2684" s="135" customFormat="1" ht="12.75"/>
    <row r="2685" s="135" customFormat="1" ht="12.75"/>
    <row r="2686" s="135" customFormat="1" ht="12.75"/>
    <row r="2687" s="135" customFormat="1" ht="12.75"/>
    <row r="2688" s="135" customFormat="1" ht="12.75"/>
    <row r="2689" s="135" customFormat="1" ht="12.75"/>
    <row r="2690" s="135" customFormat="1" ht="12.75"/>
    <row r="2691" s="135" customFormat="1" ht="12.75"/>
    <row r="2692" s="135" customFormat="1" ht="12.75"/>
    <row r="2693" s="135" customFormat="1" ht="12.75"/>
    <row r="2694" s="135" customFormat="1" ht="12.75"/>
    <row r="2695" s="135" customFormat="1" ht="12.75"/>
    <row r="2696" s="135" customFormat="1" ht="12.75"/>
    <row r="2697" s="135" customFormat="1" ht="12.75"/>
    <row r="2698" s="135" customFormat="1" ht="12.75"/>
    <row r="2699" s="135" customFormat="1" ht="12.75"/>
    <row r="2700" s="135" customFormat="1" ht="12.75"/>
    <row r="2701" s="135" customFormat="1" ht="12.75"/>
    <row r="2702" s="135" customFormat="1" ht="12.75"/>
    <row r="2703" s="135" customFormat="1" ht="12.75"/>
    <row r="2704" s="135" customFormat="1" ht="12.75"/>
    <row r="2705" s="135" customFormat="1" ht="12.75"/>
    <row r="2706" s="135" customFormat="1" ht="12.75"/>
    <row r="2707" s="135" customFormat="1" ht="12.75"/>
    <row r="2708" s="135" customFormat="1" ht="12.75"/>
    <row r="2709" s="135" customFormat="1" ht="12.75"/>
    <row r="2710" s="135" customFormat="1" ht="12.75"/>
    <row r="2711" s="135" customFormat="1" ht="12.75"/>
    <row r="2712" s="135" customFormat="1" ht="12.75"/>
    <row r="2713" s="135" customFormat="1" ht="12.75"/>
    <row r="2714" s="135" customFormat="1" ht="12.75"/>
    <row r="2715" s="135" customFormat="1" ht="12.75"/>
    <row r="2716" s="135" customFormat="1" ht="12.75"/>
    <row r="2717" s="135" customFormat="1" ht="12.75"/>
    <row r="2718" s="135" customFormat="1" ht="12.75"/>
    <row r="2719" s="135" customFormat="1" ht="12.75"/>
    <row r="2720" s="135" customFormat="1" ht="12.75"/>
    <row r="2721" s="135" customFormat="1" ht="12.75"/>
    <row r="2722" s="135" customFormat="1" ht="12.75"/>
    <row r="2723" s="135" customFormat="1" ht="12.75"/>
    <row r="2724" s="135" customFormat="1" ht="12.75"/>
    <row r="2725" s="135" customFormat="1" ht="12.75"/>
    <row r="2726" s="135" customFormat="1" ht="12.75"/>
    <row r="2727" s="135" customFormat="1" ht="12.75"/>
    <row r="2728" s="135" customFormat="1" ht="12.75"/>
    <row r="2729" s="135" customFormat="1" ht="12.75"/>
    <row r="2730" s="135" customFormat="1" ht="12.75"/>
    <row r="2731" s="135" customFormat="1" ht="12.75"/>
    <row r="2732" s="135" customFormat="1" ht="12.75"/>
    <row r="2733" s="135" customFormat="1" ht="12.75"/>
    <row r="2734" s="135" customFormat="1" ht="12.75"/>
    <row r="2735" s="135" customFormat="1" ht="12.75"/>
    <row r="2736" s="135" customFormat="1" ht="12.75"/>
    <row r="2737" s="135" customFormat="1" ht="12.75"/>
    <row r="2738" s="135" customFormat="1" ht="12.75"/>
    <row r="2739" s="135" customFormat="1" ht="12.75"/>
    <row r="2740" s="135" customFormat="1" ht="12.75"/>
    <row r="2741" s="135" customFormat="1" ht="12.75"/>
    <row r="2742" s="135" customFormat="1" ht="12.75"/>
    <row r="2743" s="135" customFormat="1" ht="12.75"/>
    <row r="2744" s="135" customFormat="1" ht="12.75"/>
    <row r="2745" s="135" customFormat="1" ht="12.75"/>
    <row r="2746" s="135" customFormat="1" ht="12.75"/>
    <row r="2747" s="135" customFormat="1" ht="12.75"/>
    <row r="2748" s="135" customFormat="1" ht="12.75"/>
    <row r="2749" s="135" customFormat="1" ht="12.75"/>
    <row r="2750" s="135" customFormat="1" ht="12.75"/>
    <row r="2751" s="135" customFormat="1" ht="12.75"/>
    <row r="2752" s="135" customFormat="1" ht="12.75"/>
    <row r="2753" s="135" customFormat="1" ht="12.75"/>
    <row r="2754" s="135" customFormat="1" ht="12.75"/>
    <row r="2755" s="135" customFormat="1" ht="12.75"/>
    <row r="2756" s="135" customFormat="1" ht="12.75"/>
    <row r="2757" s="135" customFormat="1" ht="12.75"/>
    <row r="2758" s="135" customFormat="1" ht="12.75"/>
    <row r="2759" s="135" customFormat="1" ht="12.75"/>
    <row r="2760" s="135" customFormat="1" ht="12.75"/>
    <row r="2761" s="135" customFormat="1" ht="12.75"/>
    <row r="2762" s="135" customFormat="1" ht="12.75"/>
    <row r="2763" s="135" customFormat="1" ht="12.75"/>
    <row r="2764" s="135" customFormat="1" ht="12.75"/>
    <row r="2765" s="135" customFormat="1" ht="12.75"/>
    <row r="2766" s="135" customFormat="1" ht="12.75"/>
    <row r="2767" s="135" customFormat="1" ht="12.75"/>
    <row r="2768" s="135" customFormat="1" ht="12.75"/>
    <row r="2769" s="135" customFormat="1" ht="12.75"/>
    <row r="2770" s="135" customFormat="1" ht="12.75"/>
    <row r="2771" s="135" customFormat="1" ht="12.75"/>
    <row r="2772" s="135" customFormat="1" ht="12.75"/>
    <row r="2773" s="135" customFormat="1" ht="12.75"/>
    <row r="2774" s="135" customFormat="1" ht="12.75"/>
    <row r="2775" s="135" customFormat="1" ht="12.75"/>
    <row r="2776" s="135" customFormat="1" ht="12.75"/>
    <row r="2777" s="135" customFormat="1" ht="12.75"/>
    <row r="2778" s="135" customFormat="1" ht="12.75"/>
    <row r="2779" s="135" customFormat="1" ht="12.75"/>
    <row r="2780" s="135" customFormat="1" ht="12.75"/>
    <row r="2781" s="135" customFormat="1" ht="12.75"/>
    <row r="2782" s="135" customFormat="1" ht="12.75"/>
    <row r="2783" s="135" customFormat="1" ht="12.75"/>
    <row r="2784" s="135" customFormat="1" ht="12.75"/>
    <row r="2785" s="135" customFormat="1" ht="12.75"/>
    <row r="2786" s="135" customFormat="1" ht="12.75"/>
    <row r="2787" s="135" customFormat="1" ht="12.75"/>
    <row r="2788" s="135" customFormat="1" ht="12.75"/>
    <row r="2789" s="135" customFormat="1" ht="12.75"/>
    <row r="2790" s="135" customFormat="1" ht="12.75"/>
    <row r="2791" s="135" customFormat="1" ht="12.75"/>
    <row r="2792" s="135" customFormat="1" ht="12.75"/>
    <row r="2793" s="135" customFormat="1" ht="12.75"/>
    <row r="2794" s="135" customFormat="1" ht="12.75"/>
    <row r="2795" s="135" customFormat="1" ht="12.75"/>
    <row r="2796" s="135" customFormat="1" ht="12.75"/>
    <row r="2797" s="135" customFormat="1" ht="12.75"/>
    <row r="2798" s="135" customFormat="1" ht="12.75"/>
    <row r="2799" s="135" customFormat="1" ht="12.75"/>
    <row r="2800" s="135" customFormat="1" ht="12.75"/>
    <row r="2801" s="135" customFormat="1" ht="12.75"/>
    <row r="2802" s="135" customFormat="1" ht="12.75"/>
    <row r="2803" s="135" customFormat="1" ht="12.75"/>
    <row r="2804" s="135" customFormat="1" ht="12.75"/>
    <row r="2805" s="135" customFormat="1" ht="12.75"/>
    <row r="2806" s="135" customFormat="1" ht="12.75"/>
    <row r="2807" s="135" customFormat="1" ht="12.75"/>
    <row r="2808" s="135" customFormat="1" ht="12.75"/>
    <row r="2809" s="135" customFormat="1" ht="12.75"/>
    <row r="2810" s="135" customFormat="1" ht="12.75"/>
    <row r="2811" s="135" customFormat="1" ht="12.75"/>
    <row r="2812" s="135" customFormat="1" ht="12.75"/>
    <row r="2813" s="135" customFormat="1" ht="12.75"/>
    <row r="2814" s="135" customFormat="1" ht="12.75"/>
    <row r="2815" s="135" customFormat="1" ht="12.75"/>
    <row r="2816" s="135" customFormat="1" ht="12.75"/>
    <row r="2817" s="135" customFormat="1" ht="12.75"/>
    <row r="2818" s="135" customFormat="1" ht="12.75"/>
    <row r="2819" s="135" customFormat="1" ht="12.75"/>
    <row r="2820" s="135" customFormat="1" ht="12.75"/>
    <row r="2821" s="135" customFormat="1" ht="12.75"/>
    <row r="2822" s="135" customFormat="1" ht="12.75"/>
    <row r="2823" s="135" customFormat="1" ht="12.75"/>
    <row r="2824" s="135" customFormat="1" ht="12.75"/>
    <row r="2825" s="135" customFormat="1" ht="12.75"/>
    <row r="2826" s="135" customFormat="1" ht="12.75"/>
    <row r="2827" s="135" customFormat="1" ht="12.75"/>
    <row r="2828" s="135" customFormat="1" ht="12.75"/>
    <row r="2829" s="135" customFormat="1" ht="12.75"/>
    <row r="2830" s="135" customFormat="1" ht="12.75"/>
    <row r="2831" s="135" customFormat="1" ht="12.75"/>
    <row r="2832" s="135" customFormat="1" ht="12.75"/>
    <row r="2833" s="135" customFormat="1" ht="12.75"/>
    <row r="2834" s="135" customFormat="1" ht="12.75"/>
    <row r="2835" s="135" customFormat="1" ht="12.75"/>
    <row r="2836" s="135" customFormat="1" ht="12.75"/>
    <row r="2837" s="135" customFormat="1" ht="12.75"/>
    <row r="2838" s="135" customFormat="1" ht="12.75"/>
    <row r="2839" s="135" customFormat="1" ht="12.75"/>
    <row r="2840" s="135" customFormat="1" ht="12.75"/>
    <row r="2841" s="135" customFormat="1" ht="12.75"/>
    <row r="2842" s="135" customFormat="1" ht="12.75"/>
    <row r="2843" s="135" customFormat="1" ht="12.75"/>
    <row r="2844" s="135" customFormat="1" ht="12.75"/>
    <row r="2845" s="135" customFormat="1" ht="12.75"/>
    <row r="2846" s="135" customFormat="1" ht="12.75"/>
    <row r="2847" s="135" customFormat="1" ht="12.75"/>
    <row r="2848" s="135" customFormat="1" ht="12.75"/>
    <row r="2849" s="135" customFormat="1" ht="12.75"/>
    <row r="2850" s="135" customFormat="1" ht="12.75"/>
    <row r="2851" s="135" customFormat="1" ht="12.75"/>
    <row r="2852" s="135" customFormat="1" ht="12.75"/>
    <row r="2853" s="135" customFormat="1" ht="12.75"/>
    <row r="2854" s="135" customFormat="1" ht="12.75"/>
    <row r="2855" s="135" customFormat="1" ht="12.75"/>
    <row r="2856" s="135" customFormat="1" ht="12.75"/>
    <row r="2857" s="135" customFormat="1" ht="12.75"/>
    <row r="2858" s="135" customFormat="1" ht="12.75"/>
    <row r="2859" s="135" customFormat="1" ht="12.75"/>
    <row r="2860" s="135" customFormat="1" ht="12.75"/>
    <row r="2861" s="135" customFormat="1" ht="12.75"/>
    <row r="2862" s="135" customFormat="1" ht="12.75"/>
    <row r="2863" s="135" customFormat="1" ht="12.75"/>
    <row r="2864" s="135" customFormat="1" ht="12.75"/>
    <row r="2865" s="135" customFormat="1" ht="12.75"/>
    <row r="2866" s="135" customFormat="1" ht="12.75"/>
    <row r="2867" s="135" customFormat="1" ht="12.75"/>
    <row r="2868" s="135" customFormat="1" ht="12.75"/>
    <row r="2869" s="135" customFormat="1" ht="12.75"/>
    <row r="2870" s="135" customFormat="1" ht="12.75"/>
    <row r="2871" s="135" customFormat="1" ht="12.75"/>
    <row r="2872" s="135" customFormat="1" ht="12.75"/>
    <row r="2873" s="135" customFormat="1" ht="12.75"/>
    <row r="2874" s="135" customFormat="1" ht="12.75"/>
    <row r="2875" s="135" customFormat="1" ht="12.75"/>
    <row r="2876" s="135" customFormat="1" ht="12.75"/>
    <row r="2877" s="135" customFormat="1" ht="12.75"/>
    <row r="2878" s="135" customFormat="1" ht="12.75"/>
    <row r="2879" s="135" customFormat="1" ht="12.75"/>
    <row r="2880" s="135" customFormat="1" ht="12.75"/>
    <row r="2881" s="135" customFormat="1" ht="12.75"/>
    <row r="2882" s="135" customFormat="1" ht="12.75"/>
    <row r="2883" s="135" customFormat="1" ht="12.75"/>
    <row r="2884" s="135" customFormat="1" ht="12.75"/>
    <row r="2885" s="135" customFormat="1" ht="12.75"/>
    <row r="2886" s="135" customFormat="1" ht="12.75"/>
    <row r="2887" s="135" customFormat="1" ht="12.75"/>
    <row r="2888" s="135" customFormat="1" ht="12.75"/>
    <row r="2889" s="135" customFormat="1" ht="12.75"/>
    <row r="2890" s="135" customFormat="1" ht="12.75"/>
    <row r="2891" s="135" customFormat="1" ht="12.75"/>
    <row r="2892" s="135" customFormat="1" ht="12.75"/>
    <row r="2893" s="135" customFormat="1" ht="12.75"/>
    <row r="2894" s="135" customFormat="1" ht="12.75"/>
    <row r="2895" s="135" customFormat="1" ht="12.75"/>
    <row r="2896" s="135" customFormat="1" ht="12.75"/>
    <row r="2897" s="135" customFormat="1" ht="12.75"/>
    <row r="2898" s="135" customFormat="1" ht="12.75"/>
    <row r="2899" s="135" customFormat="1" ht="12.75"/>
    <row r="2900" s="135" customFormat="1" ht="12.75"/>
    <row r="2901" s="135" customFormat="1" ht="12.75"/>
    <row r="2902" s="135" customFormat="1" ht="12.75"/>
    <row r="2903" s="135" customFormat="1" ht="12.75"/>
    <row r="2904" s="135" customFormat="1" ht="12.75"/>
    <row r="2905" s="135" customFormat="1" ht="12.75"/>
    <row r="2906" s="135" customFormat="1" ht="12.75"/>
    <row r="2907" s="135" customFormat="1" ht="12.75"/>
    <row r="2908" s="135" customFormat="1" ht="12.75"/>
    <row r="2909" s="135" customFormat="1" ht="12.75"/>
    <row r="2910" s="135" customFormat="1" ht="12.75"/>
    <row r="2911" s="135" customFormat="1" ht="12.75"/>
    <row r="2912" s="135" customFormat="1" ht="12.75"/>
    <row r="2913" s="135" customFormat="1" ht="12.75"/>
    <row r="2914" s="135" customFormat="1" ht="12.75"/>
    <row r="2915" s="135" customFormat="1" ht="12.75"/>
    <row r="2916" s="135" customFormat="1" ht="12.75"/>
    <row r="2917" s="135" customFormat="1" ht="12.75"/>
    <row r="2918" s="135" customFormat="1" ht="12.75"/>
    <row r="2919" s="135" customFormat="1" ht="12.75"/>
    <row r="2920" s="135" customFormat="1" ht="12.75"/>
    <row r="2921" s="135" customFormat="1" ht="12.75"/>
    <row r="2922" s="135" customFormat="1" ht="12.75"/>
    <row r="2923" s="135" customFormat="1" ht="12.75"/>
    <row r="2924" s="135" customFormat="1" ht="12.75"/>
    <row r="2925" s="135" customFormat="1" ht="12.75"/>
    <row r="2926" s="135" customFormat="1" ht="12.75"/>
    <row r="2927" s="135" customFormat="1" ht="12.75"/>
    <row r="2928" s="135" customFormat="1" ht="12.75"/>
    <row r="2929" s="135" customFormat="1" ht="12.75"/>
    <row r="2930" s="135" customFormat="1" ht="12.75"/>
    <row r="2931" s="135" customFormat="1" ht="12.75"/>
    <row r="2932" s="135" customFormat="1" ht="12.75"/>
    <row r="2933" s="135" customFormat="1" ht="12.75"/>
    <row r="2934" s="135" customFormat="1" ht="12.75"/>
    <row r="2935" s="135" customFormat="1" ht="12.75"/>
    <row r="2936" s="135" customFormat="1" ht="12.75"/>
    <row r="2937" s="135" customFormat="1" ht="12.75"/>
    <row r="2938" s="135" customFormat="1" ht="12.75"/>
    <row r="2939" s="135" customFormat="1" ht="12.75"/>
    <row r="2940" s="135" customFormat="1" ht="12.75"/>
    <row r="2941" s="135" customFormat="1" ht="12.75"/>
    <row r="2942" s="135" customFormat="1" ht="12.75"/>
    <row r="2943" s="135" customFormat="1" ht="12.75"/>
    <row r="2944" s="135" customFormat="1" ht="12.75"/>
    <row r="2945" s="135" customFormat="1" ht="12.75"/>
    <row r="2946" s="135" customFormat="1" ht="12.75"/>
    <row r="2947" s="135" customFormat="1" ht="12.75"/>
    <row r="2948" s="135" customFormat="1" ht="12.75"/>
    <row r="2949" s="135" customFormat="1" ht="12.75"/>
    <row r="2950" s="135" customFormat="1" ht="12.75"/>
    <row r="2951" s="135" customFormat="1" ht="12.75"/>
    <row r="2952" s="135" customFormat="1" ht="12.75"/>
    <row r="2953" s="135" customFormat="1" ht="12.75"/>
    <row r="2954" s="135" customFormat="1" ht="12.75"/>
    <row r="2955" s="135" customFormat="1" ht="12.75"/>
    <row r="2956" s="135" customFormat="1" ht="12.75"/>
    <row r="2957" s="135" customFormat="1" ht="12.75"/>
    <row r="2958" s="135" customFormat="1" ht="12.75"/>
    <row r="2959" s="135" customFormat="1" ht="12.75"/>
    <row r="2960" s="135" customFormat="1" ht="12.75"/>
    <row r="2961" s="135" customFormat="1" ht="12.75"/>
    <row r="2962" s="135" customFormat="1" ht="12.75"/>
    <row r="2963" s="135" customFormat="1" ht="12.75"/>
    <row r="2964" s="135" customFormat="1" ht="12.75"/>
    <row r="2965" s="135" customFormat="1" ht="12.75"/>
    <row r="2966" s="135" customFormat="1" ht="12.75"/>
    <row r="2967" s="135" customFormat="1" ht="12.75"/>
    <row r="2968" s="135" customFormat="1" ht="12.75"/>
    <row r="2969" s="135" customFormat="1" ht="12.75"/>
    <row r="2970" s="135" customFormat="1" ht="12.75"/>
    <row r="2971" s="135" customFormat="1" ht="12.75"/>
    <row r="2972" s="135" customFormat="1" ht="12.75"/>
    <row r="2973" s="135" customFormat="1" ht="12.75"/>
    <row r="2974" s="135" customFormat="1" ht="12.75"/>
    <row r="2975" s="135" customFormat="1" ht="12.75"/>
    <row r="2976" s="135" customFormat="1" ht="12.75"/>
    <row r="2977" s="135" customFormat="1" ht="12.75"/>
    <row r="2978" s="135" customFormat="1" ht="12.75"/>
    <row r="2979" s="135" customFormat="1" ht="12.75"/>
    <row r="2980" s="135" customFormat="1" ht="12.75"/>
    <row r="2981" s="135" customFormat="1" ht="12.75"/>
    <row r="2982" s="135" customFormat="1" ht="12.75"/>
    <row r="2983" s="135" customFormat="1" ht="12.75"/>
    <row r="2984" s="135" customFormat="1" ht="12.75"/>
    <row r="2985" s="135" customFormat="1" ht="12.75"/>
    <row r="2986" s="135" customFormat="1" ht="12.75"/>
    <row r="2987" s="135" customFormat="1" ht="12.75"/>
    <row r="2988" s="135" customFormat="1" ht="12.75"/>
    <row r="2989" s="135" customFormat="1" ht="12.75"/>
    <row r="2990" s="135" customFormat="1" ht="12.75"/>
    <row r="2991" s="135" customFormat="1" ht="12.75"/>
    <row r="2992" s="135" customFormat="1" ht="12.75"/>
    <row r="2993" s="135" customFormat="1" ht="12.75"/>
    <row r="2994" s="135" customFormat="1" ht="12.75"/>
    <row r="2995" s="135" customFormat="1" ht="12.75"/>
    <row r="2996" s="135" customFormat="1" ht="12.75"/>
    <row r="2997" s="135" customFormat="1" ht="12.75"/>
    <row r="2998" s="135" customFormat="1" ht="12.75"/>
    <row r="2999" s="135" customFormat="1" ht="12.75"/>
    <row r="3000" s="135" customFormat="1" ht="12.75"/>
    <row r="3001" s="135" customFormat="1" ht="12.75"/>
    <row r="3002" s="135" customFormat="1" ht="12.75"/>
    <row r="3003" s="135" customFormat="1" ht="12.75"/>
    <row r="3004" s="135" customFormat="1" ht="12.75"/>
    <row r="3005" s="135" customFormat="1" ht="12.75"/>
    <row r="3006" s="135" customFormat="1" ht="12.75"/>
    <row r="3007" s="135" customFormat="1" ht="12.75"/>
    <row r="3008" s="135" customFormat="1" ht="12.75"/>
    <row r="3009" s="135" customFormat="1" ht="12.75"/>
    <row r="3010" s="135" customFormat="1" ht="12.75"/>
    <row r="3011" s="135" customFormat="1" ht="12.75"/>
    <row r="3012" s="135" customFormat="1" ht="12.75"/>
    <row r="3013" s="135" customFormat="1" ht="12.75"/>
    <row r="3014" s="135" customFormat="1" ht="12.75"/>
    <row r="3015" s="135" customFormat="1" ht="12.75"/>
    <row r="3016" s="135" customFormat="1" ht="12.75"/>
    <row r="3017" s="135" customFormat="1" ht="12.75"/>
    <row r="3018" s="135" customFormat="1" ht="12.75"/>
    <row r="3019" s="135" customFormat="1" ht="12.75"/>
    <row r="3020" s="135" customFormat="1" ht="12.75"/>
    <row r="3021" s="135" customFormat="1" ht="12.75"/>
    <row r="3022" s="135" customFormat="1" ht="12.75"/>
    <row r="3023" s="135" customFormat="1" ht="12.75"/>
    <row r="3024" s="135" customFormat="1" ht="12.75"/>
    <row r="3025" s="135" customFormat="1" ht="12.75"/>
    <row r="3026" s="135" customFormat="1" ht="12.75"/>
    <row r="3027" s="135" customFormat="1" ht="12.75"/>
    <row r="3028" s="135" customFormat="1" ht="12.75"/>
    <row r="3029" s="135" customFormat="1" ht="12.75"/>
    <row r="3030" s="135" customFormat="1" ht="12.75"/>
    <row r="3031" s="135" customFormat="1" ht="12.75"/>
    <row r="3032" s="135" customFormat="1" ht="12.75"/>
    <row r="3033" s="135" customFormat="1" ht="12.75"/>
    <row r="3034" s="135" customFormat="1" ht="12.75"/>
    <row r="3035" s="135" customFormat="1" ht="12.75"/>
    <row r="3036" s="135" customFormat="1" ht="12.75"/>
    <row r="3037" s="135" customFormat="1" ht="12.75"/>
    <row r="3038" s="135" customFormat="1" ht="12.75"/>
    <row r="3039" s="135" customFormat="1" ht="12.75"/>
    <row r="3040" s="135" customFormat="1" ht="12.75"/>
    <row r="3041" s="135" customFormat="1" ht="12.75"/>
    <row r="3042" s="135" customFormat="1" ht="12.75"/>
    <row r="3043" s="135" customFormat="1" ht="12.75"/>
    <row r="3044" s="135" customFormat="1" ht="12.75"/>
    <row r="3045" s="135" customFormat="1" ht="12.75"/>
    <row r="3046" s="135" customFormat="1" ht="12.75"/>
    <row r="3047" s="135" customFormat="1" ht="12.75"/>
    <row r="3048" s="135" customFormat="1" ht="12.75"/>
    <row r="3049" s="135" customFormat="1" ht="12.75"/>
    <row r="3050" s="135" customFormat="1" ht="12.75"/>
    <row r="3051" s="135" customFormat="1" ht="12.75"/>
    <row r="3052" s="135" customFormat="1" ht="12.75"/>
    <row r="3053" s="135" customFormat="1" ht="12.75"/>
    <row r="3054" s="135" customFormat="1" ht="12.75"/>
    <row r="3055" s="135" customFormat="1" ht="12.75"/>
    <row r="3056" s="135" customFormat="1" ht="12.75"/>
    <row r="3057" s="135" customFormat="1" ht="12.75"/>
    <row r="3058" s="135" customFormat="1" ht="12.75"/>
    <row r="3059" s="135" customFormat="1" ht="12.75"/>
    <row r="3060" s="135" customFormat="1" ht="12.75"/>
    <row r="3061" s="135" customFormat="1" ht="12.75"/>
    <row r="3062" s="135" customFormat="1" ht="12.75"/>
    <row r="3063" s="135" customFormat="1" ht="12.75"/>
    <row r="3064" s="135" customFormat="1" ht="12.75"/>
    <row r="3065" s="135" customFormat="1" ht="12.75"/>
    <row r="3066" s="135" customFormat="1" ht="12.75"/>
    <row r="3067" s="135" customFormat="1" ht="12.75"/>
    <row r="3068" s="135" customFormat="1" ht="12.75"/>
    <row r="3069" s="135" customFormat="1" ht="12.75"/>
    <row r="3070" s="135" customFormat="1" ht="12.75"/>
    <row r="3071" s="135" customFormat="1" ht="12.75"/>
    <row r="3072" s="135" customFormat="1" ht="12.75"/>
    <row r="3073" s="135" customFormat="1" ht="12.75"/>
    <row r="3074" s="135" customFormat="1" ht="12.75"/>
    <row r="3075" s="135" customFormat="1" ht="12.75"/>
    <row r="3076" s="135" customFormat="1" ht="12.75"/>
    <row r="3077" s="135" customFormat="1" ht="12.75"/>
    <row r="3078" s="135" customFormat="1" ht="12.75"/>
    <row r="3079" s="135" customFormat="1" ht="12.75"/>
    <row r="3080" s="135" customFormat="1" ht="12.75"/>
    <row r="3081" s="135" customFormat="1" ht="12.75"/>
    <row r="3082" s="135" customFormat="1" ht="12.75"/>
    <row r="3083" s="135" customFormat="1" ht="12.75"/>
    <row r="3084" s="135" customFormat="1" ht="12.75"/>
    <row r="3085" s="135" customFormat="1" ht="12.75"/>
    <row r="3086" s="135" customFormat="1" ht="12.75"/>
    <row r="3087" s="135" customFormat="1" ht="12.75"/>
    <row r="3088" s="135" customFormat="1" ht="12.75"/>
    <row r="3089" s="135" customFormat="1" ht="12.75"/>
    <row r="3090" s="135" customFormat="1" ht="12.75"/>
    <row r="3091" s="135" customFormat="1" ht="12.75"/>
    <row r="3092" s="135" customFormat="1" ht="12.75"/>
    <row r="3093" s="135" customFormat="1" ht="12.75"/>
    <row r="3094" s="135" customFormat="1" ht="12.75"/>
    <row r="3095" s="135" customFormat="1" ht="12.75"/>
    <row r="3096" s="135" customFormat="1" ht="12.75"/>
    <row r="3097" s="135" customFormat="1" ht="12.75"/>
    <row r="3098" s="135" customFormat="1" ht="12.75"/>
    <row r="3099" s="135" customFormat="1" ht="12.75"/>
    <row r="3100" s="135" customFormat="1" ht="12.75"/>
    <row r="3101" s="135" customFormat="1" ht="12.75"/>
    <row r="3102" s="135" customFormat="1" ht="12.75"/>
    <row r="3103" s="135" customFormat="1" ht="12.75"/>
    <row r="3104" s="135" customFormat="1" ht="12.75"/>
    <row r="3105" s="135" customFormat="1" ht="12.75"/>
    <row r="3106" s="135" customFormat="1" ht="12.75"/>
    <row r="3107" s="135" customFormat="1" ht="12.75"/>
    <row r="3108" s="135" customFormat="1" ht="12.75"/>
    <row r="3109" s="135" customFormat="1" ht="12.75"/>
    <row r="3110" s="135" customFormat="1" ht="12.75"/>
    <row r="3111" s="135" customFormat="1" ht="12.75"/>
    <row r="3112" s="135" customFormat="1" ht="12.75"/>
    <row r="3113" s="135" customFormat="1" ht="12.75"/>
    <row r="3114" s="135" customFormat="1" ht="12.75"/>
    <row r="3115" s="135" customFormat="1" ht="12.75"/>
    <row r="3116" s="135" customFormat="1" ht="12.75"/>
    <row r="3117" s="135" customFormat="1" ht="12.75"/>
    <row r="3118" s="135" customFormat="1" ht="12.75"/>
    <row r="3119" s="135" customFormat="1" ht="12.75"/>
    <row r="3120" s="135" customFormat="1" ht="12.75"/>
    <row r="3121" s="135" customFormat="1" ht="12.75"/>
    <row r="3122" s="135" customFormat="1" ht="12.75"/>
    <row r="3123" s="135" customFormat="1" ht="12.75"/>
    <row r="3124" s="135" customFormat="1" ht="12.75"/>
    <row r="3125" s="135" customFormat="1" ht="12.75"/>
    <row r="3126" s="135" customFormat="1" ht="12.75"/>
    <row r="3127" s="135" customFormat="1" ht="12.75"/>
    <row r="3128" s="135" customFormat="1" ht="12.75"/>
    <row r="3129" s="135" customFormat="1" ht="12.75"/>
    <row r="3130" s="135" customFormat="1" ht="12.75"/>
    <row r="3131" s="135" customFormat="1" ht="12.75"/>
    <row r="3132" s="135" customFormat="1" ht="12.75"/>
    <row r="3133" s="135" customFormat="1" ht="12.75"/>
    <row r="3134" s="135" customFormat="1" ht="12.75"/>
    <row r="3135" s="135" customFormat="1" ht="12.75"/>
    <row r="3136" s="135" customFormat="1" ht="12.75"/>
    <row r="3137" s="135" customFormat="1" ht="12.75"/>
    <row r="3138" s="135" customFormat="1" ht="12.75"/>
    <row r="3139" s="135" customFormat="1" ht="12.75"/>
    <row r="3140" s="135" customFormat="1" ht="12.75"/>
    <row r="3141" s="135" customFormat="1" ht="12.75"/>
    <row r="3142" s="135" customFormat="1" ht="12.75"/>
    <row r="3143" s="135" customFormat="1" ht="12.75"/>
    <row r="3144" s="135" customFormat="1" ht="12.75"/>
    <row r="3145" s="135" customFormat="1" ht="12.75"/>
    <row r="3146" s="135" customFormat="1" ht="12.75"/>
    <row r="3147" s="135" customFormat="1" ht="12.75"/>
    <row r="3148" s="135" customFormat="1" ht="12.75"/>
    <row r="3149" s="135" customFormat="1" ht="12.75"/>
    <row r="3150" s="135" customFormat="1" ht="12.75"/>
    <row r="3151" s="135" customFormat="1" ht="12.75"/>
    <row r="3152" s="135" customFormat="1" ht="12.75"/>
    <row r="3153" s="135" customFormat="1" ht="12.75"/>
    <row r="3154" s="135" customFormat="1" ht="12.75"/>
    <row r="3155" s="135" customFormat="1" ht="12.75"/>
    <row r="3156" s="135" customFormat="1" ht="12.75"/>
    <row r="3157" s="135" customFormat="1" ht="12.75"/>
    <row r="3158" s="135" customFormat="1" ht="12.75"/>
    <row r="3159" s="135" customFormat="1" ht="12.75"/>
    <row r="3160" s="135" customFormat="1" ht="12.75"/>
    <row r="3161" s="135" customFormat="1" ht="12.75"/>
    <row r="3162" s="135" customFormat="1" ht="12.75"/>
    <row r="3163" s="135" customFormat="1" ht="12.75"/>
    <row r="3164" s="135" customFormat="1" ht="12.75"/>
    <row r="3165" s="135" customFormat="1" ht="12.75"/>
    <row r="3166" s="135" customFormat="1" ht="12.75"/>
    <row r="3167" s="135" customFormat="1" ht="12.75"/>
    <row r="3168" s="135" customFormat="1" ht="12.75"/>
    <row r="3169" s="135" customFormat="1" ht="12.75"/>
    <row r="3170" s="135" customFormat="1" ht="12.75"/>
    <row r="3171" s="135" customFormat="1" ht="12.75"/>
    <row r="3172" s="135" customFormat="1" ht="12.75"/>
    <row r="3173" s="135" customFormat="1" ht="12.75"/>
    <row r="3174" s="135" customFormat="1" ht="12.75"/>
    <row r="3175" s="135" customFormat="1" ht="12.75"/>
    <row r="3176" s="135" customFormat="1" ht="12.75"/>
    <row r="3177" s="135" customFormat="1" ht="12.75"/>
    <row r="3178" s="135" customFormat="1" ht="12.75"/>
    <row r="3179" s="135" customFormat="1" ht="12.75"/>
    <row r="3180" s="135" customFormat="1" ht="12.75"/>
    <row r="3181" s="135" customFormat="1" ht="12.75"/>
    <row r="3182" s="135" customFormat="1" ht="12.75"/>
    <row r="3183" s="135" customFormat="1" ht="12.75"/>
    <row r="3184" s="135" customFormat="1" ht="12.75"/>
    <row r="3185" s="135" customFormat="1" ht="12.75"/>
    <row r="3186" s="135" customFormat="1" ht="12.75"/>
    <row r="3187" s="135" customFormat="1" ht="12.75"/>
    <row r="3188" s="135" customFormat="1" ht="12.75"/>
    <row r="3189" s="135" customFormat="1" ht="12.75"/>
    <row r="3190" s="135" customFormat="1" ht="12.75"/>
    <row r="3191" s="135" customFormat="1" ht="12.75"/>
    <row r="3192" s="135" customFormat="1" ht="12.75"/>
    <row r="3193" s="135" customFormat="1" ht="12.75"/>
    <row r="3194" s="135" customFormat="1" ht="12.75"/>
    <row r="3195" s="135" customFormat="1" ht="12.75"/>
    <row r="3196" s="135" customFormat="1" ht="12.75"/>
    <row r="3197" s="135" customFormat="1" ht="12.75"/>
    <row r="3198" s="135" customFormat="1" ht="12.75"/>
    <row r="3199" s="135" customFormat="1" ht="12.75"/>
    <row r="3200" s="135" customFormat="1" ht="12.75"/>
    <row r="3201" s="135" customFormat="1" ht="12.75"/>
    <row r="3202" s="135" customFormat="1" ht="12.75"/>
    <row r="3203" s="135" customFormat="1" ht="12.75"/>
    <row r="3204" s="135" customFormat="1" ht="12.75"/>
    <row r="3205" s="135" customFormat="1" ht="12.75"/>
    <row r="3206" s="135" customFormat="1" ht="12.75"/>
    <row r="3207" s="135" customFormat="1" ht="12.75"/>
    <row r="3208" s="135" customFormat="1" ht="12.75"/>
    <row r="3209" s="135" customFormat="1" ht="12.75"/>
    <row r="3210" s="135" customFormat="1" ht="12.75"/>
    <row r="3211" s="135" customFormat="1" ht="12.75"/>
    <row r="3212" s="135" customFormat="1" ht="12.75"/>
    <row r="3213" s="135" customFormat="1" ht="12.75"/>
    <row r="3214" s="135" customFormat="1" ht="12.75"/>
    <row r="3215" s="135" customFormat="1" ht="12.75"/>
    <row r="3216" s="135" customFormat="1" ht="12.75"/>
    <row r="3217" s="135" customFormat="1" ht="12.75"/>
    <row r="3218" s="135" customFormat="1" ht="12.75"/>
    <row r="3219" s="135" customFormat="1" ht="12.75"/>
    <row r="3220" s="135" customFormat="1" ht="12.75"/>
    <row r="3221" s="135" customFormat="1" ht="12.75"/>
    <row r="3222" s="135" customFormat="1" ht="12.75"/>
    <row r="3223" s="135" customFormat="1" ht="12.75"/>
    <row r="3224" s="135" customFormat="1" ht="12.75"/>
    <row r="3225" s="135" customFormat="1" ht="12.75"/>
    <row r="3226" s="135" customFormat="1" ht="12.75"/>
    <row r="3227" s="135" customFormat="1" ht="12.75"/>
    <row r="3228" s="135" customFormat="1" ht="12.75"/>
    <row r="3229" s="135" customFormat="1" ht="12.75"/>
    <row r="3230" s="135" customFormat="1" ht="12.75"/>
    <row r="3231" s="135" customFormat="1" ht="12.75"/>
    <row r="3232" s="135" customFormat="1" ht="12.75"/>
    <row r="3233" s="135" customFormat="1" ht="12.75"/>
    <row r="3234" s="135" customFormat="1" ht="12.75"/>
    <row r="3235" s="135" customFormat="1" ht="12.75"/>
    <row r="3236" s="135" customFormat="1" ht="12.75"/>
    <row r="3237" s="135" customFormat="1" ht="12.75"/>
    <row r="3238" s="135" customFormat="1" ht="12.75"/>
    <row r="3239" s="135" customFormat="1" ht="12.75"/>
    <row r="3240" s="135" customFormat="1" ht="12.75"/>
    <row r="3241" s="135" customFormat="1" ht="12.75"/>
    <row r="3242" s="135" customFormat="1" ht="12.75"/>
    <row r="3243" s="135" customFormat="1" ht="12.75"/>
    <row r="3244" s="135" customFormat="1" ht="12.75"/>
    <row r="3245" s="135" customFormat="1" ht="12.75"/>
    <row r="3246" s="135" customFormat="1" ht="12.75"/>
    <row r="3247" s="135" customFormat="1" ht="12.75"/>
    <row r="3248" s="135" customFormat="1" ht="12.75"/>
    <row r="3249" s="135" customFormat="1" ht="12.75"/>
    <row r="3250" s="135" customFormat="1" ht="12.75"/>
    <row r="3251" s="135" customFormat="1" ht="12.75"/>
    <row r="3252" s="135" customFormat="1" ht="12.75"/>
    <row r="3253" s="135" customFormat="1" ht="12.75"/>
    <row r="3254" s="135" customFormat="1" ht="12.75"/>
    <row r="3255" s="135" customFormat="1" ht="12.75"/>
    <row r="3256" s="135" customFormat="1" ht="12.75"/>
    <row r="3257" s="135" customFormat="1" ht="12.75"/>
    <row r="3258" s="135" customFormat="1" ht="12.75"/>
    <row r="3259" s="135" customFormat="1" ht="12.75"/>
    <row r="3260" s="135" customFormat="1" ht="12.75"/>
    <row r="3261" s="135" customFormat="1" ht="12.75"/>
    <row r="3262" s="135" customFormat="1" ht="12.75"/>
    <row r="3263" s="135" customFormat="1" ht="12.75"/>
    <row r="3264" s="135" customFormat="1" ht="12.75"/>
    <row r="3265" s="135" customFormat="1" ht="12.75"/>
    <row r="3266" s="135" customFormat="1" ht="12.75"/>
    <row r="3267" s="135" customFormat="1" ht="12.75"/>
    <row r="3268" s="135" customFormat="1" ht="12.75"/>
    <row r="3269" s="135" customFormat="1" ht="12.75"/>
    <row r="3270" s="135" customFormat="1" ht="12.75"/>
    <row r="3271" s="135" customFormat="1" ht="12.75"/>
    <row r="3272" s="135" customFormat="1" ht="12.75"/>
    <row r="3273" s="135" customFormat="1" ht="12.75"/>
    <row r="3274" s="135" customFormat="1" ht="12.75"/>
    <row r="3275" s="135" customFormat="1" ht="12.75"/>
    <row r="3276" s="135" customFormat="1" ht="12.75"/>
    <row r="3277" s="135" customFormat="1" ht="12.75"/>
    <row r="3278" s="135" customFormat="1" ht="12.75"/>
    <row r="3279" s="135" customFormat="1" ht="12.75"/>
    <row r="3280" s="135" customFormat="1" ht="12.75"/>
    <row r="3281" s="135" customFormat="1" ht="12.75"/>
    <row r="3282" s="135" customFormat="1" ht="12.75"/>
    <row r="3283" s="135" customFormat="1" ht="12.75"/>
    <row r="3284" s="135" customFormat="1" ht="12.75"/>
    <row r="3285" s="135" customFormat="1" ht="12.75"/>
    <row r="3286" s="135" customFormat="1" ht="12.75"/>
    <row r="3287" s="135" customFormat="1" ht="12.75"/>
    <row r="3288" s="135" customFormat="1" ht="12.75"/>
    <row r="3289" s="135" customFormat="1" ht="12.75"/>
    <row r="3290" s="135" customFormat="1" ht="12.75"/>
    <row r="3291" s="135" customFormat="1" ht="12.75"/>
    <row r="3292" s="135" customFormat="1" ht="12.75"/>
    <row r="3293" s="135" customFormat="1" ht="12.75"/>
    <row r="3294" s="135" customFormat="1" ht="12.75"/>
    <row r="3295" s="135" customFormat="1" ht="12.75"/>
    <row r="3296" s="135" customFormat="1" ht="12.75"/>
    <row r="3297" s="135" customFormat="1" ht="12.75"/>
    <row r="3298" s="135" customFormat="1" ht="12.75"/>
    <row r="3299" s="135" customFormat="1" ht="12.75"/>
    <row r="3300" s="135" customFormat="1" ht="12.75"/>
    <row r="3301" s="135" customFormat="1" ht="12.75"/>
    <row r="3302" s="135" customFormat="1" ht="12.75"/>
    <row r="3303" s="135" customFormat="1" ht="12.75"/>
    <row r="3304" s="135" customFormat="1" ht="12.75"/>
    <row r="3305" s="135" customFormat="1" ht="12.75"/>
    <row r="3306" s="135" customFormat="1" ht="12.75"/>
    <row r="3307" s="135" customFormat="1" ht="12.75"/>
    <row r="3308" s="135" customFormat="1" ht="12.75"/>
    <row r="3309" s="135" customFormat="1" ht="12.75"/>
    <row r="3310" s="135" customFormat="1" ht="12.75"/>
    <row r="3311" s="135" customFormat="1" ht="12.75"/>
    <row r="3312" s="135" customFormat="1" ht="12.75"/>
    <row r="3313" s="135" customFormat="1" ht="12.75"/>
    <row r="3314" s="135" customFormat="1" ht="12.75"/>
    <row r="3315" s="135" customFormat="1" ht="12.75"/>
    <row r="3316" s="135" customFormat="1" ht="12.75"/>
    <row r="3317" s="135" customFormat="1" ht="12.75"/>
    <row r="3318" s="135" customFormat="1" ht="12.75"/>
    <row r="3319" s="135" customFormat="1" ht="12.75"/>
    <row r="3320" s="135" customFormat="1" ht="12.75"/>
    <row r="3321" s="135" customFormat="1" ht="12.75"/>
    <row r="3322" s="135" customFormat="1" ht="12.75"/>
    <row r="3323" s="135" customFormat="1" ht="12.75"/>
    <row r="3324" s="135" customFormat="1" ht="12.75"/>
    <row r="3325" s="135" customFormat="1" ht="12.75"/>
    <row r="3326" s="135" customFormat="1" ht="12.75"/>
    <row r="3327" s="135" customFormat="1" ht="12.75"/>
    <row r="3328" s="135" customFormat="1" ht="12.75"/>
    <row r="3329" s="135" customFormat="1" ht="12.75"/>
    <row r="3330" s="135" customFormat="1" ht="12.75"/>
    <row r="3331" s="135" customFormat="1" ht="12.75"/>
    <row r="3332" s="135" customFormat="1" ht="12.75"/>
    <row r="3333" s="135" customFormat="1" ht="12.75"/>
    <row r="3334" s="135" customFormat="1" ht="12.75"/>
    <row r="3335" s="135" customFormat="1" ht="12.75"/>
    <row r="3336" s="135" customFormat="1" ht="12.75"/>
    <row r="3337" s="135" customFormat="1" ht="12.75"/>
    <row r="3338" s="135" customFormat="1" ht="12.75"/>
    <row r="3339" s="135" customFormat="1" ht="12.75"/>
    <row r="3340" s="135" customFormat="1" ht="12.75"/>
    <row r="3341" s="135" customFormat="1" ht="12.75"/>
    <row r="3342" s="135" customFormat="1" ht="12.75"/>
    <row r="3343" s="135" customFormat="1" ht="12.75"/>
    <row r="3344" s="135" customFormat="1" ht="12.75"/>
    <row r="3345" s="135" customFormat="1" ht="12.75"/>
    <row r="3346" s="135" customFormat="1" ht="12.75"/>
    <row r="3347" s="135" customFormat="1" ht="12.75"/>
    <row r="3348" s="135" customFormat="1" ht="12.75"/>
    <row r="3349" s="135" customFormat="1" ht="12.75"/>
    <row r="3350" s="135" customFormat="1" ht="12.75"/>
    <row r="3351" s="135" customFormat="1" ht="12.75"/>
    <row r="3352" s="135" customFormat="1" ht="12.75"/>
    <row r="3353" s="135" customFormat="1" ht="12.75"/>
    <row r="3354" s="135" customFormat="1" ht="12.75"/>
    <row r="3355" s="135" customFormat="1" ht="12.75"/>
    <row r="3356" s="135" customFormat="1" ht="12.75"/>
    <row r="3357" s="135" customFormat="1" ht="12.75"/>
    <row r="3358" s="135" customFormat="1" ht="12.75"/>
    <row r="3359" s="135" customFormat="1" ht="12.75"/>
    <row r="3360" s="135" customFormat="1" ht="12.75"/>
    <row r="3361" s="135" customFormat="1" ht="12.75"/>
    <row r="3362" s="135" customFormat="1" ht="12.75"/>
    <row r="3363" s="135" customFormat="1" ht="12.75"/>
    <row r="3364" s="135" customFormat="1" ht="12.75"/>
    <row r="3365" s="135" customFormat="1" ht="12.75"/>
    <row r="3366" s="135" customFormat="1" ht="12.75"/>
    <row r="3367" s="135" customFormat="1" ht="12.75"/>
    <row r="3368" s="135" customFormat="1" ht="12.75"/>
    <row r="3369" s="135" customFormat="1" ht="12.75"/>
    <row r="3370" s="135" customFormat="1" ht="12.75"/>
    <row r="3371" s="135" customFormat="1" ht="12.75"/>
    <row r="3372" s="135" customFormat="1" ht="12.75"/>
    <row r="3373" s="135" customFormat="1" ht="12.75"/>
    <row r="3374" s="135" customFormat="1" ht="12.75"/>
    <row r="3375" s="135" customFormat="1" ht="12.75"/>
    <row r="3376" s="135" customFormat="1" ht="12.75"/>
    <row r="3377" s="135" customFormat="1" ht="12.75"/>
    <row r="3378" s="135" customFormat="1" ht="12.75"/>
    <row r="3379" s="135" customFormat="1" ht="12.75"/>
    <row r="3380" s="135" customFormat="1" ht="12.75"/>
    <row r="3381" s="135" customFormat="1" ht="12.75"/>
    <row r="3382" s="135" customFormat="1" ht="12.75"/>
    <row r="3383" s="135" customFormat="1" ht="12.75"/>
    <row r="3384" s="135" customFormat="1" ht="12.75"/>
    <row r="3385" s="135" customFormat="1" ht="12.75"/>
    <row r="3386" s="135" customFormat="1" ht="12.75"/>
    <row r="3387" s="135" customFormat="1" ht="12.75"/>
    <row r="3388" s="135" customFormat="1" ht="12.75"/>
    <row r="3389" s="135" customFormat="1" ht="12.75"/>
    <row r="3390" s="135" customFormat="1" ht="12.75"/>
    <row r="3391" s="135" customFormat="1" ht="12.75"/>
    <row r="3392" s="135" customFormat="1" ht="12.75"/>
    <row r="3393" s="135" customFormat="1" ht="12.75"/>
    <row r="3394" s="135" customFormat="1" ht="12.75"/>
    <row r="3395" s="135" customFormat="1" ht="12.75"/>
    <row r="3396" s="135" customFormat="1" ht="12.75"/>
    <row r="3397" s="135" customFormat="1" ht="12.75"/>
    <row r="3398" s="135" customFormat="1" ht="12.75"/>
    <row r="3399" s="135" customFormat="1" ht="12.75"/>
    <row r="3400" s="135" customFormat="1" ht="12.75"/>
    <row r="3401" s="135" customFormat="1" ht="12.75"/>
    <row r="3402" s="135" customFormat="1" ht="12.75"/>
    <row r="3403" s="135" customFormat="1" ht="12.75"/>
    <row r="3404" s="135" customFormat="1" ht="12.75"/>
    <row r="3405" s="135" customFormat="1" ht="12.75"/>
    <row r="3406" s="135" customFormat="1" ht="12.75"/>
    <row r="3407" s="135" customFormat="1" ht="12.75"/>
    <row r="3408" s="135" customFormat="1" ht="12.75"/>
    <row r="3409" s="135" customFormat="1" ht="12.75"/>
    <row r="3410" s="135" customFormat="1" ht="12.75"/>
    <row r="3411" s="135" customFormat="1" ht="12.75"/>
    <row r="3412" s="135" customFormat="1" ht="12.75"/>
    <row r="3413" s="135" customFormat="1" ht="12.75"/>
    <row r="3414" s="135" customFormat="1" ht="12.75"/>
    <row r="3415" s="135" customFormat="1" ht="12.75"/>
    <row r="3416" s="135" customFormat="1" ht="12.75"/>
    <row r="3417" s="135" customFormat="1" ht="12.75"/>
    <row r="3418" s="135" customFormat="1" ht="12.75"/>
    <row r="3419" s="135" customFormat="1" ht="12.75"/>
    <row r="3420" s="135" customFormat="1" ht="12.75"/>
    <row r="3421" s="135" customFormat="1" ht="12.75"/>
    <row r="3422" s="135" customFormat="1" ht="12.75"/>
    <row r="3423" s="135" customFormat="1" ht="12.75"/>
    <row r="3424" s="135" customFormat="1" ht="12.75"/>
    <row r="3425" s="135" customFormat="1" ht="12.75"/>
    <row r="3426" s="135" customFormat="1" ht="12.75"/>
    <row r="3427" s="135" customFormat="1" ht="12.75"/>
    <row r="3428" s="135" customFormat="1" ht="12.75"/>
    <row r="3429" s="135" customFormat="1" ht="12.75"/>
    <row r="3430" s="135" customFormat="1" ht="12.75"/>
    <row r="3431" s="135" customFormat="1" ht="12.75"/>
    <row r="3432" s="135" customFormat="1" ht="12.75"/>
    <row r="3433" s="135" customFormat="1" ht="12.75"/>
    <row r="3434" s="135" customFormat="1" ht="12.75"/>
    <row r="3435" s="135" customFormat="1" ht="12.75"/>
    <row r="3436" s="135" customFormat="1" ht="12.75"/>
    <row r="3437" s="135" customFormat="1" ht="12.75"/>
    <row r="3438" s="135" customFormat="1" ht="12.75"/>
    <row r="3439" s="135" customFormat="1" ht="12.75"/>
    <row r="3440" s="135" customFormat="1" ht="12.75"/>
    <row r="3441" s="135" customFormat="1" ht="12.75"/>
    <row r="3442" s="135" customFormat="1" ht="12.75"/>
    <row r="3443" s="135" customFormat="1" ht="12.75"/>
    <row r="3444" s="135" customFormat="1" ht="12.75"/>
    <row r="3445" s="135" customFormat="1" ht="12.75"/>
    <row r="3446" s="135" customFormat="1" ht="12.75"/>
    <row r="3447" s="135" customFormat="1" ht="12.75"/>
    <row r="3448" s="135" customFormat="1" ht="12.75"/>
    <row r="3449" s="135" customFormat="1" ht="12.75"/>
    <row r="3450" s="135" customFormat="1" ht="12.75"/>
    <row r="3451" s="135" customFormat="1" ht="12.75"/>
    <row r="3452" s="135" customFormat="1" ht="12.75"/>
    <row r="3453" s="135" customFormat="1" ht="12.75"/>
    <row r="3454" s="135" customFormat="1" ht="12.75"/>
    <row r="3455" s="135" customFormat="1" ht="12.75"/>
    <row r="3456" s="135" customFormat="1" ht="12.75"/>
    <row r="3457" s="135" customFormat="1" ht="12.75"/>
    <row r="3458" s="135" customFormat="1" ht="12.75"/>
    <row r="3459" s="135" customFormat="1" ht="12.75"/>
    <row r="3460" s="135" customFormat="1" ht="12.75"/>
    <row r="3461" s="135" customFormat="1" ht="12.75"/>
    <row r="3462" s="135" customFormat="1" ht="12.75"/>
    <row r="3463" s="135" customFormat="1" ht="12.75"/>
    <row r="3464" s="135" customFormat="1" ht="12.75"/>
    <row r="3465" s="135" customFormat="1" ht="12.75"/>
    <row r="3466" s="135" customFormat="1" ht="12.75"/>
    <row r="3467" s="135" customFormat="1" ht="12.75"/>
    <row r="3468" s="135" customFormat="1" ht="12.75"/>
    <row r="3469" s="135" customFormat="1" ht="12.75"/>
    <row r="3470" s="135" customFormat="1" ht="12.75"/>
    <row r="3471" s="135" customFormat="1" ht="12.75"/>
    <row r="3472" s="135" customFormat="1" ht="12.75"/>
    <row r="3473" s="135" customFormat="1" ht="12.75"/>
    <row r="3474" s="135" customFormat="1" ht="12.75"/>
    <row r="3475" s="135" customFormat="1" ht="12.75"/>
    <row r="3476" s="135" customFormat="1" ht="12.75"/>
    <row r="3477" s="135" customFormat="1" ht="12.75"/>
    <row r="3478" s="135" customFormat="1" ht="12.75"/>
    <row r="3479" s="135" customFormat="1" ht="12.75"/>
    <row r="3480" s="135" customFormat="1" ht="12.75"/>
    <row r="3481" s="135" customFormat="1" ht="12.75"/>
    <row r="3482" s="135" customFormat="1" ht="12.75"/>
    <row r="3483" s="135" customFormat="1" ht="12.75"/>
    <row r="3484" s="135" customFormat="1" ht="12.75"/>
    <row r="3485" s="135" customFormat="1" ht="12.75"/>
    <row r="3486" s="135" customFormat="1" ht="12.75"/>
    <row r="3487" s="135" customFormat="1" ht="12.75"/>
    <row r="3488" s="135" customFormat="1" ht="12.75"/>
    <row r="3489" s="135" customFormat="1" ht="12.75"/>
    <row r="3490" s="135" customFormat="1" ht="12.75"/>
    <row r="3491" s="135" customFormat="1" ht="12.75"/>
    <row r="3492" s="135" customFormat="1" ht="12.75"/>
    <row r="3493" s="135" customFormat="1" ht="12.75"/>
    <row r="3494" s="135" customFormat="1" ht="12.75"/>
    <row r="3495" s="135" customFormat="1" ht="12.75"/>
    <row r="3496" s="135" customFormat="1" ht="12.75"/>
    <row r="3497" s="135" customFormat="1" ht="12.75"/>
    <row r="3498" s="135" customFormat="1" ht="12.75"/>
    <row r="3499" s="135" customFormat="1" ht="12.75"/>
    <row r="3500" s="135" customFormat="1" ht="12.75"/>
    <row r="3501" s="135" customFormat="1" ht="12.75"/>
    <row r="3502" s="135" customFormat="1" ht="12.75"/>
    <row r="3503" s="135" customFormat="1" ht="12.75"/>
    <row r="3504" s="135" customFormat="1" ht="12.75"/>
    <row r="3505" s="135" customFormat="1" ht="12.75"/>
    <row r="3506" s="135" customFormat="1" ht="12.75"/>
    <row r="3507" s="135" customFormat="1" ht="12.75"/>
    <row r="3508" s="135" customFormat="1" ht="12.75"/>
    <row r="3509" s="135" customFormat="1" ht="12.75"/>
    <row r="3510" s="135" customFormat="1" ht="12.75"/>
    <row r="3511" s="135" customFormat="1" ht="12.75"/>
    <row r="3512" s="135" customFormat="1" ht="12.75"/>
    <row r="3513" s="135" customFormat="1" ht="12.75"/>
    <row r="3514" s="135" customFormat="1" ht="12.75"/>
    <row r="3515" s="135" customFormat="1" ht="12.75"/>
    <row r="3516" s="135" customFormat="1" ht="12.75"/>
    <row r="3517" s="135" customFormat="1" ht="12.75"/>
    <row r="3518" s="135" customFormat="1" ht="12.75"/>
    <row r="3519" s="135" customFormat="1" ht="12.75"/>
    <row r="3520" s="135" customFormat="1" ht="12.75"/>
    <row r="3521" s="135" customFormat="1" ht="12.75"/>
    <row r="3522" s="135" customFormat="1" ht="12.75"/>
    <row r="3523" s="135" customFormat="1" ht="12.75"/>
    <row r="3524" s="135" customFormat="1" ht="12.75"/>
    <row r="3525" s="135" customFormat="1" ht="12.75"/>
    <row r="3526" s="135" customFormat="1" ht="12.75"/>
    <row r="3527" s="135" customFormat="1" ht="12.75"/>
    <row r="3528" s="135" customFormat="1" ht="12.75"/>
    <row r="3529" s="135" customFormat="1" ht="12.75"/>
    <row r="3530" s="135" customFormat="1" ht="12.75"/>
    <row r="3531" s="135" customFormat="1" ht="12.75"/>
    <row r="3532" s="135" customFormat="1" ht="12.75"/>
    <row r="3533" s="135" customFormat="1" ht="12.75"/>
    <row r="3534" s="135" customFormat="1" ht="12.75"/>
    <row r="3535" s="135" customFormat="1" ht="12.75"/>
    <row r="3536" s="135" customFormat="1" ht="12.75"/>
    <row r="3537" s="135" customFormat="1" ht="12.75"/>
    <row r="3538" s="135" customFormat="1" ht="12.75"/>
    <row r="3539" s="135" customFormat="1" ht="12.75"/>
    <row r="3540" s="135" customFormat="1" ht="12.75"/>
    <row r="3541" s="135" customFormat="1" ht="12.75"/>
    <row r="3542" s="135" customFormat="1" ht="12.75"/>
    <row r="3543" s="135" customFormat="1" ht="12.75"/>
    <row r="3544" s="135" customFormat="1" ht="12.75"/>
    <row r="3545" s="135" customFormat="1" ht="12.75"/>
    <row r="3546" s="135" customFormat="1" ht="12.75"/>
    <row r="3547" s="135" customFormat="1" ht="12.75"/>
    <row r="3548" s="135" customFormat="1" ht="12.75"/>
    <row r="3549" s="135" customFormat="1" ht="12.75"/>
    <row r="3550" s="135" customFormat="1" ht="12.75"/>
    <row r="3551" s="135" customFormat="1" ht="12.75"/>
    <row r="3552" s="135" customFormat="1" ht="12.75"/>
    <row r="3553" s="135" customFormat="1" ht="12.75"/>
    <row r="3554" s="135" customFormat="1" ht="12.75"/>
    <row r="3555" s="135" customFormat="1" ht="12.75"/>
    <row r="3556" s="135" customFormat="1" ht="12.75"/>
    <row r="3557" s="135" customFormat="1" ht="12.75"/>
    <row r="3558" s="135" customFormat="1" ht="12.75"/>
    <row r="3559" s="135" customFormat="1" ht="12.75"/>
    <row r="3560" s="135" customFormat="1" ht="12.75"/>
    <row r="3561" s="135" customFormat="1" ht="12.75"/>
    <row r="3562" s="135" customFormat="1" ht="12.75"/>
    <row r="3563" s="135" customFormat="1" ht="12.75"/>
    <row r="3564" s="135" customFormat="1" ht="12.75"/>
    <row r="3565" s="135" customFormat="1" ht="12.75"/>
    <row r="3566" s="135" customFormat="1" ht="12.75"/>
    <row r="3567" s="135" customFormat="1" ht="12.75"/>
    <row r="3568" s="135" customFormat="1" ht="12.75"/>
    <row r="3569" s="135" customFormat="1" ht="12.75"/>
    <row r="3570" s="135" customFormat="1" ht="12.75"/>
    <row r="3571" s="135" customFormat="1" ht="12.75"/>
    <row r="3572" s="135" customFormat="1" ht="12.75"/>
    <row r="3573" s="135" customFormat="1" ht="12.75"/>
    <row r="3574" s="135" customFormat="1" ht="12.75"/>
    <row r="3575" s="135" customFormat="1" ht="12.75"/>
    <row r="3576" s="135" customFormat="1" ht="12.75"/>
    <row r="3577" s="135" customFormat="1" ht="12.75"/>
    <row r="3578" s="135" customFormat="1" ht="12.75"/>
    <row r="3579" s="135" customFormat="1" ht="12.75"/>
    <row r="3580" s="135" customFormat="1" ht="12.75"/>
    <row r="3581" s="135" customFormat="1" ht="12.75"/>
    <row r="3582" s="135" customFormat="1" ht="12.75"/>
    <row r="3583" s="135" customFormat="1" ht="12.75"/>
    <row r="3584" s="135" customFormat="1" ht="12.75"/>
    <row r="3585" s="135" customFormat="1" ht="12.75"/>
    <row r="3586" s="135" customFormat="1" ht="12.75"/>
    <row r="3587" s="135" customFormat="1" ht="12.75"/>
    <row r="3588" s="135" customFormat="1" ht="12.75"/>
    <row r="3589" s="135" customFormat="1" ht="12.75"/>
    <row r="3590" s="135" customFormat="1" ht="12.75"/>
    <row r="3591" s="135" customFormat="1" ht="12.75"/>
    <row r="3592" s="135" customFormat="1" ht="12.75"/>
    <row r="3593" s="135" customFormat="1" ht="12.75"/>
    <row r="3594" s="135" customFormat="1" ht="12.75"/>
    <row r="3595" s="135" customFormat="1" ht="12.75"/>
    <row r="3596" s="135" customFormat="1" ht="12.75"/>
    <row r="3597" s="135" customFormat="1" ht="12.75"/>
    <row r="3598" s="135" customFormat="1" ht="12.75"/>
    <row r="3599" s="135" customFormat="1" ht="12.75"/>
    <row r="3600" s="135" customFormat="1" ht="12.75"/>
    <row r="3601" s="135" customFormat="1" ht="12.75"/>
    <row r="3602" s="135" customFormat="1" ht="12.75"/>
    <row r="3603" s="135" customFormat="1" ht="12.75"/>
    <row r="3604" s="135" customFormat="1" ht="12.75"/>
    <row r="3605" s="135" customFormat="1" ht="12.75"/>
    <row r="3606" s="135" customFormat="1" ht="12.75"/>
    <row r="3607" s="135" customFormat="1" ht="12.75"/>
    <row r="3608" s="135" customFormat="1" ht="12.75"/>
    <row r="3609" s="135" customFormat="1" ht="12.75"/>
    <row r="3610" s="135" customFormat="1" ht="12.75"/>
    <row r="3611" s="135" customFormat="1" ht="12.75"/>
    <row r="3612" s="135" customFormat="1" ht="12.75"/>
    <row r="3613" s="135" customFormat="1" ht="12.75"/>
    <row r="3614" s="135" customFormat="1" ht="12.75"/>
    <row r="3615" s="135" customFormat="1" ht="12.75"/>
    <row r="3616" s="135" customFormat="1" ht="12.75"/>
    <row r="3617" s="135" customFormat="1" ht="12.75"/>
    <row r="3618" s="135" customFormat="1" ht="12.75"/>
    <row r="3619" s="135" customFormat="1" ht="12.75"/>
    <row r="3620" s="135" customFormat="1" ht="12.75"/>
    <row r="3621" s="135" customFormat="1" ht="12.75"/>
    <row r="3622" s="135" customFormat="1" ht="12.75"/>
    <row r="3623" s="135" customFormat="1" ht="12.75"/>
    <row r="3624" s="135" customFormat="1" ht="12.75"/>
    <row r="3625" s="135" customFormat="1" ht="12.75"/>
    <row r="3626" s="135" customFormat="1" ht="12.75"/>
    <row r="3627" s="135" customFormat="1" ht="12.75"/>
    <row r="3628" s="135" customFormat="1" ht="12.75"/>
    <row r="3629" s="135" customFormat="1" ht="12.75"/>
    <row r="3630" s="135" customFormat="1" ht="12.75"/>
    <row r="3631" s="135" customFormat="1" ht="12.75"/>
    <row r="3632" s="135" customFormat="1" ht="12.75"/>
    <row r="3633" s="135" customFormat="1" ht="12.75"/>
    <row r="3634" s="135" customFormat="1" ht="12.75"/>
    <row r="3635" s="135" customFormat="1" ht="12.75"/>
    <row r="3636" s="135" customFormat="1" ht="12.75"/>
    <row r="3637" s="135" customFormat="1" ht="12.75"/>
    <row r="3638" s="135" customFormat="1" ht="12.75"/>
    <row r="3639" s="135" customFormat="1" ht="12.75"/>
    <row r="3640" s="135" customFormat="1" ht="12.75"/>
    <row r="3641" s="135" customFormat="1" ht="12.75"/>
    <row r="3642" s="135" customFormat="1" ht="12.75"/>
    <row r="3643" s="135" customFormat="1" ht="12.75"/>
    <row r="3644" s="135" customFormat="1" ht="12.75"/>
    <row r="3645" s="135" customFormat="1" ht="12.75"/>
    <row r="3646" s="135" customFormat="1" ht="12.75"/>
    <row r="3647" s="135" customFormat="1" ht="12.75"/>
    <row r="3648" s="135" customFormat="1" ht="12.75"/>
    <row r="3649" s="135" customFormat="1" ht="12.75"/>
    <row r="3650" s="135" customFormat="1" ht="12.75"/>
    <row r="3651" s="135" customFormat="1" ht="12.75"/>
    <row r="3652" s="135" customFormat="1" ht="12.75"/>
    <row r="3653" s="135" customFormat="1" ht="12.75"/>
    <row r="3654" s="135" customFormat="1" ht="12.75"/>
    <row r="3655" s="135" customFormat="1" ht="12.75"/>
    <row r="3656" s="135" customFormat="1" ht="12.75"/>
    <row r="3657" s="135" customFormat="1" ht="12.75"/>
    <row r="3658" s="135" customFormat="1" ht="12.75"/>
    <row r="3659" s="135" customFormat="1" ht="12.75"/>
    <row r="3660" s="135" customFormat="1" ht="12.75"/>
    <row r="3661" s="135" customFormat="1" ht="12.75"/>
    <row r="3662" s="135" customFormat="1" ht="12.75"/>
    <row r="3663" s="135" customFormat="1" ht="12.75"/>
    <row r="3664" s="135" customFormat="1" ht="12.75"/>
    <row r="3665" s="135" customFormat="1" ht="12.75"/>
    <row r="3666" s="135" customFormat="1" ht="12.75"/>
    <row r="3667" s="135" customFormat="1" ht="12.75"/>
    <row r="3668" s="135" customFormat="1" ht="12.75"/>
    <row r="3669" s="135" customFormat="1" ht="12.75"/>
    <row r="3670" s="135" customFormat="1" ht="12.75"/>
    <row r="3671" s="135" customFormat="1" ht="12.75"/>
    <row r="3672" s="135" customFormat="1" ht="12.75"/>
    <row r="3673" s="135" customFormat="1" ht="12.75"/>
    <row r="3674" s="135" customFormat="1" ht="12.75"/>
    <row r="3675" s="135" customFormat="1" ht="12.75"/>
    <row r="3676" s="135" customFormat="1" ht="12.75"/>
    <row r="3677" s="135" customFormat="1" ht="12.75"/>
    <row r="3678" s="135" customFormat="1" ht="12.75"/>
    <row r="3679" s="135" customFormat="1" ht="12.75"/>
    <row r="3680" s="135" customFormat="1" ht="12.75"/>
    <row r="3681" s="135" customFormat="1" ht="12.75"/>
    <row r="3682" s="135" customFormat="1" ht="12.75"/>
    <row r="3683" s="135" customFormat="1" ht="12.75"/>
    <row r="3684" s="135" customFormat="1" ht="12.75"/>
    <row r="3685" s="135" customFormat="1" ht="12.75"/>
    <row r="3686" s="135" customFormat="1" ht="12.75"/>
    <row r="3687" s="135" customFormat="1" ht="12.75"/>
    <row r="3688" s="135" customFormat="1" ht="12.75"/>
    <row r="3689" s="135" customFormat="1" ht="12.75"/>
    <row r="3690" s="135" customFormat="1" ht="12.75"/>
    <row r="3691" s="135" customFormat="1" ht="12.75"/>
    <row r="3692" s="135" customFormat="1" ht="12.75"/>
    <row r="3693" s="135" customFormat="1" ht="12.75"/>
    <row r="3694" s="135" customFormat="1" ht="12.75"/>
    <row r="3695" s="135" customFormat="1" ht="12.75"/>
    <row r="3696" s="135" customFormat="1" ht="12.75"/>
    <row r="3697" s="135" customFormat="1" ht="12.75"/>
    <row r="3698" s="135" customFormat="1" ht="12.75"/>
    <row r="3699" s="135" customFormat="1" ht="12.75"/>
    <row r="3700" s="135" customFormat="1" ht="12.75"/>
    <row r="3701" s="135" customFormat="1" ht="12.75"/>
    <row r="3702" s="135" customFormat="1" ht="12.75"/>
    <row r="3703" s="135" customFormat="1" ht="12.75"/>
    <row r="3704" s="135" customFormat="1" ht="12.75"/>
    <row r="3705" s="135" customFormat="1" ht="12.75"/>
    <row r="3706" s="135" customFormat="1" ht="12.75"/>
    <row r="3707" s="135" customFormat="1" ht="12.75"/>
    <row r="3708" s="135" customFormat="1" ht="12.75"/>
    <row r="3709" s="135" customFormat="1" ht="12.75"/>
    <row r="3710" s="135" customFormat="1" ht="12.75"/>
    <row r="3711" s="135" customFormat="1" ht="12.75"/>
    <row r="3712" s="135" customFormat="1" ht="12.75"/>
    <row r="3713" s="135" customFormat="1" ht="12.75"/>
    <row r="3714" s="135" customFormat="1" ht="12.75"/>
    <row r="3715" s="135" customFormat="1" ht="12.75"/>
    <row r="3716" s="135" customFormat="1" ht="12.75"/>
    <row r="3717" s="135" customFormat="1" ht="12.75"/>
    <row r="3718" s="135" customFormat="1" ht="12.75"/>
    <row r="3719" s="135" customFormat="1" ht="12.75"/>
    <row r="3720" s="135" customFormat="1" ht="12.75"/>
    <row r="3721" s="135" customFormat="1" ht="12.75"/>
    <row r="3722" s="135" customFormat="1" ht="12.75"/>
    <row r="3723" s="135" customFormat="1" ht="12.75"/>
    <row r="3724" s="135" customFormat="1" ht="12.75"/>
    <row r="3725" s="135" customFormat="1" ht="12.75"/>
    <row r="3726" s="135" customFormat="1" ht="12.75"/>
    <row r="3727" s="135" customFormat="1" ht="12.75"/>
    <row r="3728" s="135" customFormat="1" ht="12.75"/>
    <row r="3729" s="135" customFormat="1" ht="12.75"/>
    <row r="3730" s="135" customFormat="1" ht="12.75"/>
    <row r="3731" s="135" customFormat="1" ht="12.75"/>
    <row r="3732" s="135" customFormat="1" ht="12.75"/>
    <row r="3733" s="135" customFormat="1" ht="12.75"/>
    <row r="3734" s="135" customFormat="1" ht="12.75"/>
    <row r="3735" s="135" customFormat="1" ht="12.75"/>
    <row r="3736" s="135" customFormat="1" ht="12.75"/>
    <row r="3737" s="135" customFormat="1" ht="12.75"/>
    <row r="3738" s="135" customFormat="1" ht="12.75"/>
    <row r="3739" s="135" customFormat="1" ht="12.75"/>
    <row r="3740" s="135" customFormat="1" ht="12.75"/>
    <row r="3741" s="135" customFormat="1" ht="12.75"/>
    <row r="3742" s="135" customFormat="1" ht="12.75"/>
    <row r="3743" s="135" customFormat="1" ht="12.75"/>
    <row r="3744" s="135" customFormat="1" ht="12.75"/>
    <row r="3745" s="135" customFormat="1" ht="12.75"/>
    <row r="3746" s="135" customFormat="1" ht="12.75"/>
    <row r="3747" s="135" customFormat="1" ht="12.75"/>
    <row r="3748" s="135" customFormat="1" ht="12.75"/>
    <row r="3749" s="135" customFormat="1" ht="12.75"/>
    <row r="3750" s="135" customFormat="1" ht="12.75"/>
    <row r="3751" s="135" customFormat="1" ht="12.75"/>
    <row r="3752" s="135" customFormat="1" ht="12.75"/>
    <row r="3753" s="135" customFormat="1" ht="12.75"/>
    <row r="3754" s="135" customFormat="1" ht="12.75"/>
    <row r="3755" s="135" customFormat="1" ht="12.75"/>
    <row r="3756" s="135" customFormat="1" ht="12.75"/>
    <row r="3757" s="135" customFormat="1" ht="12.75"/>
    <row r="3758" s="135" customFormat="1" ht="12.75"/>
    <row r="3759" s="135" customFormat="1" ht="12.75"/>
    <row r="3760" s="135" customFormat="1" ht="12.75"/>
    <row r="3761" s="135" customFormat="1" ht="12.75"/>
    <row r="3762" s="135" customFormat="1" ht="12.75"/>
    <row r="3763" s="135" customFormat="1" ht="12.75"/>
    <row r="3764" s="135" customFormat="1" ht="12.75"/>
    <row r="3765" s="135" customFormat="1" ht="12.75"/>
    <row r="3766" s="135" customFormat="1" ht="12.75"/>
    <row r="3767" s="135" customFormat="1" ht="12.75"/>
    <row r="3768" s="135" customFormat="1" ht="12.75"/>
    <row r="3769" s="135" customFormat="1" ht="12.75"/>
    <row r="3770" s="135" customFormat="1" ht="12.75"/>
    <row r="3771" s="135" customFormat="1" ht="12.75"/>
    <row r="3772" s="135" customFormat="1" ht="12.75"/>
    <row r="3773" s="135" customFormat="1" ht="12.75"/>
    <row r="3774" s="135" customFormat="1" ht="12.75"/>
    <row r="3775" s="135" customFormat="1" ht="12.75"/>
    <row r="3776" s="135" customFormat="1" ht="12.75"/>
    <row r="3777" s="135" customFormat="1" ht="12.75"/>
    <row r="3778" s="135" customFormat="1" ht="12.75"/>
    <row r="3779" s="135" customFormat="1" ht="12.75"/>
    <row r="3780" s="135" customFormat="1" ht="12.75"/>
    <row r="3781" s="135" customFormat="1" ht="12.75"/>
    <row r="3782" s="135" customFormat="1" ht="12.75"/>
    <row r="3783" s="135" customFormat="1" ht="12.75"/>
    <row r="3784" s="135" customFormat="1" ht="12.75"/>
    <row r="3785" s="135" customFormat="1" ht="12.75"/>
    <row r="3786" s="135" customFormat="1" ht="12.75"/>
    <row r="3787" s="135" customFormat="1" ht="12.75"/>
    <row r="3788" s="135" customFormat="1" ht="12.75"/>
    <row r="3789" s="135" customFormat="1" ht="12.75"/>
    <row r="3790" s="135" customFormat="1" ht="12.75"/>
    <row r="3791" s="135" customFormat="1" ht="12.75"/>
    <row r="3792" s="135" customFormat="1" ht="12.75"/>
    <row r="3793" s="135" customFormat="1" ht="12.75"/>
    <row r="3794" s="135" customFormat="1" ht="12.75"/>
    <row r="3795" s="135" customFormat="1" ht="12.75"/>
    <row r="3796" s="135" customFormat="1" ht="12.75"/>
    <row r="3797" s="135" customFormat="1" ht="12.75"/>
    <row r="3798" s="135" customFormat="1" ht="12.75"/>
    <row r="3799" s="135" customFormat="1" ht="12.75"/>
    <row r="3800" s="135" customFormat="1" ht="12.75"/>
    <row r="3801" s="135" customFormat="1" ht="12.75"/>
    <row r="3802" s="135" customFormat="1" ht="12.75"/>
    <row r="3803" s="135" customFormat="1" ht="12.75"/>
    <row r="3804" s="135" customFormat="1" ht="12.75"/>
    <row r="3805" s="135" customFormat="1" ht="12.75"/>
    <row r="3806" s="135" customFormat="1" ht="12.75"/>
    <row r="3807" s="135" customFormat="1" ht="12.75"/>
    <row r="3808" s="135" customFormat="1" ht="12.75"/>
    <row r="3809" s="135" customFormat="1" ht="12.75"/>
    <row r="3810" s="135" customFormat="1" ht="12.75"/>
    <row r="3811" s="135" customFormat="1" ht="12.75"/>
    <row r="3812" s="135" customFormat="1" ht="12.75"/>
    <row r="3813" s="135" customFormat="1" ht="12.75"/>
    <row r="3814" s="135" customFormat="1" ht="12.75"/>
    <row r="3815" s="135" customFormat="1" ht="12.75"/>
    <row r="3816" s="135" customFormat="1" ht="12.75"/>
    <row r="3817" s="135" customFormat="1" ht="12.75"/>
    <row r="3818" s="135" customFormat="1" ht="12.75"/>
    <row r="3819" s="135" customFormat="1" ht="12.75"/>
    <row r="3820" s="135" customFormat="1" ht="12.75"/>
    <row r="3821" s="135" customFormat="1" ht="12.75"/>
    <row r="3822" s="135" customFormat="1" ht="12.75"/>
    <row r="3823" s="135" customFormat="1" ht="12.75"/>
    <row r="3824" s="135" customFormat="1" ht="12.75"/>
    <row r="3825" s="135" customFormat="1" ht="12.75"/>
    <row r="3826" s="135" customFormat="1" ht="12.75"/>
    <row r="3827" s="135" customFormat="1" ht="12.75"/>
    <row r="3828" s="135" customFormat="1" ht="12.75"/>
    <row r="3829" s="135" customFormat="1" ht="12.75"/>
    <row r="3830" s="135" customFormat="1" ht="12.75"/>
    <row r="3831" s="135" customFormat="1" ht="12.75"/>
    <row r="3832" s="135" customFormat="1" ht="12.75"/>
    <row r="3833" s="135" customFormat="1" ht="12.75"/>
    <row r="3834" s="135" customFormat="1" ht="12.75"/>
    <row r="3835" s="135" customFormat="1" ht="12.75"/>
    <row r="3836" s="135" customFormat="1" ht="12.75"/>
    <row r="3837" s="135" customFormat="1" ht="12.75"/>
    <row r="3838" s="135" customFormat="1" ht="12.75"/>
    <row r="3839" s="135" customFormat="1" ht="12.75"/>
    <row r="3840" s="135" customFormat="1" ht="12.75"/>
    <row r="3841" s="135" customFormat="1" ht="12.75"/>
    <row r="3842" s="135" customFormat="1" ht="12.75"/>
    <row r="3843" s="135" customFormat="1" ht="12.75"/>
    <row r="3844" s="135" customFormat="1" ht="12.75"/>
    <row r="3845" s="135" customFormat="1" ht="12.75"/>
    <row r="3846" s="135" customFormat="1" ht="12.75"/>
    <row r="3847" s="135" customFormat="1" ht="12.75"/>
    <row r="3848" s="135" customFormat="1" ht="12.75"/>
    <row r="3849" s="135" customFormat="1" ht="12.75"/>
    <row r="3850" s="135" customFormat="1" ht="12.75"/>
    <row r="3851" s="135" customFormat="1" ht="12.75"/>
    <row r="3852" s="135" customFormat="1" ht="12.75"/>
    <row r="3853" s="135" customFormat="1" ht="12.75"/>
    <row r="3854" s="135" customFormat="1" ht="12.75"/>
    <row r="3855" s="135" customFormat="1" ht="12.75"/>
    <row r="3856" s="135" customFormat="1" ht="12.75"/>
    <row r="3857" s="135" customFormat="1" ht="12.75"/>
    <row r="3858" s="135" customFormat="1" ht="12.75"/>
    <row r="3859" s="135" customFormat="1" ht="12.75"/>
    <row r="3860" s="135" customFormat="1" ht="12.75"/>
    <row r="3861" s="135" customFormat="1" ht="12.75"/>
    <row r="3862" s="135" customFormat="1" ht="12.75"/>
    <row r="3863" s="135" customFormat="1" ht="12.75"/>
    <row r="3864" s="135" customFormat="1" ht="12.75"/>
    <row r="3865" s="135" customFormat="1" ht="12.75"/>
    <row r="3866" s="135" customFormat="1" ht="12.75"/>
    <row r="3867" s="135" customFormat="1" ht="12.75"/>
    <row r="3868" s="135" customFormat="1" ht="12.75"/>
    <row r="3869" s="135" customFormat="1" ht="12.75"/>
    <row r="3870" s="135" customFormat="1" ht="12.75"/>
    <row r="3871" s="135" customFormat="1" ht="12.75"/>
    <row r="3872" s="135" customFormat="1" ht="12.75"/>
    <row r="3873" s="135" customFormat="1" ht="12.75"/>
    <row r="3874" s="135" customFormat="1" ht="12.75"/>
    <row r="3875" s="135" customFormat="1" ht="12.75"/>
    <row r="3876" s="135" customFormat="1" ht="12.75"/>
    <row r="3877" s="135" customFormat="1" ht="12.75"/>
    <row r="3878" s="135" customFormat="1" ht="12.75"/>
    <row r="3879" s="135" customFormat="1" ht="12.75"/>
    <row r="3880" s="135" customFormat="1" ht="12.75"/>
    <row r="3881" s="135" customFormat="1" ht="12.75"/>
    <row r="3882" s="135" customFormat="1" ht="12.75"/>
    <row r="3883" s="135" customFormat="1" ht="12.75"/>
    <row r="3884" s="135" customFormat="1" ht="12.75"/>
    <row r="3885" s="135" customFormat="1" ht="12.75"/>
    <row r="3886" s="135" customFormat="1" ht="12.75"/>
    <row r="3887" s="135" customFormat="1" ht="12.75"/>
    <row r="3888" s="135" customFormat="1" ht="12.75"/>
    <row r="3889" s="135" customFormat="1" ht="12.75"/>
    <row r="3890" s="135" customFormat="1" ht="12.75"/>
    <row r="3891" s="135" customFormat="1" ht="12.75"/>
    <row r="3892" s="135" customFormat="1" ht="12.75"/>
    <row r="3893" s="135" customFormat="1" ht="12.75"/>
    <row r="3894" s="135" customFormat="1" ht="12.75"/>
    <row r="3895" s="135" customFormat="1" ht="12.75"/>
    <row r="3896" s="135" customFormat="1" ht="12.75"/>
    <row r="3897" s="135" customFormat="1" ht="12.75"/>
    <row r="3898" s="135" customFormat="1" ht="12.75"/>
    <row r="3899" s="135" customFormat="1" ht="12.75"/>
    <row r="3900" s="135" customFormat="1" ht="12.75"/>
    <row r="3901" s="135" customFormat="1" ht="12.75"/>
    <row r="3902" s="135" customFormat="1" ht="12.75"/>
    <row r="3903" s="135" customFormat="1" ht="12.75"/>
    <row r="3904" s="135" customFormat="1" ht="12.75"/>
    <row r="3905" s="135" customFormat="1" ht="12.75"/>
    <row r="3906" s="135" customFormat="1" ht="12.75"/>
    <row r="3907" s="135" customFormat="1" ht="12.75"/>
    <row r="3908" s="135" customFormat="1" ht="12.75"/>
    <row r="3909" s="135" customFormat="1" ht="12.75"/>
    <row r="3910" s="135" customFormat="1" ht="12.75"/>
    <row r="3911" s="135" customFormat="1" ht="12.75"/>
    <row r="3912" s="135" customFormat="1" ht="12.75"/>
    <row r="3913" s="135" customFormat="1" ht="12.75"/>
    <row r="3914" s="135" customFormat="1" ht="12.75"/>
    <row r="3915" s="135" customFormat="1" ht="12.75"/>
    <row r="3916" s="135" customFormat="1" ht="12.75"/>
    <row r="3917" s="135" customFormat="1" ht="12.75"/>
    <row r="3918" s="135" customFormat="1" ht="12.75"/>
    <row r="3919" s="135" customFormat="1" ht="12.75"/>
    <row r="3920" s="135" customFormat="1" ht="12.75"/>
    <row r="3921" s="135" customFormat="1" ht="12.75"/>
    <row r="3922" s="135" customFormat="1" ht="12.75"/>
    <row r="3923" s="135" customFormat="1" ht="12.75"/>
    <row r="3924" s="135" customFormat="1" ht="12.75"/>
    <row r="3925" s="135" customFormat="1" ht="12.75"/>
    <row r="3926" s="135" customFormat="1" ht="12.75"/>
    <row r="3927" s="135" customFormat="1" ht="12.75"/>
    <row r="3928" s="135" customFormat="1" ht="12.75"/>
    <row r="3929" s="135" customFormat="1" ht="12.75"/>
    <row r="3930" s="135" customFormat="1" ht="12.75"/>
    <row r="3931" s="135" customFormat="1" ht="12.75"/>
    <row r="3932" s="135" customFormat="1" ht="12.75"/>
    <row r="3933" s="135" customFormat="1" ht="12.75"/>
    <row r="3934" s="135" customFormat="1" ht="12.75"/>
    <row r="3935" s="135" customFormat="1" ht="12.75"/>
    <row r="3936" s="135" customFormat="1" ht="12.75"/>
    <row r="3937" s="135" customFormat="1" ht="12.75"/>
    <row r="3938" s="135" customFormat="1" ht="12.75"/>
    <row r="3939" s="135" customFormat="1" ht="12.75"/>
    <row r="3940" s="135" customFormat="1" ht="12.75"/>
    <row r="3941" s="135" customFormat="1" ht="12.75"/>
    <row r="3942" s="135" customFormat="1" ht="12.75"/>
    <row r="3943" s="135" customFormat="1" ht="12.75"/>
    <row r="3944" s="135" customFormat="1" ht="12.75"/>
    <row r="3945" s="135" customFormat="1" ht="12.75"/>
    <row r="3946" s="135" customFormat="1" ht="12.75"/>
    <row r="3947" s="135" customFormat="1" ht="12.75"/>
    <row r="3948" s="135" customFormat="1" ht="12.75"/>
    <row r="3949" s="135" customFormat="1" ht="12.75"/>
    <row r="3950" s="135" customFormat="1" ht="12.75"/>
    <row r="3951" s="135" customFormat="1" ht="12.75"/>
    <row r="3952" s="135" customFormat="1" ht="12.75"/>
    <row r="3953" s="135" customFormat="1" ht="12.75"/>
    <row r="3954" s="135" customFormat="1" ht="12.75"/>
    <row r="3955" s="135" customFormat="1" ht="12.75"/>
    <row r="3956" s="135" customFormat="1" ht="12.75"/>
    <row r="3957" s="135" customFormat="1" ht="12.75"/>
    <row r="3958" s="135" customFormat="1" ht="12.75"/>
    <row r="3959" s="135" customFormat="1" ht="12.75"/>
    <row r="3960" s="135" customFormat="1" ht="12.75"/>
    <row r="3961" s="135" customFormat="1" ht="12.75"/>
    <row r="3962" s="135" customFormat="1" ht="12.75"/>
    <row r="3963" s="135" customFormat="1" ht="12.75"/>
    <row r="3964" s="135" customFormat="1" ht="12.75"/>
    <row r="3965" s="135" customFormat="1" ht="12.75"/>
    <row r="3966" s="135" customFormat="1" ht="12.75"/>
    <row r="3967" s="135" customFormat="1" ht="12.75"/>
    <row r="3968" s="135" customFormat="1" ht="12.75"/>
    <row r="3969" s="135" customFormat="1" ht="12.75"/>
    <row r="3970" s="135" customFormat="1" ht="12.75"/>
    <row r="3971" s="135" customFormat="1" ht="12.75"/>
    <row r="3972" s="135" customFormat="1" ht="12.75"/>
    <row r="3973" s="135" customFormat="1" ht="12.75"/>
    <row r="3974" s="135" customFormat="1" ht="12.75"/>
    <row r="3975" s="135" customFormat="1" ht="12.75"/>
    <row r="3976" s="135" customFormat="1" ht="12.75"/>
    <row r="3977" s="135" customFormat="1" ht="12.75"/>
    <row r="3978" s="135" customFormat="1" ht="12.75"/>
    <row r="3979" s="135" customFormat="1" ht="12.75"/>
    <row r="3980" s="135" customFormat="1" ht="12.75"/>
    <row r="3981" s="135" customFormat="1" ht="12.75"/>
    <row r="3982" s="135" customFormat="1" ht="12.75"/>
    <row r="3983" s="135" customFormat="1" ht="12.75"/>
    <row r="3984" s="135" customFormat="1" ht="12.75"/>
    <row r="3985" s="135" customFormat="1" ht="12.75"/>
    <row r="3986" s="135" customFormat="1" ht="12.75"/>
    <row r="3987" s="135" customFormat="1" ht="12.75"/>
    <row r="3988" s="135" customFormat="1" ht="12.75"/>
    <row r="3989" s="135" customFormat="1" ht="12.75"/>
    <row r="3990" s="135" customFormat="1" ht="12.75"/>
    <row r="3991" s="135" customFormat="1" ht="12.75"/>
    <row r="3992" s="135" customFormat="1" ht="12.75"/>
    <row r="3993" s="135" customFormat="1" ht="12.75"/>
    <row r="3994" s="135" customFormat="1" ht="12.75"/>
    <row r="3995" s="135" customFormat="1" ht="12.75"/>
    <row r="3996" s="135" customFormat="1" ht="12.75"/>
    <row r="3997" s="135" customFormat="1" ht="12.75"/>
    <row r="3998" s="135" customFormat="1" ht="12.75"/>
    <row r="3999" s="135" customFormat="1" ht="12.75"/>
    <row r="4000" s="135" customFormat="1" ht="12.75"/>
    <row r="4001" s="135" customFormat="1" ht="12.75"/>
    <row r="4002" s="135" customFormat="1" ht="12.75"/>
    <row r="4003" s="135" customFormat="1" ht="12.75"/>
    <row r="4004" s="135" customFormat="1" ht="12.75"/>
    <row r="4005" s="135" customFormat="1" ht="12.75"/>
    <row r="4006" s="135" customFormat="1" ht="12.75"/>
    <row r="4007" s="135" customFormat="1" ht="12.75"/>
    <row r="4008" s="135" customFormat="1" ht="12.75"/>
    <row r="4009" s="135" customFormat="1" ht="12.75"/>
    <row r="4010" s="135" customFormat="1" ht="12.75"/>
    <row r="4011" s="135" customFormat="1" ht="12.75"/>
    <row r="4012" s="135" customFormat="1" ht="12.75"/>
    <row r="4013" s="135" customFormat="1" ht="12.75"/>
    <row r="4014" s="135" customFormat="1" ht="12.75"/>
    <row r="4015" s="135" customFormat="1" ht="12.75"/>
    <row r="4016" s="135" customFormat="1" ht="12.75"/>
    <row r="4017" s="135" customFormat="1" ht="12.75"/>
    <row r="4018" s="135" customFormat="1" ht="12.75"/>
    <row r="4019" s="135" customFormat="1" ht="12.75"/>
    <row r="4020" s="135" customFormat="1" ht="12.75"/>
    <row r="4021" s="135" customFormat="1" ht="12.75"/>
    <row r="4022" s="135" customFormat="1" ht="12.75"/>
    <row r="4023" s="135" customFormat="1" ht="12.75"/>
    <row r="4024" s="135" customFormat="1" ht="12.75"/>
    <row r="4025" s="135" customFormat="1" ht="12.75"/>
    <row r="4026" s="135" customFormat="1" ht="12.75"/>
    <row r="4027" s="135" customFormat="1" ht="12.75"/>
    <row r="4028" s="135" customFormat="1" ht="12.75"/>
    <row r="4029" s="135" customFormat="1" ht="12.75"/>
    <row r="4030" s="135" customFormat="1" ht="12.75"/>
    <row r="4031" s="135" customFormat="1" ht="12.75"/>
    <row r="4032" s="135" customFormat="1" ht="12.75"/>
    <row r="4033" s="135" customFormat="1" ht="12.75"/>
    <row r="4034" s="135" customFormat="1" ht="12.75"/>
    <row r="4035" s="135" customFormat="1" ht="12.75"/>
    <row r="4036" s="135" customFormat="1" ht="12.75"/>
    <row r="4037" s="135" customFormat="1" ht="12.75"/>
    <row r="4038" s="135" customFormat="1" ht="12.75"/>
    <row r="4039" s="135" customFormat="1" ht="12.75"/>
    <row r="4040" s="135" customFormat="1" ht="12.75"/>
    <row r="4041" s="135" customFormat="1" ht="12.75"/>
    <row r="4042" s="135" customFormat="1" ht="12.75"/>
    <row r="4043" s="135" customFormat="1" ht="12.75"/>
    <row r="4044" s="135" customFormat="1" ht="12.75"/>
    <row r="4045" s="135" customFormat="1" ht="12.75"/>
    <row r="4046" s="135" customFormat="1" ht="12.75"/>
    <row r="4047" s="135" customFormat="1" ht="12.75"/>
    <row r="4048" s="135" customFormat="1" ht="12.75"/>
    <row r="4049" s="135" customFormat="1" ht="12.75"/>
    <row r="4050" s="135" customFormat="1" ht="12.75"/>
    <row r="4051" s="135" customFormat="1" ht="12.75"/>
    <row r="4052" s="135" customFormat="1" ht="12.75"/>
    <row r="4053" s="135" customFormat="1" ht="12.75"/>
    <row r="4054" s="135" customFormat="1" ht="12.75"/>
    <row r="4055" s="135" customFormat="1" ht="12.75"/>
    <row r="4056" s="135" customFormat="1" ht="12.75"/>
    <row r="4057" s="135" customFormat="1" ht="12.75"/>
    <row r="4058" s="135" customFormat="1" ht="12.75"/>
    <row r="4059" s="135" customFormat="1" ht="12.75"/>
    <row r="4060" s="135" customFormat="1" ht="12.75"/>
    <row r="4061" s="135" customFormat="1" ht="12.75"/>
    <row r="4062" s="135" customFormat="1" ht="12.75"/>
    <row r="4063" s="135" customFormat="1" ht="12.75"/>
    <row r="4064" s="135" customFormat="1" ht="12.75"/>
    <row r="4065" s="135" customFormat="1" ht="12.75"/>
    <row r="4066" s="135" customFormat="1" ht="12.75"/>
    <row r="4067" s="135" customFormat="1" ht="12.75"/>
    <row r="4068" s="135" customFormat="1" ht="12.75"/>
    <row r="4069" s="135" customFormat="1" ht="12.75"/>
    <row r="4070" s="135" customFormat="1" ht="12.75"/>
    <row r="4071" s="135" customFormat="1" ht="12.75"/>
    <row r="4072" s="135" customFormat="1" ht="12.75"/>
    <row r="4073" s="135" customFormat="1" ht="12.75"/>
    <row r="4074" s="135" customFormat="1" ht="12.75"/>
    <row r="4075" s="135" customFormat="1" ht="12.75"/>
    <row r="4076" s="135" customFormat="1" ht="12.75"/>
    <row r="4077" s="135" customFormat="1" ht="12.75"/>
    <row r="4078" s="135" customFormat="1" ht="12.75"/>
    <row r="4079" s="135" customFormat="1" ht="12.75"/>
    <row r="4080" s="135" customFormat="1" ht="12.75"/>
    <row r="4081" s="135" customFormat="1" ht="12.75"/>
    <row r="4082" s="135" customFormat="1" ht="12.75"/>
    <row r="4083" s="135" customFormat="1" ht="12.75"/>
    <row r="4084" s="135" customFormat="1" ht="12.75"/>
    <row r="4085" s="135" customFormat="1" ht="12.75"/>
    <row r="4086" s="135" customFormat="1" ht="12.75"/>
    <row r="4087" s="135" customFormat="1" ht="12.75"/>
    <row r="4088" s="135" customFormat="1" ht="12.75"/>
    <row r="4089" s="135" customFormat="1" ht="12.75"/>
    <row r="4090" s="135" customFormat="1" ht="12.75"/>
    <row r="4091" s="135" customFormat="1" ht="12.75"/>
    <row r="4092" s="135" customFormat="1" ht="12.75"/>
    <row r="4093" s="135" customFormat="1" ht="12.75"/>
    <row r="4094" s="135" customFormat="1" ht="12.75"/>
    <row r="4095" s="135" customFormat="1" ht="12.75"/>
    <row r="4096" s="135" customFormat="1" ht="12.75"/>
    <row r="4097" s="135" customFormat="1" ht="12.75"/>
    <row r="4098" s="135" customFormat="1" ht="12.75"/>
    <row r="4099" s="135" customFormat="1" ht="12.75"/>
    <row r="4100" s="135" customFormat="1" ht="12.75"/>
    <row r="4101" s="135" customFormat="1" ht="12.75"/>
    <row r="4102" s="135" customFormat="1" ht="12.75"/>
    <row r="4103" s="135" customFormat="1" ht="12.75"/>
    <row r="4104" s="135" customFormat="1" ht="12.75"/>
    <row r="4105" s="135" customFormat="1" ht="12.75"/>
    <row r="4106" s="135" customFormat="1" ht="12.75"/>
    <row r="4107" s="135" customFormat="1" ht="12.75"/>
    <row r="4108" s="135" customFormat="1" ht="12.75"/>
    <row r="4109" s="135" customFormat="1" ht="12.75"/>
    <row r="4110" s="135" customFormat="1" ht="12.75"/>
    <row r="4111" s="135" customFormat="1" ht="12.75"/>
    <row r="4112" s="135" customFormat="1" ht="12.75"/>
    <row r="4113" s="135" customFormat="1" ht="12.75"/>
    <row r="4114" s="135" customFormat="1" ht="12.75"/>
    <row r="4115" s="135" customFormat="1" ht="12.75"/>
    <row r="4116" s="135" customFormat="1" ht="12.75"/>
    <row r="4117" s="135" customFormat="1" ht="12.75"/>
    <row r="4118" s="135" customFormat="1" ht="12.75"/>
    <row r="4119" s="135" customFormat="1" ht="12.75"/>
    <row r="4120" s="135" customFormat="1" ht="12.75"/>
    <row r="4121" s="135" customFormat="1" ht="12.75"/>
    <row r="4122" s="135" customFormat="1" ht="12.75"/>
    <row r="4123" s="135" customFormat="1" ht="12.75"/>
    <row r="4124" s="135" customFormat="1" ht="12.75"/>
    <row r="4125" s="135" customFormat="1" ht="12.75"/>
    <row r="4126" s="135" customFormat="1" ht="12.75"/>
    <row r="4127" s="135" customFormat="1" ht="12.75"/>
    <row r="4128" s="135" customFormat="1" ht="12.75"/>
    <row r="4129" s="135" customFormat="1" ht="12.75"/>
    <row r="4130" s="135" customFormat="1" ht="12.75"/>
    <row r="4131" s="135" customFormat="1" ht="12.75"/>
    <row r="4132" s="135" customFormat="1" ht="12.75"/>
    <row r="4133" s="135" customFormat="1" ht="12.75"/>
    <row r="4134" s="135" customFormat="1" ht="12.75"/>
    <row r="4135" s="135" customFormat="1" ht="12.75"/>
    <row r="4136" s="135" customFormat="1" ht="12.75"/>
    <row r="4137" s="135" customFormat="1" ht="12.75"/>
    <row r="4138" s="135" customFormat="1" ht="12.75"/>
    <row r="4139" s="135" customFormat="1" ht="12.75"/>
    <row r="4140" s="135" customFormat="1" ht="12.75"/>
    <row r="4141" s="135" customFormat="1" ht="12.75"/>
    <row r="4142" s="135" customFormat="1" ht="12.75"/>
    <row r="4143" s="135" customFormat="1" ht="12.75"/>
    <row r="4144" s="135" customFormat="1" ht="12.75"/>
    <row r="4145" s="135" customFormat="1" ht="12.75"/>
    <row r="4146" s="135" customFormat="1" ht="12.75"/>
    <row r="4147" s="135" customFormat="1" ht="12.75"/>
    <row r="4148" s="135" customFormat="1" ht="12.75"/>
    <row r="4149" s="135" customFormat="1" ht="12.75"/>
    <row r="4150" s="135" customFormat="1" ht="12.75"/>
    <row r="4151" s="135" customFormat="1" ht="12.75"/>
    <row r="4152" s="135" customFormat="1" ht="12.75"/>
    <row r="4153" s="135" customFormat="1" ht="12.75"/>
    <row r="4154" s="135" customFormat="1" ht="12.75"/>
    <row r="4155" s="135" customFormat="1" ht="12.75"/>
    <row r="4156" s="135" customFormat="1" ht="12.75"/>
    <row r="4157" s="135" customFormat="1" ht="12.75"/>
    <row r="4158" s="135" customFormat="1" ht="12.75"/>
    <row r="4159" s="135" customFormat="1" ht="12.75"/>
    <row r="4160" s="135" customFormat="1" ht="12.75"/>
    <row r="4161" s="135" customFormat="1" ht="12.75"/>
    <row r="4162" s="135" customFormat="1" ht="12.75"/>
    <row r="4163" s="135" customFormat="1" ht="12.75"/>
    <row r="4164" s="135" customFormat="1" ht="12.75"/>
    <row r="4165" s="135" customFormat="1" ht="12.75"/>
    <row r="4166" s="135" customFormat="1" ht="12.75"/>
    <row r="4167" s="135" customFormat="1" ht="12.75"/>
    <row r="4168" s="135" customFormat="1" ht="12.75"/>
    <row r="4169" s="135" customFormat="1" ht="12.75"/>
    <row r="4170" s="135" customFormat="1" ht="12.75"/>
    <row r="4171" s="135" customFormat="1" ht="12.75"/>
    <row r="4172" s="135" customFormat="1" ht="12.75"/>
    <row r="4173" s="135" customFormat="1" ht="12.75"/>
    <row r="4174" s="135" customFormat="1" ht="12.75"/>
    <row r="4175" s="135" customFormat="1" ht="12.75"/>
    <row r="4176" s="135" customFormat="1" ht="12.75"/>
    <row r="4177" s="135" customFormat="1" ht="12.75"/>
    <row r="4178" s="135" customFormat="1" ht="12.75"/>
    <row r="4179" s="135" customFormat="1" ht="12.75"/>
    <row r="4180" s="135" customFormat="1" ht="12.75"/>
    <row r="4181" s="135" customFormat="1" ht="12.75"/>
    <row r="4182" s="135" customFormat="1" ht="12.75"/>
    <row r="4183" s="135" customFormat="1" ht="12.75"/>
    <row r="4184" s="135" customFormat="1" ht="12.75"/>
    <row r="4185" s="135" customFormat="1" ht="12.75"/>
    <row r="4186" s="135" customFormat="1" ht="12.75"/>
    <row r="4187" s="135" customFormat="1" ht="12.75"/>
    <row r="4188" s="135" customFormat="1" ht="12.75"/>
    <row r="4189" s="135" customFormat="1" ht="12.75"/>
    <row r="4190" s="135" customFormat="1" ht="12.75"/>
    <row r="4191" s="135" customFormat="1" ht="12.75"/>
    <row r="4192" s="135" customFormat="1" ht="12.75"/>
    <row r="4193" s="135" customFormat="1" ht="12.75"/>
    <row r="4194" s="135" customFormat="1" ht="12.75"/>
    <row r="4195" s="135" customFormat="1" ht="12.75"/>
    <row r="4196" s="135" customFormat="1" ht="12.75"/>
    <row r="4197" s="135" customFormat="1" ht="12.75"/>
    <row r="4198" s="135" customFormat="1" ht="12.75"/>
    <row r="4199" s="135" customFormat="1" ht="12.75"/>
    <row r="4200" s="135" customFormat="1" ht="12.75"/>
    <row r="4201" s="135" customFormat="1" ht="12.75"/>
    <row r="4202" s="135" customFormat="1" ht="12.75"/>
    <row r="4203" s="135" customFormat="1" ht="12.75"/>
    <row r="4204" s="135" customFormat="1" ht="12.75"/>
    <row r="4205" s="135" customFormat="1" ht="12.75"/>
    <row r="4206" s="135" customFormat="1" ht="12.75"/>
    <row r="4207" s="135" customFormat="1" ht="12.75"/>
    <row r="4208" s="135" customFormat="1" ht="12.75"/>
    <row r="4209" s="135" customFormat="1" ht="12.75"/>
    <row r="4210" s="135" customFormat="1" ht="12.75"/>
    <row r="4211" s="135" customFormat="1" ht="12.75"/>
    <row r="4212" s="135" customFormat="1" ht="12.75"/>
    <row r="4213" s="135" customFormat="1" ht="12.75"/>
    <row r="4214" s="135" customFormat="1" ht="12.75"/>
    <row r="4215" s="135" customFormat="1" ht="12.75"/>
    <row r="4216" s="135" customFormat="1" ht="12.75"/>
    <row r="4217" s="135" customFormat="1" ht="12.75"/>
    <row r="4218" s="135" customFormat="1" ht="12.75"/>
    <row r="4219" s="135" customFormat="1" ht="12.75"/>
    <row r="4220" s="135" customFormat="1" ht="12.75"/>
    <row r="4221" s="135" customFormat="1" ht="12.75"/>
    <row r="4222" s="135" customFormat="1" ht="12.75"/>
    <row r="4223" s="135" customFormat="1" ht="12.75"/>
    <row r="4224" s="135" customFormat="1" ht="12.75"/>
    <row r="4225" s="135" customFormat="1" ht="12.75"/>
    <row r="4226" s="135" customFormat="1" ht="12.75"/>
    <row r="4227" s="135" customFormat="1" ht="12.75"/>
    <row r="4228" s="135" customFormat="1" ht="12.75"/>
    <row r="4229" s="135" customFormat="1" ht="12.75"/>
    <row r="4230" s="135" customFormat="1" ht="12.75"/>
    <row r="4231" s="135" customFormat="1" ht="12.75"/>
    <row r="4232" s="135" customFormat="1" ht="12.75"/>
    <row r="4233" s="135" customFormat="1" ht="12.75"/>
    <row r="4234" s="135" customFormat="1" ht="12.75"/>
    <row r="4235" s="135" customFormat="1" ht="12.75"/>
    <row r="4236" s="135" customFormat="1" ht="12.75"/>
    <row r="4237" s="135" customFormat="1" ht="12.75"/>
    <row r="4238" s="135" customFormat="1" ht="12.75"/>
    <row r="4239" s="135" customFormat="1" ht="12.75"/>
    <row r="4240" s="135" customFormat="1" ht="12.75"/>
    <row r="4241" s="135" customFormat="1" ht="12.75"/>
    <row r="4242" s="135" customFormat="1" ht="12.75"/>
    <row r="4243" s="135" customFormat="1" ht="12.75"/>
    <row r="4244" s="135" customFormat="1" ht="12.75"/>
    <row r="4245" s="135" customFormat="1" ht="12.75"/>
    <row r="4246" s="135" customFormat="1" ht="12.75"/>
    <row r="4247" s="135" customFormat="1" ht="12.75"/>
    <row r="4248" s="135" customFormat="1" ht="12.75"/>
    <row r="4249" s="135" customFormat="1" ht="12.75"/>
    <row r="4250" s="135" customFormat="1" ht="12.75"/>
    <row r="4251" s="135" customFormat="1" ht="12.75"/>
    <row r="4252" s="135" customFormat="1" ht="12.75"/>
    <row r="4253" s="135" customFormat="1" ht="12.75"/>
    <row r="4254" s="135" customFormat="1" ht="12.75"/>
    <row r="4255" s="135" customFormat="1" ht="12.75"/>
    <row r="4256" s="135" customFormat="1" ht="12.75"/>
    <row r="4257" s="135" customFormat="1" ht="12.75"/>
    <row r="4258" s="135" customFormat="1" ht="12.75"/>
    <row r="4259" s="135" customFormat="1" ht="12.75"/>
    <row r="4260" s="135" customFormat="1" ht="12.75"/>
    <row r="4261" s="135" customFormat="1" ht="12.75"/>
    <row r="4262" s="135" customFormat="1" ht="12.75"/>
    <row r="4263" s="135" customFormat="1" ht="12.75"/>
    <row r="4264" s="135" customFormat="1" ht="12.75"/>
    <row r="4265" s="135" customFormat="1" ht="12.75"/>
    <row r="4266" s="135" customFormat="1" ht="12.75"/>
    <row r="4267" s="135" customFormat="1" ht="12.75"/>
    <row r="4268" s="135" customFormat="1" ht="12.75"/>
    <row r="4269" s="135" customFormat="1" ht="12.75"/>
    <row r="4270" s="135" customFormat="1" ht="12.75"/>
    <row r="4271" s="135" customFormat="1" ht="12.75"/>
    <row r="4272" s="135" customFormat="1" ht="12.75"/>
    <row r="4273" s="135" customFormat="1" ht="12.75"/>
    <row r="4274" s="135" customFormat="1" ht="12.75"/>
    <row r="4275" s="135" customFormat="1" ht="12.75"/>
    <row r="4276" s="135" customFormat="1" ht="12.75"/>
    <row r="4277" s="135" customFormat="1" ht="12.75"/>
    <row r="4278" s="135" customFormat="1" ht="12.75"/>
    <row r="4279" s="135" customFormat="1" ht="12.75"/>
    <row r="4280" s="135" customFormat="1" ht="12.75"/>
    <row r="4281" s="135" customFormat="1" ht="12.75"/>
    <row r="4282" s="135" customFormat="1" ht="12.75"/>
    <row r="4283" s="135" customFormat="1" ht="12.75"/>
    <row r="4284" s="135" customFormat="1" ht="12.75"/>
    <row r="4285" s="135" customFormat="1" ht="12.75"/>
    <row r="4286" s="135" customFormat="1" ht="12.75"/>
    <row r="4287" s="135" customFormat="1" ht="12.75"/>
    <row r="4288" s="135" customFormat="1" ht="12.75"/>
    <row r="4289" s="135" customFormat="1" ht="12.75"/>
    <row r="4290" s="135" customFormat="1" ht="12.75"/>
    <row r="4291" s="135" customFormat="1" ht="12.75"/>
    <row r="4292" s="135" customFormat="1" ht="12.75"/>
    <row r="4293" s="135" customFormat="1" ht="12.75"/>
    <row r="4294" s="135" customFormat="1" ht="12.75"/>
    <row r="4295" s="135" customFormat="1" ht="12.75"/>
    <row r="4296" s="135" customFormat="1" ht="12.75"/>
    <row r="4297" s="135" customFormat="1" ht="12.75"/>
    <row r="4298" s="135" customFormat="1" ht="12.75"/>
    <row r="4299" s="135" customFormat="1" ht="12.75"/>
    <row r="4300" s="135" customFormat="1" ht="12.75"/>
    <row r="4301" s="135" customFormat="1" ht="12.75"/>
    <row r="4302" s="135" customFormat="1" ht="12.75"/>
    <row r="4303" s="135" customFormat="1" ht="12.75"/>
    <row r="4304" s="135" customFormat="1" ht="12.75"/>
    <row r="4305" s="135" customFormat="1" ht="12.75"/>
    <row r="4306" s="135" customFormat="1" ht="12.75"/>
    <row r="4307" s="135" customFormat="1" ht="12.75"/>
    <row r="4308" s="135" customFormat="1" ht="12.75"/>
    <row r="4309" s="135" customFormat="1" ht="12.75"/>
    <row r="4310" s="135" customFormat="1" ht="12.75"/>
    <row r="4311" s="135" customFormat="1" ht="12.75"/>
    <row r="4312" s="135" customFormat="1" ht="12.75"/>
    <row r="4313" s="135" customFormat="1" ht="12.75"/>
    <row r="4314" s="135" customFormat="1" ht="12.75"/>
    <row r="4315" s="135" customFormat="1" ht="12.75"/>
    <row r="4316" s="135" customFormat="1" ht="12.75"/>
    <row r="4317" s="135" customFormat="1" ht="12.75"/>
    <row r="4318" s="135" customFormat="1" ht="12.75"/>
    <row r="4319" s="135" customFormat="1" ht="12.75"/>
    <row r="4320" s="135" customFormat="1" ht="12.75"/>
    <row r="4321" s="135" customFormat="1" ht="12.75"/>
    <row r="4322" s="135" customFormat="1" ht="12.75"/>
    <row r="4323" s="135" customFormat="1" ht="12.75"/>
    <row r="4324" s="135" customFormat="1" ht="12.75"/>
    <row r="4325" s="135" customFormat="1" ht="12.75"/>
    <row r="4326" s="135" customFormat="1" ht="12.75"/>
    <row r="4327" s="135" customFormat="1" ht="12.75"/>
    <row r="4328" s="135" customFormat="1" ht="12.75"/>
    <row r="4329" s="135" customFormat="1" ht="12.75"/>
    <row r="4330" s="135" customFormat="1" ht="12.75"/>
    <row r="4331" s="135" customFormat="1" ht="12.75"/>
    <row r="4332" s="135" customFormat="1" ht="12.75"/>
    <row r="4333" s="135" customFormat="1" ht="12.75"/>
    <row r="4334" s="135" customFormat="1" ht="12.75"/>
    <row r="4335" s="135" customFormat="1" ht="12.75"/>
    <row r="4336" s="135" customFormat="1" ht="12.75"/>
    <row r="4337" s="135" customFormat="1" ht="12.75"/>
    <row r="4338" s="135" customFormat="1" ht="12.75"/>
    <row r="4339" s="135" customFormat="1" ht="12.75"/>
    <row r="4340" s="135" customFormat="1" ht="12.75"/>
    <row r="4341" s="135" customFormat="1" ht="12.75"/>
    <row r="4342" s="135" customFormat="1" ht="12.75"/>
    <row r="4343" s="135" customFormat="1" ht="12.75"/>
    <row r="4344" s="135" customFormat="1" ht="12.75"/>
    <row r="4345" s="135" customFormat="1" ht="12.75"/>
    <row r="4346" s="135" customFormat="1" ht="12.75"/>
    <row r="4347" s="135" customFormat="1" ht="12.75"/>
    <row r="4348" s="135" customFormat="1" ht="12.75"/>
    <row r="4349" s="135" customFormat="1" ht="12.75"/>
    <row r="4350" s="135" customFormat="1" ht="12.75"/>
    <row r="4351" s="135" customFormat="1" ht="12.75"/>
    <row r="4352" s="135" customFormat="1" ht="12.75"/>
    <row r="4353" s="135" customFormat="1" ht="12.75"/>
    <row r="4354" s="135" customFormat="1" ht="12.75"/>
    <row r="4355" s="135" customFormat="1" ht="12.75"/>
    <row r="4356" s="135" customFormat="1" ht="12.75"/>
    <row r="4357" s="135" customFormat="1" ht="12.75"/>
    <row r="4358" s="135" customFormat="1" ht="12.75"/>
    <row r="4359" s="135" customFormat="1" ht="12.75"/>
    <row r="4360" s="135" customFormat="1" ht="12.75"/>
    <row r="4361" s="135" customFormat="1" ht="12.75"/>
    <row r="4362" s="135" customFormat="1" ht="12.75"/>
    <row r="4363" s="135" customFormat="1" ht="12.75"/>
    <row r="4364" s="135" customFormat="1" ht="12.75"/>
    <row r="4365" s="135" customFormat="1" ht="12.75"/>
    <row r="4366" s="135" customFormat="1" ht="12.75"/>
    <row r="4367" s="135" customFormat="1" ht="12.75"/>
    <row r="4368" s="135" customFormat="1" ht="12.75"/>
    <row r="4369" s="135" customFormat="1" ht="12.75"/>
    <row r="4370" s="135" customFormat="1" ht="12.75"/>
    <row r="4371" s="135" customFormat="1" ht="12.75"/>
    <row r="4372" s="135" customFormat="1" ht="12.75"/>
    <row r="4373" s="135" customFormat="1" ht="12.75"/>
    <row r="4374" s="135" customFormat="1" ht="12.75"/>
    <row r="4375" s="135" customFormat="1" ht="12.75"/>
    <row r="4376" s="135" customFormat="1" ht="12.75"/>
    <row r="4377" s="135" customFormat="1" ht="12.75"/>
    <row r="4378" s="135" customFormat="1" ht="12.75"/>
    <row r="4379" s="135" customFormat="1" ht="12.75"/>
    <row r="4380" s="135" customFormat="1" ht="12.75"/>
    <row r="4381" s="135" customFormat="1" ht="12.75"/>
    <row r="4382" s="135" customFormat="1" ht="12.75"/>
    <row r="4383" s="135" customFormat="1" ht="12.75"/>
    <row r="4384" s="135" customFormat="1" ht="12.75"/>
    <row r="4385" s="135" customFormat="1" ht="12.75"/>
    <row r="4386" s="135" customFormat="1" ht="12.75"/>
    <row r="4387" s="135" customFormat="1" ht="12.75"/>
    <row r="4388" s="135" customFormat="1" ht="12.75"/>
    <row r="4389" s="135" customFormat="1" ht="12.75"/>
    <row r="4390" s="135" customFormat="1" ht="12.75"/>
    <row r="4391" s="135" customFormat="1" ht="12.75"/>
    <row r="4392" s="135" customFormat="1" ht="12.75"/>
    <row r="4393" s="135" customFormat="1" ht="12.75"/>
    <row r="4394" s="135" customFormat="1" ht="12.75"/>
    <row r="4395" s="135" customFormat="1" ht="12.75"/>
    <row r="4396" s="135" customFormat="1" ht="12.75"/>
    <row r="4397" s="135" customFormat="1" ht="12.75"/>
    <row r="4398" s="135" customFormat="1" ht="12.75"/>
    <row r="4399" s="135" customFormat="1" ht="12.75"/>
    <row r="4400" s="135" customFormat="1" ht="12.75"/>
    <row r="4401" s="135" customFormat="1" ht="12.75"/>
    <row r="4402" s="135" customFormat="1" ht="12.75"/>
    <row r="4403" s="135" customFormat="1" ht="12.75"/>
    <row r="4404" s="135" customFormat="1" ht="12.75"/>
    <row r="4405" s="135" customFormat="1" ht="12.75"/>
    <row r="4406" s="135" customFormat="1" ht="12.75"/>
    <row r="4407" s="135" customFormat="1" ht="12.75"/>
    <row r="4408" s="135" customFormat="1" ht="12.75"/>
    <row r="4409" s="135" customFormat="1" ht="12.75"/>
    <row r="4410" s="135" customFormat="1" ht="12.75"/>
    <row r="4411" s="135" customFormat="1" ht="12.75"/>
    <row r="4412" s="135" customFormat="1" ht="12.75"/>
    <row r="4413" s="135" customFormat="1" ht="12.75"/>
    <row r="4414" s="135" customFormat="1" ht="12.75"/>
    <row r="4415" s="135" customFormat="1" ht="12.75"/>
    <row r="4416" s="135" customFormat="1" ht="12.75"/>
    <row r="4417" s="135" customFormat="1" ht="12.75"/>
    <row r="4418" s="135" customFormat="1" ht="12.75"/>
    <row r="4419" s="135" customFormat="1" ht="12.75"/>
    <row r="4420" s="135" customFormat="1" ht="12.75"/>
    <row r="4421" s="135" customFormat="1" ht="12.75"/>
    <row r="4422" s="135" customFormat="1" ht="12.75"/>
    <row r="4423" s="135" customFormat="1" ht="12.75"/>
    <row r="4424" s="135" customFormat="1" ht="12.75"/>
    <row r="4425" s="135" customFormat="1" ht="12.75"/>
    <row r="4426" s="135" customFormat="1" ht="12.75"/>
    <row r="4427" s="135" customFormat="1" ht="12.75"/>
    <row r="4428" s="135" customFormat="1" ht="12.75"/>
    <row r="4429" s="135" customFormat="1" ht="12.75"/>
    <row r="4430" s="135" customFormat="1" ht="12.75"/>
    <row r="4431" s="135" customFormat="1" ht="12.75"/>
    <row r="4432" s="135" customFormat="1" ht="12.75"/>
    <row r="4433" s="135" customFormat="1" ht="12.75"/>
    <row r="4434" s="135" customFormat="1" ht="12.75"/>
    <row r="4435" s="135" customFormat="1" ht="12.75"/>
    <row r="4436" s="135" customFormat="1" ht="12.75"/>
    <row r="4437" s="135" customFormat="1" ht="12.75"/>
    <row r="4438" s="135" customFormat="1" ht="12.75"/>
    <row r="4439" s="135" customFormat="1" ht="12.75"/>
    <row r="4440" s="135" customFormat="1" ht="12.75"/>
    <row r="4441" s="135" customFormat="1" ht="12.75"/>
    <row r="4442" s="135" customFormat="1" ht="12.75"/>
    <row r="4443" s="135" customFormat="1" ht="12.75"/>
    <row r="4444" s="135" customFormat="1" ht="12.75"/>
    <row r="4445" s="135" customFormat="1" ht="12.75"/>
    <row r="4446" s="135" customFormat="1" ht="12.75"/>
    <row r="4447" s="135" customFormat="1" ht="12.75"/>
    <row r="4448" s="135" customFormat="1" ht="12.75"/>
    <row r="4449" s="135" customFormat="1" ht="12.75"/>
    <row r="4450" s="135" customFormat="1" ht="12.75"/>
    <row r="4451" s="135" customFormat="1" ht="12.75"/>
    <row r="4452" s="135" customFormat="1" ht="12.75"/>
    <row r="4453" s="135" customFormat="1" ht="12.75"/>
    <row r="4454" s="135" customFormat="1" ht="12.75"/>
    <row r="4455" s="135" customFormat="1" ht="12.75"/>
    <row r="4456" s="135" customFormat="1" ht="12.75"/>
    <row r="4457" s="135" customFormat="1" ht="12.75"/>
    <row r="4458" s="135" customFormat="1" ht="12.75"/>
    <row r="4459" s="135" customFormat="1" ht="12.75"/>
    <row r="4460" s="135" customFormat="1" ht="12.75"/>
    <row r="4461" s="135" customFormat="1" ht="12.75"/>
    <row r="4462" s="135" customFormat="1" ht="12.75"/>
    <row r="4463" s="135" customFormat="1" ht="12.75"/>
    <row r="4464" s="135" customFormat="1" ht="12.75"/>
    <row r="4465" s="135" customFormat="1" ht="12.75"/>
    <row r="4466" s="135" customFormat="1" ht="12.75"/>
    <row r="4467" s="135" customFormat="1" ht="12.75"/>
    <row r="4468" s="135" customFormat="1" ht="12.75"/>
    <row r="4469" s="135" customFormat="1" ht="12.75"/>
    <row r="4470" s="135" customFormat="1" ht="12.75"/>
    <row r="4471" s="135" customFormat="1" ht="12.75"/>
    <row r="4472" s="135" customFormat="1" ht="12.75"/>
    <row r="4473" s="135" customFormat="1" ht="12.75"/>
    <row r="4474" s="135" customFormat="1" ht="12.75"/>
    <row r="4475" s="135" customFormat="1" ht="12.75"/>
    <row r="4476" s="135" customFormat="1" ht="12.75"/>
    <row r="4477" s="135" customFormat="1" ht="12.75"/>
    <row r="4478" s="135" customFormat="1" ht="12.75"/>
    <row r="4479" s="135" customFormat="1" ht="12.75"/>
    <row r="4480" s="135" customFormat="1" ht="12.75"/>
    <row r="4481" s="135" customFormat="1" ht="12.75"/>
    <row r="4482" s="135" customFormat="1" ht="12.75"/>
    <row r="4483" s="135" customFormat="1" ht="12.75"/>
    <row r="4484" s="135" customFormat="1" ht="12.75"/>
    <row r="4485" s="135" customFormat="1" ht="12.75"/>
    <row r="4486" s="135" customFormat="1" ht="12.75"/>
    <row r="4487" s="135" customFormat="1" ht="12.75"/>
    <row r="4488" s="135" customFormat="1" ht="12.75"/>
    <row r="4489" s="135" customFormat="1" ht="12.75"/>
    <row r="4490" s="135" customFormat="1" ht="12.75"/>
    <row r="4491" s="135" customFormat="1" ht="12.75"/>
    <row r="4492" s="135" customFormat="1" ht="12.75"/>
    <row r="4493" s="135" customFormat="1" ht="12.75"/>
    <row r="4494" s="135" customFormat="1" ht="12.75"/>
    <row r="4495" s="135" customFormat="1" ht="12.75"/>
    <row r="4496" s="135" customFormat="1" ht="12.75"/>
    <row r="4497" s="135" customFormat="1" ht="12.75"/>
    <row r="4498" s="135" customFormat="1" ht="12.75"/>
    <row r="4499" s="135" customFormat="1" ht="12.75"/>
    <row r="4500" s="135" customFormat="1" ht="12.75"/>
    <row r="4501" s="135" customFormat="1" ht="12.75"/>
    <row r="4502" s="135" customFormat="1" ht="12.75"/>
    <row r="4503" s="135" customFormat="1" ht="12.75"/>
    <row r="4504" s="135" customFormat="1" ht="12.75"/>
    <row r="4505" s="135" customFormat="1" ht="12.75"/>
    <row r="4506" s="135" customFormat="1" ht="12.75"/>
    <row r="4507" s="135" customFormat="1" ht="12.75"/>
    <row r="4508" s="135" customFormat="1" ht="12.75"/>
    <row r="4509" s="135" customFormat="1" ht="12.75"/>
    <row r="4510" s="135" customFormat="1" ht="12.75"/>
    <row r="4511" s="135" customFormat="1" ht="12.75"/>
    <row r="4512" s="135" customFormat="1" ht="12.75"/>
    <row r="4513" s="135" customFormat="1" ht="12.75"/>
    <row r="4514" s="135" customFormat="1" ht="12.75"/>
    <row r="4515" s="135" customFormat="1" ht="12.75"/>
    <row r="4516" s="135" customFormat="1" ht="12.75"/>
    <row r="4517" s="135" customFormat="1" ht="12.75"/>
    <row r="4518" s="135" customFormat="1" ht="12.75"/>
    <row r="4519" s="135" customFormat="1" ht="12.75"/>
    <row r="4520" s="135" customFormat="1" ht="12.75"/>
    <row r="4521" s="135" customFormat="1" ht="12.75"/>
    <row r="4522" s="135" customFormat="1" ht="12.75"/>
    <row r="4523" s="135" customFormat="1" ht="12.75"/>
    <row r="4524" s="135" customFormat="1" ht="12.75"/>
    <row r="4525" s="135" customFormat="1" ht="12.75"/>
    <row r="4526" s="135" customFormat="1" ht="12.75"/>
    <row r="4527" s="135" customFormat="1" ht="12.75"/>
    <row r="4528" s="135" customFormat="1" ht="12.75"/>
    <row r="4529" s="135" customFormat="1" ht="12.75"/>
    <row r="4530" s="135" customFormat="1" ht="12.75"/>
    <row r="4531" s="135" customFormat="1" ht="12.75"/>
    <row r="4532" s="135" customFormat="1" ht="12.75"/>
    <row r="4533" s="135" customFormat="1" ht="12.75"/>
    <row r="4534" s="135" customFormat="1" ht="12.75"/>
    <row r="4535" s="135" customFormat="1" ht="12.75"/>
    <row r="4536" s="135" customFormat="1" ht="12.75"/>
    <row r="4537" s="135" customFormat="1" ht="12.75"/>
    <row r="4538" s="135" customFormat="1" ht="12.75"/>
    <row r="4539" s="135" customFormat="1" ht="12.75"/>
    <row r="4540" s="135" customFormat="1" ht="12.75"/>
    <row r="4541" s="135" customFormat="1" ht="12.75"/>
    <row r="4542" s="135" customFormat="1" ht="12.75"/>
    <row r="4543" s="135" customFormat="1" ht="12.75"/>
    <row r="4544" s="135" customFormat="1" ht="12.75"/>
    <row r="4545" s="135" customFormat="1" ht="12.75"/>
    <row r="4546" s="135" customFormat="1" ht="12.75"/>
    <row r="4547" s="135" customFormat="1" ht="12.75"/>
    <row r="4548" s="135" customFormat="1" ht="12.75"/>
    <row r="4549" s="135" customFormat="1" ht="12.75"/>
    <row r="4550" s="135" customFormat="1" ht="12.75"/>
    <row r="4551" s="135" customFormat="1" ht="12.75"/>
    <row r="4552" s="135" customFormat="1" ht="12.75"/>
    <row r="4553" s="135" customFormat="1" ht="12.75"/>
    <row r="4554" s="135" customFormat="1" ht="12.75"/>
    <row r="4555" s="135" customFormat="1" ht="12.75"/>
    <row r="4556" s="135" customFormat="1" ht="12.75"/>
    <row r="4557" s="135" customFormat="1" ht="12.75"/>
    <row r="4558" s="135" customFormat="1" ht="12.75"/>
    <row r="4559" s="135" customFormat="1" ht="12.75"/>
    <row r="4560" s="135" customFormat="1" ht="12.75"/>
    <row r="4561" s="135" customFormat="1" ht="12.75"/>
    <row r="4562" s="135" customFormat="1" ht="12.75"/>
    <row r="4563" s="135" customFormat="1" ht="12.75"/>
    <row r="4564" s="135" customFormat="1" ht="12.75"/>
    <row r="4565" s="135" customFormat="1" ht="12.75"/>
    <row r="4566" s="135" customFormat="1" ht="12.75"/>
    <row r="4567" s="135" customFormat="1" ht="12.75"/>
    <row r="4568" s="135" customFormat="1" ht="12.75"/>
    <row r="4569" s="135" customFormat="1" ht="12.75"/>
    <row r="4570" s="135" customFormat="1" ht="12.75"/>
    <row r="4571" s="135" customFormat="1" ht="12.75"/>
    <row r="4572" s="135" customFormat="1" ht="12.75"/>
    <row r="4573" s="135" customFormat="1" ht="12.75"/>
    <row r="4574" s="135" customFormat="1" ht="12.75"/>
    <row r="4575" s="135" customFormat="1" ht="12.75"/>
    <row r="4576" s="135" customFormat="1" ht="12.75"/>
    <row r="4577" s="135" customFormat="1" ht="12.75"/>
    <row r="4578" s="135" customFormat="1" ht="12.75"/>
    <row r="4579" s="135" customFormat="1" ht="12.75"/>
    <row r="4580" s="135" customFormat="1" ht="12.75"/>
    <row r="4581" s="135" customFormat="1" ht="12.75"/>
    <row r="4582" s="135" customFormat="1" ht="12.75"/>
    <row r="4583" s="135" customFormat="1" ht="12.75"/>
    <row r="4584" s="135" customFormat="1" ht="12.75"/>
    <row r="4585" s="135" customFormat="1" ht="12.75"/>
    <row r="4586" s="135" customFormat="1" ht="12.75"/>
    <row r="4587" s="135" customFormat="1" ht="12.75"/>
    <row r="4588" s="135" customFormat="1" ht="12.75"/>
    <row r="4589" s="135" customFormat="1" ht="12.75"/>
    <row r="4590" s="135" customFormat="1" ht="12.75"/>
    <row r="4591" s="135" customFormat="1" ht="12.75"/>
    <row r="4592" s="135" customFormat="1" ht="12.75"/>
    <row r="4593" s="135" customFormat="1" ht="12.75"/>
    <row r="4594" s="135" customFormat="1" ht="12.75"/>
    <row r="4595" s="135" customFormat="1" ht="12.75"/>
    <row r="4596" s="135" customFormat="1" ht="12.75"/>
    <row r="4597" s="135" customFormat="1" ht="12.75"/>
    <row r="4598" s="135" customFormat="1" ht="12.75"/>
    <row r="4599" s="135" customFormat="1" ht="12.75"/>
    <row r="4600" s="135" customFormat="1" ht="12.75"/>
    <row r="4601" s="135" customFormat="1" ht="12.75"/>
    <row r="4602" s="135" customFormat="1" ht="12.75"/>
    <row r="4603" s="135" customFormat="1" ht="12.75"/>
    <row r="4604" s="135" customFormat="1" ht="12.75"/>
    <row r="4605" s="135" customFormat="1" ht="12.75"/>
    <row r="4606" s="135" customFormat="1" ht="12.75"/>
    <row r="4607" s="135" customFormat="1" ht="12.75"/>
    <row r="4608" s="135" customFormat="1" ht="12.75"/>
    <row r="4609" s="135" customFormat="1" ht="12.75"/>
    <row r="4610" s="135" customFormat="1" ht="12.75"/>
    <row r="4611" s="135" customFormat="1" ht="12.75"/>
    <row r="4612" s="135" customFormat="1" ht="12.75"/>
    <row r="4613" s="135" customFormat="1" ht="12.75"/>
    <row r="4614" s="135" customFormat="1" ht="12.75"/>
    <row r="4615" s="135" customFormat="1" ht="12.75"/>
    <row r="4616" s="135" customFormat="1" ht="12.75"/>
    <row r="4617" s="135" customFormat="1" ht="12.75"/>
    <row r="4618" s="135" customFormat="1" ht="12.75"/>
    <row r="4619" s="135" customFormat="1" ht="12.75"/>
    <row r="4620" s="135" customFormat="1" ht="12.75"/>
    <row r="4621" s="135" customFormat="1" ht="12.75"/>
    <row r="4622" s="135" customFormat="1" ht="12.75"/>
    <row r="4623" s="135" customFormat="1" ht="12.75"/>
    <row r="4624" s="135" customFormat="1" ht="12.75"/>
    <row r="4625" s="135" customFormat="1" ht="12.75"/>
    <row r="4626" s="135" customFormat="1" ht="12.75"/>
    <row r="4627" s="135" customFormat="1" ht="12.75"/>
    <row r="4628" s="135" customFormat="1" ht="12.75"/>
    <row r="4629" s="135" customFormat="1" ht="12.75"/>
    <row r="4630" s="135" customFormat="1" ht="12.75"/>
    <row r="4631" s="135" customFormat="1" ht="12.75"/>
    <row r="4632" s="135" customFormat="1" ht="12.75"/>
    <row r="4633" s="135" customFormat="1" ht="12.75"/>
    <row r="4634" s="135" customFormat="1" ht="12.75"/>
    <row r="4635" s="135" customFormat="1" ht="12.75"/>
    <row r="4636" s="135" customFormat="1" ht="12.75"/>
    <row r="4637" s="135" customFormat="1" ht="12.75"/>
    <row r="4638" s="135" customFormat="1" ht="12.75"/>
    <row r="4639" s="135" customFormat="1" ht="12.75"/>
    <row r="4640" s="135" customFormat="1" ht="12.75"/>
    <row r="4641" s="135" customFormat="1" ht="12.75"/>
    <row r="4642" s="135" customFormat="1" ht="12.75"/>
    <row r="4643" s="135" customFormat="1" ht="12.75"/>
    <row r="4644" s="135" customFormat="1" ht="12.75"/>
    <row r="4645" s="135" customFormat="1" ht="12.75"/>
    <row r="4646" s="135" customFormat="1" ht="12.75"/>
    <row r="4647" s="135" customFormat="1" ht="12.75"/>
    <row r="4648" s="135" customFormat="1" ht="12.75"/>
    <row r="4649" s="135" customFormat="1" ht="12.75"/>
    <row r="4650" s="135" customFormat="1" ht="12.75"/>
    <row r="4651" s="135" customFormat="1" ht="12.75"/>
    <row r="4652" s="135" customFormat="1" ht="12.75"/>
    <row r="4653" s="135" customFormat="1" ht="12.75"/>
    <row r="4654" s="135" customFormat="1" ht="12.75"/>
    <row r="4655" s="135" customFormat="1" ht="12.75"/>
    <row r="4656" s="135" customFormat="1" ht="12.75"/>
    <row r="4657" s="135" customFormat="1" ht="12.75"/>
    <row r="4658" s="135" customFormat="1" ht="12.75"/>
    <row r="4659" s="135" customFormat="1" ht="12.75"/>
    <row r="4660" s="135" customFormat="1" ht="12.75"/>
    <row r="4661" s="135" customFormat="1" ht="12.75"/>
    <row r="4662" s="135" customFormat="1" ht="12.75"/>
    <row r="4663" s="135" customFormat="1" ht="12.75"/>
    <row r="4664" s="135" customFormat="1" ht="12.75"/>
    <row r="4665" s="135" customFormat="1" ht="12.75"/>
    <row r="4666" s="135" customFormat="1" ht="12.75"/>
    <row r="4667" s="135" customFormat="1" ht="12.75"/>
    <row r="4668" s="135" customFormat="1" ht="12.75"/>
    <row r="4669" s="135" customFormat="1" ht="12.75"/>
    <row r="4670" s="135" customFormat="1" ht="12.75"/>
    <row r="4671" s="135" customFormat="1" ht="12.75"/>
    <row r="4672" s="135" customFormat="1" ht="12.75"/>
    <row r="4673" s="135" customFormat="1" ht="12.75"/>
    <row r="4674" s="135" customFormat="1" ht="12.75"/>
    <row r="4675" s="135" customFormat="1" ht="12.75"/>
    <row r="4676" s="135" customFormat="1" ht="12.75"/>
    <row r="4677" s="135" customFormat="1" ht="12.75"/>
    <row r="4678" s="135" customFormat="1" ht="12.75"/>
    <row r="4679" s="135" customFormat="1" ht="12.75"/>
    <row r="4680" s="135" customFormat="1" ht="12.75"/>
    <row r="4681" s="135" customFormat="1" ht="12.75"/>
    <row r="4682" s="135" customFormat="1" ht="12.75"/>
    <row r="4683" s="135" customFormat="1" ht="12.75"/>
    <row r="4684" s="135" customFormat="1" ht="12.75"/>
    <row r="4685" s="135" customFormat="1" ht="12.75"/>
    <row r="4686" s="135" customFormat="1" ht="12.75"/>
    <row r="4687" s="135" customFormat="1" ht="12.75"/>
    <row r="4688" s="135" customFormat="1" ht="12.75"/>
    <row r="4689" s="135" customFormat="1" ht="12.75"/>
    <row r="4690" s="135" customFormat="1" ht="12.75"/>
    <row r="4691" s="135" customFormat="1" ht="12.75"/>
    <row r="4692" s="135" customFormat="1" ht="12.75"/>
    <row r="4693" s="135" customFormat="1" ht="12.75"/>
    <row r="4694" s="135" customFormat="1" ht="12.75"/>
    <row r="4695" s="135" customFormat="1" ht="12.75"/>
    <row r="4696" s="135" customFormat="1" ht="12.75"/>
    <row r="4697" s="135" customFormat="1" ht="12.75"/>
    <row r="4698" s="135" customFormat="1" ht="12.75"/>
    <row r="4699" s="135" customFormat="1" ht="12.75"/>
    <row r="4700" s="135" customFormat="1" ht="12.75"/>
    <row r="4701" s="135" customFormat="1" ht="12.75"/>
    <row r="4702" s="135" customFormat="1" ht="12.75"/>
    <row r="4703" s="135" customFormat="1" ht="12.75"/>
    <row r="4704" s="135" customFormat="1" ht="12.75"/>
    <row r="4705" s="135" customFormat="1" ht="12.75"/>
    <row r="4706" s="135" customFormat="1" ht="12.75"/>
    <row r="4707" s="135" customFormat="1" ht="12.75"/>
    <row r="4708" s="135" customFormat="1" ht="12.75"/>
    <row r="4709" s="135" customFormat="1" ht="12.75"/>
    <row r="4710" s="135" customFormat="1" ht="12.75"/>
    <row r="4711" s="135" customFormat="1" ht="12.75"/>
    <row r="4712" s="135" customFormat="1" ht="12.75"/>
    <row r="4713" s="135" customFormat="1" ht="12.75"/>
    <row r="4714" s="135" customFormat="1" ht="12.75"/>
    <row r="4715" s="135" customFormat="1" ht="12.75"/>
    <row r="4716" s="135" customFormat="1" ht="12.75"/>
    <row r="4717" s="135" customFormat="1" ht="12.75"/>
    <row r="4718" s="135" customFormat="1" ht="12.75"/>
    <row r="4719" s="135" customFormat="1" ht="12.75"/>
    <row r="4720" s="135" customFormat="1" ht="12.75"/>
    <row r="4721" s="135" customFormat="1" ht="12.75"/>
    <row r="4722" s="135" customFormat="1" ht="12.75"/>
    <row r="4723" s="135" customFormat="1" ht="12.75"/>
    <row r="4724" s="135" customFormat="1" ht="12.75"/>
    <row r="4725" s="135" customFormat="1" ht="12.75"/>
    <row r="4726" s="135" customFormat="1" ht="12.75"/>
    <row r="4727" s="135" customFormat="1" ht="12.75"/>
    <row r="4728" s="135" customFormat="1" ht="12.75"/>
    <row r="4729" s="135" customFormat="1" ht="12.75"/>
    <row r="4730" s="135" customFormat="1" ht="12.75"/>
    <row r="4731" s="135" customFormat="1" ht="12.75"/>
    <row r="4732" s="135" customFormat="1" ht="12.75"/>
    <row r="4733" s="135" customFormat="1" ht="12.75"/>
    <row r="4734" s="135" customFormat="1" ht="12.75"/>
    <row r="4735" s="135" customFormat="1" ht="12.75"/>
    <row r="4736" s="135" customFormat="1" ht="12.75"/>
    <row r="4737" s="135" customFormat="1" ht="12.75"/>
    <row r="4738" s="135" customFormat="1" ht="12.75"/>
    <row r="4739" s="135" customFormat="1" ht="12.75"/>
    <row r="4740" s="135" customFormat="1" ht="12.75"/>
    <row r="4741" s="135" customFormat="1" ht="12.75"/>
    <row r="4742" s="135" customFormat="1" ht="12.75"/>
    <row r="4743" s="135" customFormat="1" ht="12.75"/>
    <row r="4744" s="135" customFormat="1" ht="12.75"/>
    <row r="4745" s="135" customFormat="1" ht="12.75"/>
    <row r="4746" s="135" customFormat="1" ht="12.75"/>
    <row r="4747" s="135" customFormat="1" ht="12.75"/>
    <row r="4748" s="135" customFormat="1" ht="12.75"/>
    <row r="4749" s="135" customFormat="1" ht="12.75"/>
    <row r="4750" s="135" customFormat="1" ht="12.75"/>
    <row r="4751" s="135" customFormat="1" ht="12.75"/>
    <row r="4752" s="135" customFormat="1" ht="12.75"/>
    <row r="4753" s="135" customFormat="1" ht="12.75"/>
    <row r="4754" s="135" customFormat="1" ht="12.75"/>
    <row r="4755" s="135" customFormat="1" ht="12.75"/>
    <row r="4756" s="135" customFormat="1" ht="12.75"/>
    <row r="4757" s="135" customFormat="1" ht="12.75"/>
    <row r="4758" s="135" customFormat="1" ht="12.75"/>
    <row r="4759" s="135" customFormat="1" ht="12.75"/>
    <row r="4760" s="135" customFormat="1" ht="12.75"/>
    <row r="4761" s="135" customFormat="1" ht="12.75"/>
    <row r="4762" s="135" customFormat="1" ht="12.75"/>
    <row r="4763" s="135" customFormat="1" ht="12.75"/>
    <row r="4764" s="135" customFormat="1" ht="12.75"/>
    <row r="4765" s="135" customFormat="1" ht="12.75"/>
    <row r="4766" s="135" customFormat="1" ht="12.75"/>
    <row r="4767" s="135" customFormat="1" ht="12.75"/>
    <row r="4768" s="135" customFormat="1" ht="12.75"/>
    <row r="4769" s="135" customFormat="1" ht="12.75"/>
    <row r="4770" s="135" customFormat="1" ht="12.75"/>
    <row r="4771" s="135" customFormat="1" ht="12.75"/>
    <row r="4772" s="135" customFormat="1" ht="12.75"/>
    <row r="4773" s="135" customFormat="1" ht="12.75"/>
    <row r="4774" s="135" customFormat="1" ht="12.75"/>
    <row r="4775" s="135" customFormat="1" ht="12.75"/>
    <row r="4776" s="135" customFormat="1" ht="12.75"/>
    <row r="4777" s="135" customFormat="1" ht="12.75"/>
    <row r="4778" s="135" customFormat="1" ht="12.75"/>
    <row r="4779" s="135" customFormat="1" ht="12.75"/>
    <row r="4780" s="135" customFormat="1" ht="12.75"/>
    <row r="4781" s="135" customFormat="1" ht="12.75"/>
    <row r="4782" s="135" customFormat="1" ht="12.75"/>
    <row r="4783" s="135" customFormat="1" ht="12.75"/>
    <row r="4784" s="135" customFormat="1" ht="12.75"/>
    <row r="4785" s="135" customFormat="1" ht="12.75"/>
    <row r="4786" s="135" customFormat="1" ht="12.75"/>
    <row r="4787" s="135" customFormat="1" ht="12.75"/>
    <row r="4788" s="135" customFormat="1" ht="12.75"/>
    <row r="4789" s="135" customFormat="1" ht="12.75"/>
    <row r="4790" s="135" customFormat="1" ht="12.75"/>
    <row r="4791" s="135" customFormat="1" ht="12.75"/>
    <row r="4792" s="135" customFormat="1" ht="12.75"/>
    <row r="4793" s="135" customFormat="1" ht="12.75"/>
    <row r="4794" s="135" customFormat="1" ht="12.75"/>
    <row r="4795" s="135" customFormat="1" ht="12.75"/>
    <row r="4796" s="135" customFormat="1" ht="12.75"/>
    <row r="4797" s="135" customFormat="1" ht="12.75"/>
    <row r="4798" s="135" customFormat="1" ht="12.75"/>
    <row r="4799" s="135" customFormat="1" ht="12.75"/>
    <row r="4800" s="135" customFormat="1" ht="12.75"/>
    <row r="4801" s="135" customFormat="1" ht="12.75"/>
    <row r="4802" s="135" customFormat="1" ht="12.75"/>
    <row r="4803" s="135" customFormat="1" ht="12.75"/>
    <row r="4804" s="135" customFormat="1" ht="12.75"/>
    <row r="4805" s="135" customFormat="1" ht="12.75"/>
    <row r="4806" s="135" customFormat="1" ht="12.75"/>
    <row r="4807" s="135" customFormat="1" ht="12.75"/>
    <row r="4808" s="135" customFormat="1" ht="12.75"/>
    <row r="4809" s="135" customFormat="1" ht="12.75"/>
    <row r="4810" s="135" customFormat="1" ht="12.75"/>
    <row r="4811" s="135" customFormat="1" ht="12.75"/>
    <row r="4812" s="135" customFormat="1" ht="12.75"/>
    <row r="4813" s="135" customFormat="1" ht="12.75"/>
    <row r="4814" s="135" customFormat="1" ht="12.75"/>
    <row r="4815" s="135" customFormat="1" ht="12.75"/>
    <row r="4816" s="135" customFormat="1" ht="12.75"/>
    <row r="4817" s="135" customFormat="1" ht="12.75"/>
    <row r="4818" s="135" customFormat="1" ht="12.75"/>
    <row r="4819" s="135" customFormat="1" ht="12.75"/>
    <row r="4820" s="135" customFormat="1" ht="12.75"/>
    <row r="4821" s="135" customFormat="1" ht="12.75"/>
    <row r="4822" s="135" customFormat="1" ht="12.75"/>
    <row r="4823" s="135" customFormat="1" ht="12.75"/>
    <row r="4824" s="135" customFormat="1" ht="12.75"/>
    <row r="4825" s="135" customFormat="1" ht="12.75"/>
    <row r="4826" s="135" customFormat="1" ht="12.75"/>
    <row r="4827" s="135" customFormat="1" ht="12.75"/>
    <row r="4828" s="135" customFormat="1" ht="12.75"/>
    <row r="4829" s="135" customFormat="1" ht="12.75"/>
    <row r="4830" s="135" customFormat="1" ht="12.75"/>
    <row r="4831" s="135" customFormat="1" ht="12.75"/>
    <row r="4832" s="135" customFormat="1" ht="12.75"/>
    <row r="4833" s="135" customFormat="1" ht="12.75"/>
    <row r="4834" s="135" customFormat="1" ht="12.75"/>
    <row r="4835" s="135" customFormat="1" ht="12.75"/>
    <row r="4836" s="135" customFormat="1" ht="12.75"/>
    <row r="4837" s="135" customFormat="1" ht="12.75"/>
    <row r="4838" s="135" customFormat="1" ht="12.75"/>
    <row r="4839" s="135" customFormat="1" ht="12.75"/>
    <row r="4840" s="135" customFormat="1" ht="12.75"/>
    <row r="4841" s="135" customFormat="1" ht="12.75"/>
    <row r="4842" s="135" customFormat="1" ht="12.75"/>
    <row r="4843" s="135" customFormat="1" ht="12.75"/>
    <row r="4844" s="135" customFormat="1" ht="12.75"/>
    <row r="4845" s="135" customFormat="1" ht="12.75"/>
    <row r="4846" s="135" customFormat="1" ht="12.75"/>
    <row r="4847" s="135" customFormat="1" ht="12.75"/>
    <row r="4848" s="135" customFormat="1" ht="12.75"/>
    <row r="4849" s="135" customFormat="1" ht="12.75"/>
    <row r="4850" s="135" customFormat="1" ht="12.75"/>
    <row r="4851" s="135" customFormat="1" ht="12.75"/>
    <row r="4852" s="135" customFormat="1" ht="12.75"/>
    <row r="4853" s="135" customFormat="1" ht="12.75"/>
    <row r="4854" s="135" customFormat="1" ht="12.75"/>
    <row r="4855" s="135" customFormat="1" ht="12.75"/>
    <row r="4856" s="135" customFormat="1" ht="12.75"/>
    <row r="4857" s="135" customFormat="1" ht="12.75"/>
    <row r="4858" s="135" customFormat="1" ht="12.75"/>
    <row r="4859" s="135" customFormat="1" ht="12.75"/>
    <row r="4860" s="135" customFormat="1" ht="12.75"/>
    <row r="4861" s="135" customFormat="1" ht="12.75"/>
    <row r="4862" s="135" customFormat="1" ht="12.75"/>
    <row r="4863" s="135" customFormat="1" ht="12.75"/>
    <row r="4864" s="135" customFormat="1" ht="12.75"/>
    <row r="4865" s="135" customFormat="1" ht="12.75"/>
    <row r="4866" s="135" customFormat="1" ht="12.75"/>
    <row r="4867" s="135" customFormat="1" ht="12.75"/>
    <row r="4868" s="135" customFormat="1" ht="12.75"/>
    <row r="4869" s="135" customFormat="1" ht="12.75"/>
    <row r="4870" s="135" customFormat="1" ht="12.75"/>
    <row r="4871" s="135" customFormat="1" ht="12.75"/>
    <row r="4872" s="135" customFormat="1" ht="12.75"/>
    <row r="4873" s="135" customFormat="1" ht="12.75"/>
    <row r="4874" s="135" customFormat="1" ht="12.75"/>
    <row r="4875" s="135" customFormat="1" ht="12.75"/>
    <row r="4876" s="135" customFormat="1" ht="12.75"/>
    <row r="4877" s="135" customFormat="1" ht="12.75"/>
    <row r="4878" s="135" customFormat="1" ht="12.75"/>
    <row r="4879" s="135" customFormat="1" ht="12.75"/>
    <row r="4880" s="135" customFormat="1" ht="12.75"/>
    <row r="4881" s="135" customFormat="1" ht="12.75"/>
    <row r="4882" s="135" customFormat="1" ht="12.75"/>
    <row r="4883" s="135" customFormat="1" ht="12.75"/>
    <row r="4884" s="135" customFormat="1" ht="12.75"/>
    <row r="4885" s="135" customFormat="1" ht="12.75"/>
    <row r="4886" s="135" customFormat="1" ht="12.75"/>
    <row r="4887" s="135" customFormat="1" ht="12.75"/>
    <row r="4888" s="135" customFormat="1" ht="12.75"/>
    <row r="4889" s="135" customFormat="1" ht="12.75"/>
    <row r="4890" s="135" customFormat="1" ht="12.75"/>
    <row r="4891" s="135" customFormat="1" ht="12.75"/>
    <row r="4892" s="135" customFormat="1" ht="12.75"/>
    <row r="4893" s="135" customFormat="1" ht="12.75"/>
    <row r="4894" s="135" customFormat="1" ht="12.75"/>
    <row r="4895" s="135" customFormat="1" ht="12.75"/>
    <row r="4896" s="135" customFormat="1" ht="12.75"/>
    <row r="4897" s="135" customFormat="1" ht="12.75"/>
    <row r="4898" s="135" customFormat="1" ht="12.75"/>
    <row r="4899" s="135" customFormat="1" ht="12.75"/>
    <row r="4900" s="135" customFormat="1" ht="12.75"/>
    <row r="4901" s="135" customFormat="1" ht="12.75"/>
    <row r="4902" s="135" customFormat="1" ht="12.75"/>
    <row r="4903" s="135" customFormat="1" ht="12.75"/>
    <row r="4904" s="135" customFormat="1" ht="12.75"/>
    <row r="4905" s="135" customFormat="1" ht="12.75"/>
    <row r="4906" s="135" customFormat="1" ht="12.75"/>
    <row r="4907" s="135" customFormat="1" ht="12.75"/>
    <row r="4908" s="135" customFormat="1" ht="12.75"/>
    <row r="4909" s="135" customFormat="1" ht="12.75"/>
    <row r="4910" s="135" customFormat="1" ht="12.75"/>
    <row r="4911" s="135" customFormat="1" ht="12.75"/>
    <row r="4912" s="135" customFormat="1" ht="12.75"/>
    <row r="4913" s="135" customFormat="1" ht="12.75"/>
    <row r="4914" s="135" customFormat="1" ht="12.75"/>
    <row r="4915" s="135" customFormat="1" ht="12.75"/>
    <row r="4916" s="135" customFormat="1" ht="12.75"/>
    <row r="4917" s="135" customFormat="1" ht="12.75"/>
    <row r="4918" s="135" customFormat="1" ht="12.75"/>
    <row r="4919" s="135" customFormat="1" ht="12.75"/>
    <row r="4920" s="135" customFormat="1" ht="12.75"/>
    <row r="4921" s="135" customFormat="1" ht="12.75"/>
    <row r="4922" s="135" customFormat="1" ht="12.75"/>
    <row r="4923" s="135" customFormat="1" ht="12.75"/>
    <row r="4924" s="135" customFormat="1" ht="12.75"/>
    <row r="4925" s="135" customFormat="1" ht="12.75"/>
    <row r="4926" s="135" customFormat="1" ht="12.75"/>
    <row r="4927" s="135" customFormat="1" ht="12.75"/>
    <row r="4928" s="135" customFormat="1" ht="12.75"/>
    <row r="4929" s="135" customFormat="1" ht="12.75"/>
    <row r="4930" s="135" customFormat="1" ht="12.75"/>
    <row r="4931" s="135" customFormat="1" ht="12.75"/>
    <row r="4932" s="135" customFormat="1" ht="12.75"/>
    <row r="4933" s="135" customFormat="1" ht="12.75"/>
    <row r="4934" s="135" customFormat="1" ht="12.75"/>
    <row r="4935" s="135" customFormat="1" ht="12.75"/>
    <row r="4936" s="135" customFormat="1" ht="12.75"/>
    <row r="4937" s="135" customFormat="1" ht="12.75"/>
    <row r="4938" s="135" customFormat="1" ht="12.75"/>
    <row r="4939" s="135" customFormat="1" ht="12.75"/>
    <row r="4940" s="135" customFormat="1" ht="12.75"/>
    <row r="4941" s="135" customFormat="1" ht="12.75"/>
    <row r="4942" s="135" customFormat="1" ht="12.75"/>
    <row r="4943" s="135" customFormat="1" ht="12.75"/>
    <row r="4944" s="135" customFormat="1" ht="12.75"/>
    <row r="4945" s="135" customFormat="1" ht="12.75"/>
    <row r="4946" s="135" customFormat="1" ht="12.75"/>
    <row r="4947" s="135" customFormat="1" ht="12.75"/>
    <row r="4948" s="135" customFormat="1" ht="12.75"/>
    <row r="4949" s="135" customFormat="1" ht="12.75"/>
    <row r="4950" s="135" customFormat="1" ht="12.75"/>
    <row r="4951" s="135" customFormat="1" ht="12.75"/>
    <row r="4952" s="135" customFormat="1" ht="12.75"/>
    <row r="4953" s="135" customFormat="1" ht="12.75"/>
    <row r="4954" s="135" customFormat="1" ht="12.75"/>
    <row r="4955" s="135" customFormat="1" ht="12.75"/>
    <row r="4956" s="135" customFormat="1" ht="12.75"/>
    <row r="4957" s="135" customFormat="1" ht="12.75"/>
    <row r="4958" s="135" customFormat="1" ht="12.75"/>
    <row r="4959" s="135" customFormat="1" ht="12.75"/>
    <row r="4960" s="135" customFormat="1" ht="12.75"/>
    <row r="4961" s="135" customFormat="1" ht="12.75"/>
    <row r="4962" s="135" customFormat="1" ht="12.75"/>
    <row r="4963" s="135" customFormat="1" ht="12.75"/>
    <row r="4964" s="135" customFormat="1" ht="12.75"/>
    <row r="4965" s="135" customFormat="1" ht="12.75"/>
    <row r="4966" s="135" customFormat="1" ht="12.75"/>
    <row r="4967" s="135" customFormat="1" ht="12.75"/>
    <row r="4968" s="135" customFormat="1" ht="12.75"/>
    <row r="4969" s="135" customFormat="1" ht="12.75"/>
    <row r="4970" s="135" customFormat="1" ht="12.75"/>
    <row r="4971" s="135" customFormat="1" ht="12.75"/>
    <row r="4972" s="135" customFormat="1" ht="12.75"/>
    <row r="4973" s="135" customFormat="1" ht="12.75"/>
    <row r="4974" s="135" customFormat="1" ht="12.75"/>
    <row r="4975" s="135" customFormat="1" ht="12.75"/>
    <row r="4976" s="135" customFormat="1" ht="12.75"/>
    <row r="4977" s="135" customFormat="1" ht="12.75"/>
    <row r="4978" s="135" customFormat="1" ht="12.75"/>
    <row r="4979" s="135" customFormat="1" ht="12.75"/>
    <row r="4980" s="135" customFormat="1" ht="12.75"/>
    <row r="4981" s="135" customFormat="1" ht="12.75"/>
    <row r="4982" s="135" customFormat="1" ht="12.75"/>
    <row r="4983" s="135" customFormat="1" ht="12.75"/>
    <row r="4984" s="135" customFormat="1" ht="12.75"/>
    <row r="4985" s="135" customFormat="1" ht="12.75"/>
    <row r="4986" s="135" customFormat="1" ht="12.75"/>
    <row r="4987" s="135" customFormat="1" ht="12.75"/>
    <row r="4988" s="135" customFormat="1" ht="12.75"/>
    <row r="4989" s="135" customFormat="1" ht="12.75"/>
    <row r="4990" s="135" customFormat="1" ht="12.75"/>
    <row r="4991" s="135" customFormat="1" ht="12.75"/>
    <row r="4992" s="135" customFormat="1" ht="12.75"/>
    <row r="4993" s="135" customFormat="1" ht="12.75"/>
    <row r="4994" s="135" customFormat="1" ht="12.75"/>
    <row r="4995" s="135" customFormat="1" ht="12.75"/>
    <row r="4996" s="135" customFormat="1" ht="12.75"/>
    <row r="4997" s="135" customFormat="1" ht="12.75"/>
    <row r="4998" s="135" customFormat="1" ht="12.75"/>
    <row r="4999" s="135" customFormat="1" ht="12.75"/>
    <row r="5000" s="135" customFormat="1" ht="12.75"/>
    <row r="5001" s="135" customFormat="1" ht="12.75"/>
    <row r="5002" s="135" customFormat="1" ht="12.75"/>
    <row r="5003" s="135" customFormat="1" ht="12.75"/>
    <row r="5004" s="135" customFormat="1" ht="12.75"/>
    <row r="5005" s="135" customFormat="1" ht="12.75"/>
    <row r="5006" s="135" customFormat="1" ht="12.75"/>
    <row r="5007" s="135" customFormat="1" ht="12.75"/>
    <row r="5008" s="135" customFormat="1" ht="12.75"/>
    <row r="5009" s="135" customFormat="1" ht="12.75"/>
    <row r="5010" s="135" customFormat="1" ht="12.75"/>
    <row r="5011" s="135" customFormat="1" ht="12.75"/>
    <row r="5012" s="135" customFormat="1" ht="12.75"/>
    <row r="5013" s="135" customFormat="1" ht="12.75"/>
    <row r="5014" s="135" customFormat="1" ht="12.75"/>
    <row r="5015" s="135" customFormat="1" ht="12.75"/>
    <row r="5016" s="135" customFormat="1" ht="12.75"/>
    <row r="5017" s="135" customFormat="1" ht="12.75"/>
    <row r="5018" s="135" customFormat="1" ht="12.75"/>
    <row r="5019" s="135" customFormat="1" ht="12.75"/>
    <row r="5020" s="135" customFormat="1" ht="12.75"/>
    <row r="5021" s="135" customFormat="1" ht="12.75"/>
    <row r="5022" s="135" customFormat="1" ht="12.75"/>
    <row r="5023" s="135" customFormat="1" ht="12.75"/>
    <row r="5024" s="135" customFormat="1" ht="12.75"/>
    <row r="5025" s="135" customFormat="1" ht="12.75"/>
    <row r="5026" s="135" customFormat="1" ht="12.75"/>
    <row r="5027" s="135" customFormat="1" ht="12.75"/>
    <row r="5028" s="135" customFormat="1" ht="12.75"/>
    <row r="5029" s="135" customFormat="1" ht="12.75"/>
    <row r="5030" s="135" customFormat="1" ht="12.75"/>
    <row r="5031" s="135" customFormat="1" ht="12.75"/>
    <row r="5032" s="135" customFormat="1" ht="12.75"/>
    <row r="5033" s="135" customFormat="1" ht="12.75"/>
    <row r="5034" s="135" customFormat="1" ht="12.75"/>
    <row r="5035" s="135" customFormat="1" ht="12.75"/>
    <row r="5036" s="135" customFormat="1" ht="12.75"/>
    <row r="5037" s="135" customFormat="1" ht="12.75"/>
    <row r="5038" s="135" customFormat="1" ht="12.75"/>
    <row r="5039" s="135" customFormat="1" ht="12.75"/>
    <row r="5040" s="135" customFormat="1" ht="12.75"/>
    <row r="5041" s="135" customFormat="1" ht="12.75"/>
    <row r="5042" s="135" customFormat="1" ht="12.75"/>
    <row r="5043" s="135" customFormat="1" ht="12.75"/>
    <row r="5044" s="135" customFormat="1" ht="12.75"/>
    <row r="5045" s="135" customFormat="1" ht="12.75"/>
    <row r="5046" s="135" customFormat="1" ht="12.75"/>
    <row r="5047" s="135" customFormat="1" ht="12.75"/>
    <row r="5048" s="135" customFormat="1" ht="12.75"/>
    <row r="5049" s="135" customFormat="1" ht="12.75"/>
    <row r="5050" s="135" customFormat="1" ht="12.75"/>
    <row r="5051" s="135" customFormat="1" ht="12.75"/>
    <row r="5052" s="135" customFormat="1" ht="12.75"/>
    <row r="5053" s="135" customFormat="1" ht="12.75"/>
    <row r="5054" s="135" customFormat="1" ht="12.75"/>
    <row r="5055" s="135" customFormat="1" ht="12.75"/>
    <row r="5056" s="135" customFormat="1" ht="12.75"/>
    <row r="5057" s="135" customFormat="1" ht="12.75"/>
    <row r="5058" s="135" customFormat="1" ht="12.75"/>
    <row r="5059" s="135" customFormat="1" ht="12.75"/>
    <row r="5060" s="135" customFormat="1" ht="12.75"/>
    <row r="5061" s="135" customFormat="1" ht="12.75"/>
    <row r="5062" s="135" customFormat="1" ht="12.75"/>
    <row r="5063" s="135" customFormat="1" ht="12.75"/>
    <row r="5064" s="135" customFormat="1" ht="12.75"/>
    <row r="5065" s="135" customFormat="1" ht="12.75"/>
    <row r="5066" s="135" customFormat="1" ht="12.75"/>
    <row r="5067" s="135" customFormat="1" ht="12.75"/>
    <row r="5068" s="135" customFormat="1" ht="12.75"/>
    <row r="5069" s="135" customFormat="1" ht="12.75"/>
    <row r="5070" s="135" customFormat="1" ht="12.75"/>
    <row r="5071" s="135" customFormat="1" ht="12.75"/>
    <row r="5072" s="135" customFormat="1" ht="12.75"/>
    <row r="5073" s="135" customFormat="1" ht="12.75"/>
    <row r="5074" s="135" customFormat="1" ht="12.75"/>
    <row r="5075" s="135" customFormat="1" ht="12.75"/>
    <row r="5076" s="135" customFormat="1" ht="12.75"/>
    <row r="5077" s="135" customFormat="1" ht="12.75"/>
    <row r="5078" s="135" customFormat="1" ht="12.75"/>
    <row r="5079" s="135" customFormat="1" ht="12.75"/>
    <row r="5080" s="135" customFormat="1" ht="12.75"/>
    <row r="5081" s="135" customFormat="1" ht="12.75"/>
    <row r="5082" s="135" customFormat="1" ht="12.75"/>
    <row r="5083" s="135" customFormat="1" ht="12.75"/>
    <row r="5084" s="135" customFormat="1" ht="12.75"/>
    <row r="5085" s="135" customFormat="1" ht="12.75"/>
    <row r="5086" s="135" customFormat="1" ht="12.75"/>
    <row r="5087" s="135" customFormat="1" ht="12.75"/>
    <row r="5088" s="135" customFormat="1" ht="12.75"/>
    <row r="5089" s="135" customFormat="1" ht="12.75"/>
    <row r="5090" s="135" customFormat="1" ht="12.75"/>
    <row r="5091" s="135" customFormat="1" ht="12.75"/>
    <row r="5092" s="135" customFormat="1" ht="12.75"/>
    <row r="5093" s="135" customFormat="1" ht="12.75"/>
    <row r="5094" s="135" customFormat="1" ht="12.75"/>
    <row r="5095" s="135" customFormat="1" ht="12.75"/>
    <row r="5096" s="135" customFormat="1" ht="12.75"/>
    <row r="5097" s="135" customFormat="1" ht="12.75"/>
    <row r="5098" s="135" customFormat="1" ht="12.75"/>
    <row r="5099" s="135" customFormat="1" ht="12.75"/>
    <row r="5100" s="135" customFormat="1" ht="12.75"/>
    <row r="5101" s="135" customFormat="1" ht="12.75"/>
    <row r="5102" s="135" customFormat="1" ht="12.75"/>
    <row r="5103" s="135" customFormat="1" ht="12.75"/>
    <row r="5104" s="135" customFormat="1" ht="12.75"/>
    <row r="5105" s="135" customFormat="1" ht="12.75"/>
    <row r="5106" s="135" customFormat="1" ht="12.75"/>
    <row r="5107" s="135" customFormat="1" ht="12.75"/>
    <row r="5108" s="135" customFormat="1" ht="12.75"/>
    <row r="5109" s="135" customFormat="1" ht="12.75"/>
    <row r="5110" s="135" customFormat="1" ht="12.75"/>
    <row r="5111" s="135" customFormat="1" ht="12.75"/>
    <row r="5112" s="135" customFormat="1" ht="12.75"/>
    <row r="5113" s="135" customFormat="1" ht="12.75"/>
    <row r="5114" s="135" customFormat="1" ht="12.75"/>
    <row r="5115" s="135" customFormat="1" ht="12.75"/>
    <row r="5116" s="135" customFormat="1" ht="12.75"/>
    <row r="5117" s="135" customFormat="1" ht="12.75"/>
    <row r="5118" s="135" customFormat="1" ht="12.75"/>
    <row r="5119" s="135" customFormat="1" ht="12.75"/>
    <row r="5120" s="135" customFormat="1" ht="12.75"/>
    <row r="5121" s="135" customFormat="1" ht="12.75"/>
    <row r="5122" s="135" customFormat="1" ht="12.75"/>
    <row r="5123" s="135" customFormat="1" ht="12.75"/>
    <row r="5124" s="135" customFormat="1" ht="12.75"/>
    <row r="5125" s="135" customFormat="1" ht="12.75"/>
    <row r="5126" s="135" customFormat="1" ht="12.75"/>
    <row r="5127" s="135" customFormat="1" ht="12.75"/>
    <row r="5128" s="135" customFormat="1" ht="12.75"/>
    <row r="5129" s="135" customFormat="1" ht="12.75"/>
    <row r="5130" s="135" customFormat="1" ht="12.75"/>
    <row r="5131" s="135" customFormat="1" ht="12.75"/>
    <row r="5132" s="135" customFormat="1" ht="12.75"/>
    <row r="5133" s="135" customFormat="1" ht="12.75"/>
    <row r="5134" s="135" customFormat="1" ht="12.75"/>
    <row r="5135" s="135" customFormat="1" ht="12.75"/>
    <row r="5136" s="135" customFormat="1" ht="12.75"/>
    <row r="5137" s="135" customFormat="1" ht="12.75"/>
    <row r="5138" s="135" customFormat="1" ht="12.75"/>
    <row r="5139" s="135" customFormat="1" ht="12.75"/>
    <row r="5140" s="135" customFormat="1" ht="12.75"/>
    <row r="5141" s="135" customFormat="1" ht="12.75"/>
    <row r="5142" s="135" customFormat="1" ht="12.75"/>
    <row r="5143" s="135" customFormat="1" ht="12.75"/>
    <row r="5144" s="135" customFormat="1" ht="12.75"/>
    <row r="5145" s="135" customFormat="1" ht="12.75"/>
    <row r="5146" s="135" customFormat="1" ht="12.75"/>
    <row r="5147" s="135" customFormat="1" ht="12.75"/>
    <row r="5148" s="135" customFormat="1" ht="12.75"/>
    <row r="5149" s="135" customFormat="1" ht="12.75"/>
    <row r="5150" s="135" customFormat="1" ht="12.75"/>
    <row r="5151" s="135" customFormat="1" ht="12.75"/>
    <row r="5152" s="135" customFormat="1" ht="12.75"/>
    <row r="5153" s="135" customFormat="1" ht="12.75"/>
    <row r="5154" s="135" customFormat="1" ht="12.75"/>
    <row r="5155" s="135" customFormat="1" ht="12.75"/>
    <row r="5156" s="135" customFormat="1" ht="12.75"/>
    <row r="5157" s="135" customFormat="1" ht="12.75"/>
    <row r="5158" s="135" customFormat="1" ht="12.75"/>
    <row r="5159" s="135" customFormat="1" ht="12.75"/>
    <row r="5160" s="135" customFormat="1" ht="12.75"/>
    <row r="5161" s="135" customFormat="1" ht="12.75"/>
    <row r="5162" s="135" customFormat="1" ht="12.75"/>
    <row r="5163" s="135" customFormat="1" ht="12.75"/>
    <row r="5164" s="135" customFormat="1" ht="12.75"/>
    <row r="5165" s="135" customFormat="1" ht="12.75"/>
    <row r="5166" s="135" customFormat="1" ht="12.75"/>
    <row r="5167" s="135" customFormat="1" ht="12.75"/>
    <row r="5168" s="135" customFormat="1" ht="12.75"/>
    <row r="5169" s="135" customFormat="1" ht="12.75"/>
    <row r="5170" s="135" customFormat="1" ht="12.75"/>
    <row r="5171" s="135" customFormat="1" ht="12.75"/>
    <row r="5172" s="135" customFormat="1" ht="12.75"/>
    <row r="5173" s="135" customFormat="1" ht="12.75"/>
    <row r="5174" s="135" customFormat="1" ht="12.75"/>
    <row r="5175" s="135" customFormat="1" ht="12.75"/>
    <row r="5176" s="135" customFormat="1" ht="12.75"/>
    <row r="5177" s="135" customFormat="1" ht="12.75"/>
    <row r="5178" s="135" customFormat="1" ht="12.75"/>
    <row r="5179" s="135" customFormat="1" ht="12.75"/>
    <row r="5180" s="135" customFormat="1" ht="12.75"/>
    <row r="5181" s="135" customFormat="1" ht="12.75"/>
    <row r="5182" s="135" customFormat="1" ht="12.75"/>
    <row r="5183" s="135" customFormat="1" ht="12.75"/>
    <row r="5184" s="135" customFormat="1" ht="12.75"/>
    <row r="5185" s="135" customFormat="1" ht="12.75"/>
    <row r="5186" s="135" customFormat="1" ht="12.75"/>
    <row r="5187" s="135" customFormat="1" ht="12.75"/>
    <row r="5188" s="135" customFormat="1" ht="12.75"/>
    <row r="5189" s="135" customFormat="1" ht="12.75"/>
    <row r="5190" s="135" customFormat="1" ht="12.75"/>
    <row r="5191" s="135" customFormat="1" ht="12.75"/>
    <row r="5192" s="135" customFormat="1" ht="12.75"/>
    <row r="5193" s="135" customFormat="1" ht="12.75"/>
    <row r="5194" s="135" customFormat="1" ht="12.75"/>
    <row r="5195" s="135" customFormat="1" ht="12.75"/>
    <row r="5196" s="135" customFormat="1" ht="12.75"/>
    <row r="5197" s="135" customFormat="1" ht="12.75"/>
    <row r="5198" s="135" customFormat="1" ht="12.75"/>
    <row r="5199" s="135" customFormat="1" ht="12.75"/>
    <row r="5200" s="135" customFormat="1" ht="12.75"/>
    <row r="5201" s="135" customFormat="1" ht="12.75"/>
    <row r="5202" s="135" customFormat="1" ht="12.75"/>
    <row r="5203" s="135" customFormat="1" ht="12.75"/>
    <row r="5204" s="135" customFormat="1" ht="12.75"/>
    <row r="5205" s="135" customFormat="1" ht="12.75"/>
    <row r="5206" s="135" customFormat="1" ht="12.75"/>
    <row r="5207" s="135" customFormat="1" ht="12.75"/>
    <row r="5208" s="135" customFormat="1" ht="12.75"/>
    <row r="5209" s="135" customFormat="1" ht="12.75"/>
    <row r="5210" s="135" customFormat="1" ht="12.75"/>
    <row r="5211" s="135" customFormat="1" ht="12.75"/>
    <row r="5212" s="135" customFormat="1" ht="12.75"/>
    <row r="5213" s="135" customFormat="1" ht="12.75"/>
    <row r="5214" s="135" customFormat="1" ht="12.75"/>
    <row r="5215" s="135" customFormat="1" ht="12.75"/>
    <row r="5216" s="135" customFormat="1" ht="12.75"/>
    <row r="5217" s="135" customFormat="1" ht="12.75"/>
    <row r="5218" s="135" customFormat="1" ht="12.75"/>
    <row r="5219" s="135" customFormat="1" ht="12.75"/>
    <row r="5220" s="135" customFormat="1" ht="12.75"/>
    <row r="5221" s="135" customFormat="1" ht="12.75"/>
    <row r="5222" s="135" customFormat="1" ht="12.75"/>
    <row r="5223" s="135" customFormat="1" ht="12.75"/>
    <row r="5224" s="135" customFormat="1" ht="12.75"/>
    <row r="5225" s="135" customFormat="1" ht="12.75"/>
    <row r="5226" s="135" customFormat="1" ht="12.75"/>
    <row r="5227" s="135" customFormat="1" ht="12.75"/>
    <row r="5228" s="135" customFormat="1" ht="12.75"/>
    <row r="5229" s="135" customFormat="1" ht="12.75"/>
    <row r="5230" s="135" customFormat="1" ht="12.75"/>
    <row r="5231" s="135" customFormat="1" ht="12.75"/>
    <row r="5232" s="135" customFormat="1" ht="12.75"/>
    <row r="5233" s="135" customFormat="1" ht="12.75"/>
    <row r="5234" s="135" customFormat="1" ht="12.75"/>
    <row r="5235" s="135" customFormat="1" ht="12.75"/>
    <row r="5236" s="135" customFormat="1" ht="12.75"/>
    <row r="5237" s="135" customFormat="1" ht="12.75"/>
    <row r="5238" s="135" customFormat="1" ht="12.75"/>
    <row r="5239" s="135" customFormat="1" ht="12.75"/>
    <row r="5240" s="135" customFormat="1" ht="12.75"/>
    <row r="5241" s="135" customFormat="1" ht="12.75"/>
    <row r="5242" s="135" customFormat="1" ht="12.75"/>
    <row r="5243" s="135" customFormat="1" ht="12.75"/>
    <row r="5244" s="135" customFormat="1" ht="12.75"/>
    <row r="5245" s="135" customFormat="1" ht="12.75"/>
    <row r="5246" s="135" customFormat="1" ht="12.75"/>
    <row r="5247" s="135" customFormat="1" ht="12.75"/>
    <row r="5248" s="135" customFormat="1" ht="12.75"/>
    <row r="5249" s="135" customFormat="1" ht="12.75"/>
    <row r="5250" s="135" customFormat="1" ht="12.75"/>
    <row r="5251" s="135" customFormat="1" ht="12.75"/>
    <row r="5252" s="135" customFormat="1" ht="12.75"/>
    <row r="5253" s="135" customFormat="1" ht="12.75"/>
    <row r="5254" s="135" customFormat="1" ht="12.75"/>
    <row r="5255" s="135" customFormat="1" ht="12.75"/>
    <row r="5256" s="135" customFormat="1" ht="12.75"/>
    <row r="5257" s="135" customFormat="1" ht="12.75"/>
    <row r="5258" s="135" customFormat="1" ht="12.75"/>
    <row r="5259" s="135" customFormat="1" ht="12.75"/>
    <row r="5260" s="135" customFormat="1" ht="12.75"/>
    <row r="5261" s="135" customFormat="1" ht="12.75"/>
    <row r="5262" s="135" customFormat="1" ht="12.75"/>
    <row r="5263" s="135" customFormat="1" ht="12.75"/>
    <row r="5264" s="135" customFormat="1" ht="12.75"/>
    <row r="5265" s="135" customFormat="1" ht="12.75"/>
    <row r="5266" s="135" customFormat="1" ht="12.75"/>
    <row r="5267" s="135" customFormat="1" ht="12.75"/>
    <row r="5268" s="135" customFormat="1" ht="12.75"/>
    <row r="5269" s="135" customFormat="1" ht="12.75"/>
    <row r="5270" s="135" customFormat="1" ht="12.75"/>
    <row r="5271" s="135" customFormat="1" ht="12.75"/>
    <row r="5272" s="135" customFormat="1" ht="12.75"/>
    <row r="5273" s="135" customFormat="1" ht="12.75"/>
    <row r="5274" s="135" customFormat="1" ht="12.75"/>
    <row r="5275" s="135" customFormat="1" ht="12.75"/>
    <row r="5276" s="135" customFormat="1" ht="12.75"/>
    <row r="5277" s="135" customFormat="1" ht="12.75"/>
    <row r="5278" s="135" customFormat="1" ht="12.75"/>
    <row r="5279" s="135" customFormat="1" ht="12.75"/>
    <row r="5280" s="135" customFormat="1" ht="12.75"/>
    <row r="5281" s="135" customFormat="1" ht="12.75"/>
    <row r="5282" s="135" customFormat="1" ht="12.75"/>
    <row r="5283" s="135" customFormat="1" ht="12.75"/>
    <row r="5284" s="135" customFormat="1" ht="12.75"/>
    <row r="5285" s="135" customFormat="1" ht="12.75"/>
    <row r="5286" s="135" customFormat="1" ht="12.75"/>
    <row r="5287" s="135" customFormat="1" ht="12.75"/>
    <row r="5288" s="135" customFormat="1" ht="12.75"/>
    <row r="5289" s="135" customFormat="1" ht="12.75"/>
    <row r="5290" s="135" customFormat="1" ht="12.75"/>
    <row r="5291" s="135" customFormat="1" ht="12.75"/>
    <row r="5292" s="135" customFormat="1" ht="12.75"/>
    <row r="5293" s="135" customFormat="1" ht="12.75"/>
    <row r="5294" s="135" customFormat="1" ht="12.75"/>
    <row r="5295" s="135" customFormat="1" ht="12.75"/>
    <row r="5296" s="135" customFormat="1" ht="12.75"/>
    <row r="5297" s="135" customFormat="1" ht="12.75"/>
    <row r="5298" s="135" customFormat="1" ht="12.75"/>
    <row r="5299" s="135" customFormat="1" ht="12.75"/>
    <row r="5300" s="135" customFormat="1" ht="12.75"/>
    <row r="5301" s="135" customFormat="1" ht="12.75"/>
    <row r="5302" s="135" customFormat="1" ht="12.75"/>
    <row r="5303" s="135" customFormat="1" ht="12.75"/>
    <row r="5304" s="135" customFormat="1" ht="12.75"/>
    <row r="5305" s="135" customFormat="1" ht="12.75"/>
    <row r="5306" s="135" customFormat="1" ht="12.75"/>
    <row r="5307" s="135" customFormat="1" ht="12.75"/>
    <row r="5308" s="135" customFormat="1" ht="12.75"/>
    <row r="5309" s="135" customFormat="1" ht="12.75"/>
    <row r="5310" s="135" customFormat="1" ht="12.75"/>
    <row r="5311" s="135" customFormat="1" ht="12.75"/>
    <row r="5312" s="135" customFormat="1" ht="12.75"/>
    <row r="5313" s="135" customFormat="1" ht="12.75"/>
    <row r="5314" s="135" customFormat="1" ht="12.75"/>
    <row r="5315" s="135" customFormat="1" ht="12.75"/>
    <row r="5316" s="135" customFormat="1" ht="12.75"/>
    <row r="5317" s="135" customFormat="1" ht="12.75"/>
    <row r="5318" s="135" customFormat="1" ht="12.75"/>
    <row r="5319" s="135" customFormat="1" ht="12.75"/>
    <row r="5320" s="135" customFormat="1" ht="12.75"/>
    <row r="5321" s="135" customFormat="1" ht="12.75"/>
    <row r="5322" s="135" customFormat="1" ht="12.75"/>
    <row r="5323" s="135" customFormat="1" ht="12.75"/>
    <row r="5324" s="135" customFormat="1" ht="12.75"/>
    <row r="5325" s="135" customFormat="1" ht="12.75"/>
    <row r="5326" s="135" customFormat="1" ht="12.75"/>
    <row r="5327" s="135" customFormat="1" ht="12.75"/>
    <row r="5328" s="135" customFormat="1" ht="12.75"/>
    <row r="5329" s="135" customFormat="1" ht="12.75"/>
    <row r="5330" s="135" customFormat="1" ht="12.75"/>
    <row r="5331" s="135" customFormat="1" ht="12.75"/>
    <row r="5332" s="135" customFormat="1" ht="12.75"/>
    <row r="5333" s="135" customFormat="1" ht="12.75"/>
    <row r="5334" s="135" customFormat="1" ht="12.75"/>
    <row r="5335" s="135" customFormat="1" ht="12.75"/>
    <row r="5336" s="135" customFormat="1" ht="12.75"/>
    <row r="5337" s="135" customFormat="1" ht="12.75"/>
    <row r="5338" s="135" customFormat="1" ht="12.75"/>
    <row r="5339" s="135" customFormat="1" ht="12.75"/>
    <row r="5340" s="135" customFormat="1" ht="12.75"/>
    <row r="5341" s="135" customFormat="1" ht="12.75"/>
    <row r="5342" s="135" customFormat="1" ht="12.75"/>
    <row r="5343" s="135" customFormat="1" ht="12.75"/>
    <row r="5344" s="135" customFormat="1" ht="12.75"/>
    <row r="5345" s="135" customFormat="1" ht="12.75"/>
    <row r="5346" s="135" customFormat="1" ht="12.75"/>
    <row r="5347" s="135" customFormat="1" ht="12.75"/>
    <row r="5348" s="135" customFormat="1" ht="12.75"/>
    <row r="5349" s="135" customFormat="1" ht="12.75"/>
    <row r="5350" s="135" customFormat="1" ht="12.75"/>
    <row r="5351" s="135" customFormat="1" ht="12.75"/>
    <row r="5352" s="135" customFormat="1" ht="12.75"/>
    <row r="5353" s="135" customFormat="1" ht="12.75"/>
    <row r="5354" s="135" customFormat="1" ht="12.75"/>
    <row r="5355" s="135" customFormat="1" ht="12.75"/>
    <row r="5356" s="135" customFormat="1" ht="12.75"/>
    <row r="5357" s="135" customFormat="1" ht="12.75"/>
    <row r="5358" s="135" customFormat="1" ht="12.75"/>
    <row r="5359" s="135" customFormat="1" ht="12.75"/>
    <row r="5360" s="135" customFormat="1" ht="12.75"/>
    <row r="5361" s="135" customFormat="1" ht="12.75"/>
    <row r="5362" s="135" customFormat="1" ht="12.75"/>
    <row r="5363" s="135" customFormat="1" ht="12.75"/>
    <row r="5364" s="135" customFormat="1" ht="12.75"/>
    <row r="5365" s="135" customFormat="1" ht="12.75"/>
    <row r="5366" s="135" customFormat="1" ht="12.75"/>
    <row r="5367" s="135" customFormat="1" ht="12.75"/>
    <row r="5368" s="135" customFormat="1" ht="12.75"/>
    <row r="5369" s="135" customFormat="1" ht="12.75"/>
    <row r="5370" s="135" customFormat="1" ht="12.75"/>
    <row r="5371" s="135" customFormat="1" ht="12.75"/>
    <row r="5372" s="135" customFormat="1" ht="12.75"/>
    <row r="5373" s="135" customFormat="1" ht="12.75"/>
    <row r="5374" s="135" customFormat="1" ht="12.75"/>
    <row r="5375" s="135" customFormat="1" ht="12.75"/>
    <row r="5376" s="135" customFormat="1" ht="12.75"/>
    <row r="5377" s="135" customFormat="1" ht="12.75"/>
    <row r="5378" s="135" customFormat="1" ht="12.75"/>
    <row r="5379" s="135" customFormat="1" ht="12.75"/>
    <row r="5380" s="135" customFormat="1" ht="12.75"/>
    <row r="5381" s="135" customFormat="1" ht="12.75"/>
    <row r="5382" s="135" customFormat="1" ht="12.75"/>
    <row r="5383" s="135" customFormat="1" ht="12.75"/>
    <row r="5384" s="135" customFormat="1" ht="12.75"/>
    <row r="5385" s="135" customFormat="1" ht="12.75"/>
    <row r="5386" s="135" customFormat="1" ht="12.75"/>
    <row r="5387" s="135" customFormat="1" ht="12.75"/>
    <row r="5388" s="135" customFormat="1" ht="12.75"/>
    <row r="5389" s="135" customFormat="1" ht="12.75"/>
    <row r="5390" s="135" customFormat="1" ht="12.75"/>
    <row r="5391" s="135" customFormat="1" ht="12.75"/>
    <row r="5392" s="135" customFormat="1" ht="12.75"/>
    <row r="5393" s="135" customFormat="1" ht="12.75"/>
    <row r="5394" s="135" customFormat="1" ht="12.75"/>
    <row r="5395" s="135" customFormat="1" ht="12.75"/>
    <row r="5396" s="135" customFormat="1" ht="12.75"/>
    <row r="5397" s="135" customFormat="1" ht="12.75"/>
    <row r="5398" s="135" customFormat="1" ht="12.75"/>
    <row r="5399" s="135" customFormat="1" ht="12.75"/>
    <row r="5400" s="135" customFormat="1" ht="12.75"/>
    <row r="5401" s="135" customFormat="1" ht="12.75"/>
    <row r="5402" s="135" customFormat="1" ht="12.75"/>
    <row r="5403" s="135" customFormat="1" ht="12.75"/>
    <row r="5404" s="135" customFormat="1" ht="12.75"/>
    <row r="5405" s="135" customFormat="1" ht="12.75"/>
    <row r="5406" s="135" customFormat="1" ht="12.75"/>
    <row r="5407" s="135" customFormat="1" ht="12.75"/>
    <row r="5408" s="135" customFormat="1" ht="12.75"/>
    <row r="5409" s="135" customFormat="1" ht="12.75"/>
    <row r="5410" s="135" customFormat="1" ht="12.75"/>
    <row r="5411" s="135" customFormat="1" ht="12.75"/>
    <row r="5412" s="135" customFormat="1" ht="12.75"/>
    <row r="5413" s="135" customFormat="1" ht="12.75"/>
    <row r="5414" s="135" customFormat="1" ht="12.75"/>
    <row r="5415" s="135" customFormat="1" ht="12.75"/>
    <row r="5416" s="135" customFormat="1" ht="12.75"/>
    <row r="5417" s="135" customFormat="1" ht="12.75"/>
    <row r="5418" s="135" customFormat="1" ht="12.75"/>
    <row r="5419" s="135" customFormat="1" ht="12.75"/>
    <row r="5420" s="135" customFormat="1" ht="12.75"/>
    <row r="5421" s="135" customFormat="1" ht="12.75"/>
    <row r="5422" s="135" customFormat="1" ht="12.75"/>
    <row r="5423" s="135" customFormat="1" ht="12.75"/>
    <row r="5424" s="135" customFormat="1" ht="12.75"/>
    <row r="5425" s="135" customFormat="1" ht="12.75"/>
    <row r="5426" s="135" customFormat="1" ht="12.75"/>
    <row r="5427" s="135" customFormat="1" ht="12.75"/>
    <row r="5428" s="135" customFormat="1" ht="12.75"/>
    <row r="5429" s="135" customFormat="1" ht="12.75"/>
    <row r="5430" s="135" customFormat="1" ht="12.75"/>
    <row r="5431" s="135" customFormat="1" ht="12.75"/>
    <row r="5432" s="135" customFormat="1" ht="12.75"/>
    <row r="5433" s="135" customFormat="1" ht="12.75"/>
    <row r="5434" s="135" customFormat="1" ht="12.75"/>
    <row r="5435" s="135" customFormat="1" ht="12.75"/>
    <row r="5436" s="135" customFormat="1" ht="12.75"/>
    <row r="5437" s="135" customFormat="1" ht="12.75"/>
    <row r="5438" s="135" customFormat="1" ht="12.75"/>
    <row r="5439" s="135" customFormat="1" ht="12.75"/>
    <row r="5440" s="135" customFormat="1" ht="12.75"/>
    <row r="5441" s="135" customFormat="1" ht="12.75"/>
    <row r="5442" s="135" customFormat="1" ht="12.75"/>
    <row r="5443" s="135" customFormat="1" ht="12.75"/>
    <row r="5444" s="135" customFormat="1" ht="12.75"/>
    <row r="5445" s="135" customFormat="1" ht="12.75"/>
    <row r="5446" s="135" customFormat="1" ht="12.75"/>
    <row r="5447" s="135" customFormat="1" ht="12.75"/>
    <row r="5448" s="135" customFormat="1" ht="12.75"/>
    <row r="5449" s="135" customFormat="1" ht="12.75"/>
    <row r="5450" s="135" customFormat="1" ht="12.75"/>
    <row r="5451" s="135" customFormat="1" ht="12.75"/>
    <row r="5452" s="135" customFormat="1" ht="12.75"/>
    <row r="5453" s="135" customFormat="1" ht="12.75"/>
    <row r="5454" s="135" customFormat="1" ht="12.75"/>
    <row r="5455" s="135" customFormat="1" ht="12.75"/>
    <row r="5456" s="135" customFormat="1" ht="12.75"/>
    <row r="5457" s="135" customFormat="1" ht="12.75"/>
    <row r="5458" s="135" customFormat="1" ht="12.75"/>
    <row r="5459" s="135" customFormat="1" ht="12.75"/>
    <row r="5460" s="135" customFormat="1" ht="12.75"/>
    <row r="5461" s="135" customFormat="1" ht="12.75"/>
    <row r="5462" s="135" customFormat="1" ht="12.75"/>
    <row r="5463" s="135" customFormat="1" ht="12.75"/>
    <row r="5464" s="135" customFormat="1" ht="12.75"/>
    <row r="5465" s="135" customFormat="1" ht="12.75"/>
    <row r="5466" s="135" customFormat="1" ht="12.75"/>
    <row r="5467" s="135" customFormat="1" ht="12.75"/>
    <row r="5468" s="135" customFormat="1" ht="12.75"/>
    <row r="5469" s="135" customFormat="1" ht="12.75"/>
    <row r="5470" s="135" customFormat="1" ht="12.75"/>
    <row r="5471" s="135" customFormat="1" ht="12.75"/>
    <row r="5472" s="135" customFormat="1" ht="12.75"/>
    <row r="5473" s="135" customFormat="1" ht="12.75"/>
    <row r="5474" s="135" customFormat="1" ht="12.75"/>
    <row r="5475" s="135" customFormat="1" ht="12.75"/>
    <row r="5476" s="135" customFormat="1" ht="12.75"/>
    <row r="5477" s="135" customFormat="1" ht="12.75"/>
    <row r="5478" s="135" customFormat="1" ht="12.75"/>
    <row r="5479" s="135" customFormat="1" ht="12.75"/>
    <row r="5480" s="135" customFormat="1" ht="12.75"/>
    <row r="5481" s="135" customFormat="1" ht="12.75"/>
    <row r="5482" s="135" customFormat="1" ht="12.75"/>
    <row r="5483" s="135" customFormat="1" ht="12.75"/>
    <row r="5484" s="135" customFormat="1" ht="12.75"/>
    <row r="5485" s="135" customFormat="1" ht="12.75"/>
    <row r="5486" s="135" customFormat="1" ht="12.75"/>
    <row r="5487" s="135" customFormat="1" ht="12.75"/>
    <row r="5488" s="135" customFormat="1" ht="12.75"/>
    <row r="5489" s="135" customFormat="1" ht="12.75"/>
    <row r="5490" s="135" customFormat="1" ht="12.75"/>
    <row r="5491" s="135" customFormat="1" ht="12.75"/>
    <row r="5492" s="135" customFormat="1" ht="12.75"/>
    <row r="5493" s="135" customFormat="1" ht="12.75"/>
    <row r="5494" s="135" customFormat="1" ht="12.75"/>
    <row r="5495" s="135" customFormat="1" ht="12.75"/>
    <row r="5496" s="135" customFormat="1" ht="12.75"/>
    <row r="5497" s="135" customFormat="1" ht="12.75"/>
    <row r="5498" s="135" customFormat="1" ht="12.75"/>
    <row r="5499" s="135" customFormat="1" ht="12.75"/>
    <row r="5500" s="135" customFormat="1" ht="12.75"/>
    <row r="5501" s="135" customFormat="1" ht="12.75"/>
    <row r="5502" s="135" customFormat="1" ht="12.75"/>
    <row r="5503" s="135" customFormat="1" ht="12.75"/>
    <row r="5504" s="135" customFormat="1" ht="12.75"/>
    <row r="5505" s="135" customFormat="1" ht="12.75"/>
    <row r="5506" s="135" customFormat="1" ht="12.75"/>
    <row r="5507" s="135" customFormat="1" ht="12.75"/>
    <row r="5508" s="135" customFormat="1" ht="12.75"/>
    <row r="5509" s="135" customFormat="1" ht="12.75"/>
    <row r="5510" s="135" customFormat="1" ht="12.75"/>
    <row r="5511" s="135" customFormat="1" ht="12.75"/>
    <row r="5512" s="135" customFormat="1" ht="12.75"/>
    <row r="5513" s="135" customFormat="1" ht="12.75"/>
    <row r="5514" s="135" customFormat="1" ht="12.75"/>
    <row r="5515" s="135" customFormat="1" ht="12.75"/>
    <row r="5516" s="135" customFormat="1" ht="12.75"/>
    <row r="5517" s="135" customFormat="1" ht="12.75"/>
    <row r="5518" s="135" customFormat="1" ht="12.75"/>
    <row r="5519" s="135" customFormat="1" ht="12.75"/>
    <row r="5520" s="135" customFormat="1" ht="12.75"/>
    <row r="5521" s="135" customFormat="1" ht="12.75"/>
    <row r="5522" s="135" customFormat="1" ht="12.75"/>
    <row r="5523" s="135" customFormat="1" ht="12.75"/>
    <row r="5524" s="135" customFormat="1" ht="12.75"/>
    <row r="5525" s="135" customFormat="1" ht="12.75"/>
    <row r="5526" s="135" customFormat="1" ht="12.75"/>
    <row r="5527" s="135" customFormat="1" ht="12.75"/>
    <row r="5528" s="135" customFormat="1" ht="12.75"/>
    <row r="5529" s="135" customFormat="1" ht="12.75"/>
    <row r="5530" s="135" customFormat="1" ht="12.75"/>
    <row r="5531" s="135" customFormat="1" ht="12.75"/>
    <row r="5532" s="135" customFormat="1" ht="12.75"/>
    <row r="5533" s="135" customFormat="1" ht="12.75"/>
    <row r="5534" s="135" customFormat="1" ht="12.75"/>
    <row r="5535" s="135" customFormat="1" ht="12.75"/>
    <row r="5536" s="135" customFormat="1" ht="12.75"/>
    <row r="5537" s="135" customFormat="1" ht="12.75"/>
    <row r="5538" s="135" customFormat="1" ht="12.75"/>
    <row r="5539" s="135" customFormat="1" ht="12.75"/>
    <row r="5540" s="135" customFormat="1" ht="12.75"/>
    <row r="5541" s="135" customFormat="1" ht="12.75"/>
    <row r="5542" s="135" customFormat="1" ht="12.75"/>
    <row r="5543" s="135" customFormat="1" ht="12.75"/>
    <row r="5544" s="135" customFormat="1" ht="12.75"/>
    <row r="5545" s="135" customFormat="1" ht="12.75"/>
    <row r="5546" s="135" customFormat="1" ht="12.75"/>
    <row r="5547" s="135" customFormat="1" ht="12.75"/>
    <row r="5548" s="135" customFormat="1" ht="12.75"/>
    <row r="5549" s="135" customFormat="1" ht="12.75"/>
    <row r="5550" s="135" customFormat="1" ht="12.75"/>
    <row r="5551" s="135" customFormat="1" ht="12.75"/>
    <row r="5552" s="135" customFormat="1" ht="12.75"/>
    <row r="5553" s="135" customFormat="1" ht="12.75"/>
    <row r="5554" s="135" customFormat="1" ht="12.75"/>
    <row r="5555" s="135" customFormat="1" ht="12.75"/>
    <row r="5556" s="135" customFormat="1" ht="12.75"/>
    <row r="5557" s="135" customFormat="1" ht="12.75"/>
    <row r="5558" s="135" customFormat="1" ht="12.75"/>
    <row r="5559" s="135" customFormat="1" ht="12.75"/>
    <row r="5560" s="135" customFormat="1" ht="12.75"/>
    <row r="5561" s="135" customFormat="1" ht="12.75"/>
    <row r="5562" s="135" customFormat="1" ht="12.75"/>
    <row r="5563" s="135" customFormat="1" ht="12.75"/>
    <row r="5564" s="135" customFormat="1" ht="12.75"/>
    <row r="5565" s="135" customFormat="1" ht="12.75"/>
    <row r="5566" s="135" customFormat="1" ht="12.75"/>
    <row r="5567" s="135" customFormat="1" ht="12.75"/>
    <row r="5568" s="135" customFormat="1" ht="12.75"/>
    <row r="5569" s="135" customFormat="1" ht="12.75"/>
    <row r="5570" s="135" customFormat="1" ht="12.75"/>
    <row r="5571" s="135" customFormat="1" ht="12.75"/>
    <row r="5572" s="135" customFormat="1" ht="12.75"/>
    <row r="5573" s="135" customFormat="1" ht="12.75"/>
    <row r="5574" s="135" customFormat="1" ht="12.75"/>
    <row r="5575" s="135" customFormat="1" ht="12.75"/>
    <row r="5576" s="135" customFormat="1" ht="12.75"/>
    <row r="5577" s="135" customFormat="1" ht="12.75"/>
    <row r="5578" s="135" customFormat="1" ht="12.75"/>
    <row r="5579" s="135" customFormat="1" ht="12.75"/>
    <row r="5580" s="135" customFormat="1" ht="12.75"/>
    <row r="5581" s="135" customFormat="1" ht="12.75"/>
    <row r="5582" s="135" customFormat="1" ht="12.75"/>
    <row r="5583" s="135" customFormat="1" ht="12.75"/>
    <row r="5584" s="135" customFormat="1" ht="12.75"/>
    <row r="5585" s="135" customFormat="1" ht="12.75"/>
    <row r="5586" s="135" customFormat="1" ht="12.75"/>
    <row r="5587" s="135" customFormat="1" ht="12.75"/>
    <row r="5588" s="135" customFormat="1" ht="12.75"/>
    <row r="5589" s="135" customFormat="1" ht="12.75"/>
    <row r="5590" s="135" customFormat="1" ht="12.75"/>
    <row r="5591" s="135" customFormat="1" ht="12.75"/>
    <row r="5592" s="135" customFormat="1" ht="12.75"/>
    <row r="5593" s="135" customFormat="1" ht="12.75"/>
    <row r="5594" s="135" customFormat="1" ht="12.75"/>
    <row r="5595" s="135" customFormat="1" ht="12.75"/>
    <row r="5596" s="135" customFormat="1" ht="12.75"/>
    <row r="5597" s="135" customFormat="1" ht="12.75"/>
    <row r="5598" s="135" customFormat="1" ht="12.75"/>
    <row r="5599" s="135" customFormat="1" ht="12.75"/>
    <row r="5600" s="135" customFormat="1" ht="12.75"/>
    <row r="5601" s="135" customFormat="1" ht="12.75"/>
    <row r="5602" s="135" customFormat="1" ht="12.75"/>
    <row r="5603" s="135" customFormat="1" ht="12.75"/>
    <row r="5604" s="135" customFormat="1" ht="12.75"/>
    <row r="5605" s="135" customFormat="1" ht="12.75"/>
    <row r="5606" s="135" customFormat="1" ht="12.75"/>
    <row r="5607" s="135" customFormat="1" ht="12.75"/>
    <row r="5608" s="135" customFormat="1" ht="12.75"/>
    <row r="5609" s="135" customFormat="1" ht="12.75"/>
    <row r="5610" s="135" customFormat="1" ht="12.75"/>
    <row r="5611" s="135" customFormat="1" ht="12.75"/>
    <row r="5612" s="135" customFormat="1" ht="12.75"/>
    <row r="5613" s="135" customFormat="1" ht="12.75"/>
    <row r="5614" s="135" customFormat="1" ht="12.75"/>
    <row r="5615" s="135" customFormat="1" ht="12.75"/>
    <row r="5616" s="135" customFormat="1" ht="12.75"/>
    <row r="5617" s="135" customFormat="1" ht="12.75"/>
    <row r="5618" s="135" customFormat="1" ht="12.75"/>
    <row r="5619" s="135" customFormat="1" ht="12.75"/>
    <row r="5620" s="135" customFormat="1" ht="12.75"/>
    <row r="5621" s="135" customFormat="1" ht="12.75"/>
    <row r="5622" s="135" customFormat="1" ht="12.75"/>
    <row r="5623" s="135" customFormat="1" ht="12.75"/>
    <row r="5624" s="135" customFormat="1" ht="12.75"/>
    <row r="5625" s="135" customFormat="1" ht="12.75"/>
    <row r="5626" s="135" customFormat="1" ht="12.75"/>
    <row r="5627" s="135" customFormat="1" ht="12.75"/>
    <row r="5628" s="135" customFormat="1" ht="12.75"/>
    <row r="5629" s="135" customFormat="1" ht="12.75"/>
    <row r="5630" s="135" customFormat="1" ht="12.75"/>
    <row r="5631" s="135" customFormat="1" ht="12.75"/>
    <row r="5632" s="135" customFormat="1" ht="12.75"/>
    <row r="5633" s="135" customFormat="1" ht="12.75"/>
    <row r="5634" s="135" customFormat="1" ht="12.75"/>
    <row r="5635" s="135" customFormat="1" ht="12.75"/>
    <row r="5636" s="135" customFormat="1" ht="12.75"/>
    <row r="5637" s="135" customFormat="1" ht="12.75"/>
    <row r="5638" s="135" customFormat="1" ht="12.75"/>
    <row r="5639" s="135" customFormat="1" ht="12.75"/>
    <row r="5640" s="135" customFormat="1" ht="12.75"/>
    <row r="5641" s="135" customFormat="1" ht="12.75"/>
    <row r="5642" s="135" customFormat="1" ht="12.75"/>
    <row r="5643" s="135" customFormat="1" ht="12.75"/>
    <row r="5644" s="135" customFormat="1" ht="12.75"/>
    <row r="5645" s="135" customFormat="1" ht="12.75"/>
    <row r="5646" s="135" customFormat="1" ht="12.75"/>
    <row r="5647" s="135" customFormat="1" ht="12.75"/>
    <row r="5648" s="135" customFormat="1" ht="12.75"/>
    <row r="5649" s="135" customFormat="1" ht="12.75"/>
    <row r="5650" s="135" customFormat="1" ht="12.75"/>
    <row r="5651" s="135" customFormat="1" ht="12.75"/>
    <row r="5652" s="135" customFormat="1" ht="12.75"/>
    <row r="5653" s="135" customFormat="1" ht="12.75"/>
    <row r="5654" s="135" customFormat="1" ht="12.75"/>
    <row r="5655" s="135" customFormat="1" ht="12.75"/>
    <row r="5656" s="135" customFormat="1" ht="12.75"/>
    <row r="5657" s="135" customFormat="1" ht="12.75"/>
    <row r="5658" s="135" customFormat="1" ht="12.75"/>
    <row r="5659" s="135" customFormat="1" ht="12.75"/>
    <row r="5660" s="135" customFormat="1" ht="12.75"/>
    <row r="5661" s="135" customFormat="1" ht="12.75"/>
    <row r="5662" s="135" customFormat="1" ht="12.75"/>
    <row r="5663" s="135" customFormat="1" ht="12.75"/>
    <row r="5664" s="135" customFormat="1" ht="12.75"/>
    <row r="5665" s="135" customFormat="1" ht="12.75"/>
    <row r="5666" s="135" customFormat="1" ht="12.75"/>
    <row r="5667" s="135" customFormat="1" ht="12.75"/>
    <row r="5668" s="135" customFormat="1" ht="12.75"/>
    <row r="5669" s="135" customFormat="1" ht="12.75"/>
    <row r="5670" s="135" customFormat="1" ht="12.75"/>
    <row r="5671" s="135" customFormat="1" ht="12.75"/>
    <row r="5672" s="135" customFormat="1" ht="12.75"/>
    <row r="5673" s="135" customFormat="1" ht="12.75"/>
    <row r="5674" s="135" customFormat="1" ht="12.75"/>
    <row r="5675" s="135" customFormat="1" ht="12.75"/>
    <row r="5676" s="135" customFormat="1" ht="12.75"/>
    <row r="5677" s="135" customFormat="1" ht="12.75"/>
    <row r="5678" s="135" customFormat="1" ht="12.75"/>
    <row r="5679" s="135" customFormat="1" ht="12.75"/>
    <row r="5680" s="135" customFormat="1" ht="12.75"/>
    <row r="5681" s="135" customFormat="1" ht="12.75"/>
    <row r="5682" s="135" customFormat="1" ht="12.75"/>
    <row r="5683" s="135" customFormat="1" ht="12.75"/>
    <row r="5684" s="135" customFormat="1" ht="12.75"/>
    <row r="5685" s="135" customFormat="1" ht="12.75"/>
    <row r="5686" s="135" customFormat="1" ht="12.75"/>
    <row r="5687" s="135" customFormat="1" ht="12.75"/>
    <row r="5688" s="135" customFormat="1" ht="12.75"/>
    <row r="5689" s="135" customFormat="1" ht="12.75"/>
    <row r="5690" s="135" customFormat="1" ht="12.75"/>
    <row r="5691" s="135" customFormat="1" ht="12.75"/>
    <row r="5692" s="135" customFormat="1" ht="12.75"/>
    <row r="5693" s="135" customFormat="1" ht="12.75"/>
    <row r="5694" s="135" customFormat="1" ht="12.75"/>
    <row r="5695" s="135" customFormat="1" ht="12.75"/>
    <row r="5696" s="135" customFormat="1" ht="12.75"/>
    <row r="5697" s="135" customFormat="1" ht="12.75"/>
    <row r="5698" s="135" customFormat="1" ht="12.75"/>
    <row r="5699" s="135" customFormat="1" ht="12.75"/>
    <row r="5700" s="135" customFormat="1" ht="12.75"/>
    <row r="5701" s="135" customFormat="1" ht="12.75"/>
    <row r="5702" s="135" customFormat="1" ht="12.75"/>
    <row r="5703" s="135" customFormat="1" ht="12.75"/>
    <row r="5704" s="135" customFormat="1" ht="12.75"/>
    <row r="5705" s="135" customFormat="1" ht="12.75"/>
    <row r="5706" s="135" customFormat="1" ht="12.75"/>
    <row r="5707" s="135" customFormat="1" ht="12.75"/>
    <row r="5708" s="135" customFormat="1" ht="12.75"/>
    <row r="5709" s="135" customFormat="1" ht="12.75"/>
    <row r="5710" s="135" customFormat="1" ht="12.75"/>
    <row r="5711" s="135" customFormat="1" ht="12.75"/>
    <row r="5712" s="135" customFormat="1" ht="12.75"/>
    <row r="5713" s="135" customFormat="1" ht="12.75"/>
    <row r="5714" s="135" customFormat="1" ht="12.75"/>
    <row r="5715" s="135" customFormat="1" ht="12.75"/>
    <row r="5716" s="135" customFormat="1" ht="12.75"/>
    <row r="5717" s="135" customFormat="1" ht="12.75"/>
    <row r="5718" s="135" customFormat="1" ht="12.75"/>
    <row r="5719" s="135" customFormat="1" ht="12.75"/>
    <row r="5720" s="135" customFormat="1" ht="12.75"/>
    <row r="5721" s="135" customFormat="1" ht="12.75"/>
    <row r="5722" s="135" customFormat="1" ht="12.75"/>
    <row r="5723" s="135" customFormat="1" ht="12.75"/>
    <row r="5724" s="135" customFormat="1" ht="12.75"/>
    <row r="5725" s="135" customFormat="1" ht="12.75"/>
    <row r="5726" s="135" customFormat="1" ht="12.75"/>
    <row r="5727" s="135" customFormat="1" ht="12.75"/>
    <row r="5728" s="135" customFormat="1" ht="12.75"/>
    <row r="5729" s="135" customFormat="1" ht="12.75"/>
    <row r="5730" s="135" customFormat="1" ht="12.75"/>
    <row r="5731" s="135" customFormat="1" ht="12.75"/>
    <row r="5732" s="135" customFormat="1" ht="12.75"/>
    <row r="5733" s="135" customFormat="1" ht="12.75"/>
    <row r="5734" s="135" customFormat="1" ht="12.75"/>
    <row r="5735" s="135" customFormat="1" ht="12.75"/>
    <row r="5736" s="135" customFormat="1" ht="12.75"/>
    <row r="5737" s="135" customFormat="1" ht="12.75"/>
    <row r="5738" s="135" customFormat="1" ht="12.75"/>
    <row r="5739" s="135" customFormat="1" ht="12.75"/>
    <row r="5740" s="135" customFormat="1" ht="12.75"/>
    <row r="5741" s="135" customFormat="1" ht="12.75"/>
    <row r="5742" s="135" customFormat="1" ht="12.75"/>
    <row r="5743" s="135" customFormat="1" ht="12.75"/>
    <row r="5744" s="135" customFormat="1" ht="12.75"/>
    <row r="5745" s="135" customFormat="1" ht="12.75"/>
    <row r="5746" s="135" customFormat="1" ht="12.75"/>
    <row r="5747" s="135" customFormat="1" ht="12.75"/>
    <row r="5748" s="135" customFormat="1" ht="12.75"/>
    <row r="5749" s="135" customFormat="1" ht="12.75"/>
    <row r="5750" s="135" customFormat="1" ht="12.75"/>
    <row r="5751" s="135" customFormat="1" ht="12.75"/>
    <row r="5752" s="135" customFormat="1" ht="12.75"/>
    <row r="5753" s="135" customFormat="1" ht="12.75"/>
    <row r="5754" s="135" customFormat="1" ht="12.75"/>
    <row r="5755" s="135" customFormat="1" ht="12.75"/>
    <row r="5756" s="135" customFormat="1" ht="12.75"/>
    <row r="5757" s="135" customFormat="1" ht="12.75"/>
    <row r="5758" s="135" customFormat="1" ht="12.75"/>
    <row r="5759" s="135" customFormat="1" ht="12.75"/>
    <row r="5760" s="135" customFormat="1" ht="12.75"/>
    <row r="5761" s="135" customFormat="1" ht="12.75"/>
    <row r="5762" s="135" customFormat="1" ht="12.75"/>
    <row r="5763" s="135" customFormat="1" ht="12.75"/>
    <row r="5764" s="135" customFormat="1" ht="12.75"/>
    <row r="5765" s="135" customFormat="1" ht="12.75"/>
    <row r="5766" s="135" customFormat="1" ht="12.75"/>
    <row r="5767" s="135" customFormat="1" ht="12.75"/>
    <row r="5768" s="135" customFormat="1" ht="12.75"/>
    <row r="5769" s="135" customFormat="1" ht="12.75"/>
    <row r="5770" s="135" customFormat="1" ht="12.75"/>
    <row r="5771" s="135" customFormat="1" ht="12.75"/>
    <row r="5772" s="135" customFormat="1" ht="12.75"/>
    <row r="5773" s="135" customFormat="1" ht="12.75"/>
    <row r="5774" s="135" customFormat="1" ht="12.75"/>
    <row r="5775" s="135" customFormat="1" ht="12.75"/>
    <row r="5776" s="135" customFormat="1" ht="12.75"/>
    <row r="5777" s="135" customFormat="1" ht="12.75"/>
    <row r="5778" s="135" customFormat="1" ht="12.75"/>
    <row r="5779" s="135" customFormat="1" ht="12.75"/>
    <row r="5780" s="135" customFormat="1" ht="12.75"/>
    <row r="5781" s="135" customFormat="1" ht="12.75"/>
    <row r="5782" s="135" customFormat="1" ht="12.75"/>
    <row r="5783" s="135" customFormat="1" ht="12.75"/>
    <row r="5784" s="135" customFormat="1" ht="12.75"/>
    <row r="5785" s="135" customFormat="1" ht="12.75"/>
    <row r="5786" s="135" customFormat="1" ht="12.75"/>
    <row r="5787" s="135" customFormat="1" ht="12.75"/>
    <row r="5788" s="135" customFormat="1" ht="12.75"/>
    <row r="5789" s="135" customFormat="1" ht="12.75"/>
    <row r="5790" s="135" customFormat="1" ht="12.75"/>
    <row r="5791" s="135" customFormat="1" ht="12.75"/>
    <row r="5792" s="135" customFormat="1" ht="12.75"/>
    <row r="5793" s="135" customFormat="1" ht="12.75"/>
    <row r="5794" s="135" customFormat="1" ht="12.75"/>
    <row r="5795" s="135" customFormat="1" ht="12.75"/>
    <row r="5796" s="135" customFormat="1" ht="12.75"/>
    <row r="5797" s="135" customFormat="1" ht="12.75"/>
    <row r="5798" s="135" customFormat="1" ht="12.75"/>
    <row r="5799" s="135" customFormat="1" ht="12.75"/>
    <row r="5800" s="135" customFormat="1" ht="12.75"/>
    <row r="5801" s="135" customFormat="1" ht="12.75"/>
    <row r="5802" s="135" customFormat="1" ht="12.75"/>
    <row r="5803" s="135" customFormat="1" ht="12.75"/>
    <row r="5804" s="135" customFormat="1" ht="12.75"/>
    <row r="5805" s="135" customFormat="1" ht="12.75"/>
    <row r="5806" s="135" customFormat="1" ht="12.75"/>
    <row r="5807" s="135" customFormat="1" ht="12.75"/>
    <row r="5808" s="135" customFormat="1" ht="12.75"/>
    <row r="5809" s="135" customFormat="1" ht="12.75"/>
    <row r="5810" s="135" customFormat="1" ht="12.75"/>
    <row r="5811" s="135" customFormat="1" ht="12.75"/>
    <row r="5812" s="135" customFormat="1" ht="12.75"/>
    <row r="5813" s="135" customFormat="1" ht="12.75"/>
    <row r="5814" s="135" customFormat="1" ht="12.75"/>
    <row r="5815" s="135" customFormat="1" ht="12.75"/>
    <row r="5816" s="135" customFormat="1" ht="12.75"/>
    <row r="5817" s="135" customFormat="1" ht="12.75"/>
    <row r="5818" s="135" customFormat="1" ht="12.75"/>
    <row r="5819" s="135" customFormat="1" ht="12.75"/>
    <row r="5820" s="135" customFormat="1" ht="12.75"/>
    <row r="5821" s="135" customFormat="1" ht="12.75"/>
    <row r="5822" s="135" customFormat="1" ht="12.75"/>
    <row r="5823" s="135" customFormat="1" ht="12.75"/>
    <row r="5824" s="135" customFormat="1" ht="12.75"/>
    <row r="5825" s="135" customFormat="1" ht="12.75"/>
    <row r="5826" s="135" customFormat="1" ht="12.75"/>
    <row r="5827" s="135" customFormat="1" ht="12.75"/>
    <row r="5828" s="135" customFormat="1" ht="12.75"/>
    <row r="5829" s="135" customFormat="1" ht="12.75"/>
    <row r="5830" s="135" customFormat="1" ht="12.75"/>
    <row r="5831" s="135" customFormat="1" ht="12.75"/>
    <row r="5832" s="135" customFormat="1" ht="12.75"/>
    <row r="5833" s="135" customFormat="1" ht="12.75"/>
    <row r="5834" s="135" customFormat="1" ht="12.75"/>
    <row r="5835" s="135" customFormat="1" ht="12.75"/>
    <row r="5836" s="135" customFormat="1" ht="12.75"/>
    <row r="5837" s="135" customFormat="1" ht="12.75"/>
    <row r="5838" s="135" customFormat="1" ht="12.75"/>
    <row r="5839" s="135" customFormat="1" ht="12.75"/>
    <row r="5840" s="135" customFormat="1" ht="12.75"/>
    <row r="5841" s="135" customFormat="1" ht="12.75"/>
    <row r="5842" s="135" customFormat="1" ht="12.75"/>
    <row r="5843" s="135" customFormat="1" ht="12.75"/>
    <row r="5844" s="135" customFormat="1" ht="12.75"/>
    <row r="5845" s="135" customFormat="1" ht="12.75"/>
    <row r="5846" s="135" customFormat="1" ht="12.75"/>
    <row r="5847" s="135" customFormat="1" ht="12.75"/>
    <row r="5848" s="135" customFormat="1" ht="12.75"/>
    <row r="5849" s="135" customFormat="1" ht="12.75"/>
    <row r="5850" s="135" customFormat="1" ht="12.75"/>
    <row r="5851" s="135" customFormat="1" ht="12.75"/>
    <row r="5852" s="135" customFormat="1" ht="12.75"/>
    <row r="5853" s="135" customFormat="1" ht="12.75"/>
    <row r="5854" s="135" customFormat="1" ht="12.75"/>
    <row r="5855" s="135" customFormat="1" ht="12.75"/>
    <row r="5856" s="135" customFormat="1" ht="12.75"/>
    <row r="5857" s="135" customFormat="1" ht="12.75"/>
    <row r="5858" s="135" customFormat="1" ht="12.75"/>
    <row r="5859" s="135" customFormat="1" ht="12.75"/>
    <row r="5860" s="135" customFormat="1" ht="12.75"/>
    <row r="5861" s="135" customFormat="1" ht="12.75"/>
    <row r="5862" s="135" customFormat="1" ht="12.75"/>
    <row r="5863" s="135" customFormat="1" ht="12.75"/>
    <row r="5864" s="135" customFormat="1" ht="12.75"/>
    <row r="5865" s="135" customFormat="1" ht="12.75"/>
    <row r="5866" s="135" customFormat="1" ht="12.75"/>
    <row r="5867" s="135" customFormat="1" ht="12.75"/>
    <row r="5868" s="135" customFormat="1" ht="12.75"/>
    <row r="5869" s="135" customFormat="1" ht="12.75"/>
    <row r="5870" s="135" customFormat="1" ht="12.75"/>
    <row r="5871" s="135" customFormat="1" ht="12.75"/>
    <row r="5872" s="135" customFormat="1" ht="12.75"/>
    <row r="5873" s="135" customFormat="1" ht="12.75"/>
    <row r="5874" s="135" customFormat="1" ht="12.75"/>
    <row r="5875" s="135" customFormat="1" ht="12.75"/>
    <row r="5876" s="135" customFormat="1" ht="12.75"/>
    <row r="5877" s="135" customFormat="1" ht="12.75"/>
    <row r="5878" s="135" customFormat="1" ht="12.75"/>
    <row r="5879" s="135" customFormat="1" ht="12.75"/>
    <row r="5880" s="135" customFormat="1" ht="12.75"/>
    <row r="5881" s="135" customFormat="1" ht="12.75"/>
    <row r="5882" s="135" customFormat="1" ht="12.75"/>
    <row r="5883" s="135" customFormat="1" ht="12.75"/>
    <row r="5884" s="135" customFormat="1" ht="12.75"/>
    <row r="5885" s="135" customFormat="1" ht="12.75"/>
    <row r="5886" s="135" customFormat="1" ht="12.75"/>
    <row r="5887" s="135" customFormat="1" ht="12.75"/>
    <row r="5888" s="135" customFormat="1" ht="12.75"/>
    <row r="5889" s="135" customFormat="1" ht="12.75"/>
    <row r="5890" s="135" customFormat="1" ht="12.75"/>
    <row r="5891" s="135" customFormat="1" ht="12.75"/>
    <row r="5892" s="135" customFormat="1" ht="12.75"/>
    <row r="5893" s="135" customFormat="1" ht="12.75"/>
    <row r="5894" s="135" customFormat="1" ht="12.75"/>
    <row r="5895" s="135" customFormat="1" ht="12.75"/>
    <row r="5896" s="135" customFormat="1" ht="12.75"/>
    <row r="5897" s="135" customFormat="1" ht="12.75"/>
    <row r="5898" s="135" customFormat="1" ht="12.75"/>
    <row r="5899" s="135" customFormat="1" ht="12.75"/>
    <row r="5900" s="135" customFormat="1" ht="12.75"/>
    <row r="5901" s="135" customFormat="1" ht="12.75"/>
    <row r="5902" s="135" customFormat="1" ht="12.75"/>
    <row r="5903" s="135" customFormat="1" ht="12.75"/>
    <row r="5904" s="135" customFormat="1" ht="12.75"/>
    <row r="5905" s="135" customFormat="1" ht="12.75"/>
    <row r="5906" s="135" customFormat="1" ht="12.75"/>
    <row r="5907" s="135" customFormat="1" ht="12.75"/>
    <row r="5908" s="135" customFormat="1" ht="12.75"/>
    <row r="5909" s="135" customFormat="1" ht="12.75"/>
    <row r="5910" s="135" customFormat="1" ht="12.75"/>
    <row r="5911" s="135" customFormat="1" ht="12.75"/>
    <row r="5912" s="135" customFormat="1" ht="12.75"/>
    <row r="5913" s="135" customFormat="1" ht="12.75"/>
    <row r="5914" s="135" customFormat="1" ht="12.75"/>
    <row r="5915" s="135" customFormat="1" ht="12.75"/>
    <row r="5916" s="135" customFormat="1" ht="12.75"/>
    <row r="5917" s="135" customFormat="1" ht="12.75"/>
    <row r="5918" s="135" customFormat="1" ht="12.75"/>
    <row r="5919" s="135" customFormat="1" ht="12.75"/>
    <row r="5920" s="135" customFormat="1" ht="12.75"/>
    <row r="5921" s="135" customFormat="1" ht="12.75"/>
    <row r="5922" s="135" customFormat="1" ht="12.75"/>
    <row r="5923" s="135" customFormat="1" ht="12.75"/>
    <row r="5924" s="135" customFormat="1" ht="12.75"/>
    <row r="5925" s="135" customFormat="1" ht="12.75"/>
    <row r="5926" s="135" customFormat="1" ht="12.75"/>
    <row r="5927" s="135" customFormat="1" ht="12.75"/>
    <row r="5928" s="135" customFormat="1" ht="12.75"/>
    <row r="5929" s="135" customFormat="1" ht="12.75"/>
    <row r="5930" s="135" customFormat="1" ht="12.75"/>
    <row r="5931" s="135" customFormat="1" ht="12.75"/>
    <row r="5932" s="135" customFormat="1" ht="12.75"/>
    <row r="5933" s="135" customFormat="1" ht="12.75"/>
    <row r="5934" s="135" customFormat="1" ht="12.75"/>
    <row r="5935" s="135" customFormat="1" ht="12.75"/>
    <row r="5936" s="135" customFormat="1" ht="12.75"/>
    <row r="5937" s="135" customFormat="1" ht="12.75"/>
    <row r="5938" s="135" customFormat="1" ht="12.75"/>
    <row r="5939" s="135" customFormat="1" ht="12.75"/>
    <row r="5940" s="135" customFormat="1" ht="12.75"/>
    <row r="5941" s="135" customFormat="1" ht="12.75"/>
    <row r="5942" s="135" customFormat="1" ht="12.75"/>
    <row r="5943" s="135" customFormat="1" ht="12.75"/>
    <row r="5944" s="135" customFormat="1" ht="12.75"/>
    <row r="5945" s="135" customFormat="1" ht="12.75"/>
    <row r="5946" s="135" customFormat="1" ht="12.75"/>
    <row r="5947" s="135" customFormat="1" ht="12.75"/>
    <row r="5948" s="135" customFormat="1" ht="12.75"/>
    <row r="5949" s="135" customFormat="1" ht="12.75"/>
    <row r="5950" s="135" customFormat="1" ht="12.75"/>
    <row r="5951" s="135" customFormat="1" ht="12.75"/>
    <row r="5952" s="135" customFormat="1" ht="12.75"/>
    <row r="5953" s="135" customFormat="1" ht="12.75"/>
    <row r="5954" s="135" customFormat="1" ht="12.75"/>
    <row r="5955" s="135" customFormat="1" ht="12.75"/>
    <row r="5956" s="135" customFormat="1" ht="12.75"/>
    <row r="5957" s="135" customFormat="1" ht="12.75"/>
    <row r="5958" s="135" customFormat="1" ht="12.75"/>
    <row r="5959" s="135" customFormat="1" ht="12.75"/>
    <row r="5960" s="135" customFormat="1" ht="12.75"/>
    <row r="5961" s="135" customFormat="1" ht="12.75"/>
    <row r="5962" s="135" customFormat="1" ht="12.75"/>
    <row r="5963" s="135" customFormat="1" ht="12.75"/>
    <row r="5964" s="135" customFormat="1" ht="12.75"/>
    <row r="5965" s="135" customFormat="1" ht="12.75"/>
    <row r="5966" s="135" customFormat="1" ht="12.75"/>
    <row r="5967" s="135" customFormat="1" ht="12.75"/>
    <row r="5968" s="135" customFormat="1" ht="12.75"/>
    <row r="5969" s="135" customFormat="1" ht="12.75"/>
    <row r="5970" s="135" customFormat="1" ht="12.75"/>
    <row r="5971" s="135" customFormat="1" ht="12.75"/>
    <row r="5972" s="135" customFormat="1" ht="12.75"/>
    <row r="5973" s="135" customFormat="1" ht="12.75"/>
    <row r="5974" s="135" customFormat="1" ht="12.75"/>
    <row r="5975" s="135" customFormat="1" ht="12.75"/>
    <row r="5976" s="135" customFormat="1" ht="12.75"/>
    <row r="5977" s="135" customFormat="1" ht="12.75"/>
    <row r="5978" s="135" customFormat="1" ht="12.75"/>
    <row r="5979" s="135" customFormat="1" ht="12.75"/>
    <row r="5980" s="135" customFormat="1" ht="12.75"/>
    <row r="5981" s="135" customFormat="1" ht="12.75"/>
    <row r="5982" s="135" customFormat="1" ht="12.75"/>
    <row r="5983" s="135" customFormat="1" ht="12.75"/>
    <row r="5984" s="135" customFormat="1" ht="12.75"/>
    <row r="5985" s="135" customFormat="1" ht="12.75"/>
    <row r="5986" s="135" customFormat="1" ht="12.75"/>
    <row r="5987" s="135" customFormat="1" ht="12.75"/>
    <row r="5988" s="135" customFormat="1" ht="12.75"/>
    <row r="5989" s="135" customFormat="1" ht="12.75"/>
    <row r="5990" s="135" customFormat="1" ht="12.75"/>
    <row r="5991" s="135" customFormat="1" ht="12.75"/>
    <row r="5992" s="135" customFormat="1" ht="12.75"/>
    <row r="5993" s="135" customFormat="1" ht="12.75"/>
    <row r="5994" s="135" customFormat="1" ht="12.75"/>
    <row r="5995" s="135" customFormat="1" ht="12.75"/>
    <row r="5996" s="135" customFormat="1" ht="12.75"/>
    <row r="5997" s="135" customFormat="1" ht="12.75"/>
    <row r="5998" s="135" customFormat="1" ht="12.75"/>
    <row r="5999" s="135" customFormat="1" ht="12.75"/>
    <row r="6000" s="135" customFormat="1" ht="12.75"/>
    <row r="6001" s="135" customFormat="1" ht="12.75"/>
    <row r="6002" s="135" customFormat="1" ht="12.75"/>
    <row r="6003" s="135" customFormat="1" ht="12.75"/>
    <row r="6004" s="135" customFormat="1" ht="12.75"/>
    <row r="6005" s="135" customFormat="1" ht="12.75"/>
    <row r="6006" s="135" customFormat="1" ht="12.75"/>
    <row r="6007" s="135" customFormat="1" ht="12.75"/>
    <row r="6008" s="135" customFormat="1" ht="12.75"/>
    <row r="6009" s="135" customFormat="1" ht="12.75"/>
    <row r="6010" s="135" customFormat="1" ht="12.75"/>
    <row r="6011" s="135" customFormat="1" ht="12.75"/>
    <row r="6012" s="135" customFormat="1" ht="12.75"/>
    <row r="6013" s="135" customFormat="1" ht="12.75"/>
    <row r="6014" s="135" customFormat="1" ht="12.75"/>
    <row r="6015" s="135" customFormat="1" ht="12.75"/>
    <row r="6016" s="135" customFormat="1" ht="12.75"/>
    <row r="6017" s="135" customFormat="1" ht="12.75"/>
    <row r="6018" s="135" customFormat="1" ht="12.75"/>
    <row r="6019" s="135" customFormat="1" ht="12.75"/>
    <row r="6020" s="135" customFormat="1" ht="12.75"/>
    <row r="6021" s="135" customFormat="1" ht="12.75"/>
    <row r="6022" s="135" customFormat="1" ht="12.75"/>
    <row r="6023" s="135" customFormat="1" ht="12.75"/>
    <row r="6024" s="135" customFormat="1" ht="12.75"/>
    <row r="6025" s="135" customFormat="1" ht="12.75"/>
    <row r="6026" s="135" customFormat="1" ht="12.75"/>
    <row r="6027" s="135" customFormat="1" ht="12.75"/>
    <row r="6028" s="135" customFormat="1" ht="12.75"/>
    <row r="6029" s="135" customFormat="1" ht="12.75"/>
    <row r="6030" s="135" customFormat="1" ht="12.75"/>
    <row r="6031" s="135" customFormat="1" ht="12.75"/>
    <row r="6032" s="135" customFormat="1" ht="12.75"/>
    <row r="6033" s="135" customFormat="1" ht="12.75"/>
    <row r="6034" s="135" customFormat="1" ht="12.75"/>
    <row r="6035" s="135" customFormat="1" ht="12.75"/>
    <row r="6036" s="135" customFormat="1" ht="12.75"/>
    <row r="6037" s="135" customFormat="1" ht="12.75"/>
    <row r="6038" s="135" customFormat="1" ht="12.75"/>
    <row r="6039" s="135" customFormat="1" ht="12.75"/>
    <row r="6040" s="135" customFormat="1" ht="12.75"/>
    <row r="6041" s="135" customFormat="1" ht="12.75"/>
    <row r="6042" s="135" customFormat="1" ht="12.75"/>
    <row r="6043" s="135" customFormat="1" ht="12.75"/>
    <row r="6044" s="135" customFormat="1" ht="12.75"/>
    <row r="6045" s="135" customFormat="1" ht="12.75"/>
    <row r="6046" s="135" customFormat="1" ht="12.75"/>
    <row r="6047" s="135" customFormat="1" ht="12.75"/>
    <row r="6048" s="135" customFormat="1" ht="12.75"/>
    <row r="6049" s="135" customFormat="1" ht="12.75"/>
    <row r="6050" s="135" customFormat="1" ht="12.75"/>
    <row r="6051" s="135" customFormat="1" ht="12.75"/>
    <row r="6052" s="135" customFormat="1" ht="12.75"/>
    <row r="6053" s="135" customFormat="1" ht="12.75"/>
    <row r="6054" s="135" customFormat="1" ht="12.75"/>
    <row r="6055" s="135" customFormat="1" ht="12.75"/>
    <row r="6056" s="135" customFormat="1" ht="12.75"/>
    <row r="6057" s="135" customFormat="1" ht="12.75"/>
    <row r="6058" s="135" customFormat="1" ht="12.75"/>
    <row r="6059" s="135" customFormat="1" ht="12.75"/>
    <row r="6060" s="135" customFormat="1" ht="12.75"/>
    <row r="6061" s="135" customFormat="1" ht="12.75"/>
    <row r="6062" s="135" customFormat="1" ht="12.75"/>
    <row r="6063" s="135" customFormat="1" ht="12.75"/>
    <row r="6064" s="135" customFormat="1" ht="12.75"/>
    <row r="6065" s="135" customFormat="1" ht="12.75"/>
    <row r="6066" s="135" customFormat="1" ht="12.75"/>
    <row r="6067" s="135" customFormat="1" ht="12.75"/>
    <row r="6068" s="135" customFormat="1" ht="12.75"/>
    <row r="6069" s="135" customFormat="1" ht="12.75"/>
    <row r="6070" s="135" customFormat="1" ht="12.75"/>
    <row r="6071" s="135" customFormat="1" ht="12.75"/>
    <row r="6072" s="135" customFormat="1" ht="12.75"/>
    <row r="6073" s="135" customFormat="1" ht="12.75"/>
    <row r="6074" s="135" customFormat="1" ht="12.75"/>
    <row r="6075" s="135" customFormat="1" ht="12.75"/>
    <row r="6076" s="135" customFormat="1" ht="12.75"/>
    <row r="6077" s="135" customFormat="1" ht="12.75"/>
    <row r="6078" s="135" customFormat="1" ht="12.75"/>
    <row r="6079" s="135" customFormat="1" ht="12.75"/>
    <row r="6080" s="135" customFormat="1" ht="12.75"/>
    <row r="6081" s="135" customFormat="1" ht="12.75"/>
    <row r="6082" s="135" customFormat="1" ht="12.75"/>
    <row r="6083" s="135" customFormat="1" ht="12.75"/>
    <row r="6084" s="135" customFormat="1" ht="12.75"/>
    <row r="6085" s="135" customFormat="1" ht="12.75"/>
    <row r="6086" s="135" customFormat="1" ht="12.75"/>
    <row r="6087" s="135" customFormat="1" ht="12.75"/>
    <row r="6088" s="135" customFormat="1" ht="12.75"/>
    <row r="6089" s="135" customFormat="1" ht="12.75"/>
    <row r="6090" s="135" customFormat="1" ht="12.75"/>
    <row r="6091" s="135" customFormat="1" ht="12.75"/>
    <row r="6092" s="135" customFormat="1" ht="12.75"/>
    <row r="6093" s="135" customFormat="1" ht="12.75"/>
    <row r="6094" s="135" customFormat="1" ht="12.75"/>
    <row r="6095" s="135" customFormat="1" ht="12.75"/>
    <row r="6096" s="135" customFormat="1" ht="12.75"/>
    <row r="6097" s="135" customFormat="1" ht="12.75"/>
    <row r="6098" s="135" customFormat="1" ht="12.75"/>
    <row r="6099" s="135" customFormat="1" ht="12.75"/>
    <row r="6100" s="135" customFormat="1" ht="12.75"/>
    <row r="6101" s="135" customFormat="1" ht="12.75"/>
    <row r="6102" s="135" customFormat="1" ht="12.75"/>
    <row r="6103" s="135" customFormat="1" ht="12.75"/>
    <row r="6104" s="135" customFormat="1" ht="12.75"/>
    <row r="6105" s="135" customFormat="1" ht="12.75"/>
    <row r="6106" s="135" customFormat="1" ht="12.75"/>
    <row r="6107" s="135" customFormat="1" ht="12.75"/>
    <row r="6108" s="135" customFormat="1" ht="12.75"/>
    <row r="6109" s="135" customFormat="1" ht="12.75"/>
    <row r="6110" s="135" customFormat="1" ht="12.75"/>
    <row r="6111" s="135" customFormat="1" ht="12.75"/>
    <row r="6112" s="135" customFormat="1" ht="12.75"/>
    <row r="6113" s="135" customFormat="1" ht="12.75"/>
    <row r="6114" s="135" customFormat="1" ht="12.75"/>
    <row r="6115" s="135" customFormat="1" ht="12.75"/>
    <row r="6116" s="135" customFormat="1" ht="12.75"/>
    <row r="6117" s="135" customFormat="1" ht="12.75"/>
    <row r="6118" s="135" customFormat="1" ht="12.75"/>
    <row r="6119" s="135" customFormat="1" ht="12.75"/>
    <row r="6120" s="135" customFormat="1" ht="12.75"/>
    <row r="6121" s="135" customFormat="1" ht="12.75"/>
    <row r="6122" s="135" customFormat="1" ht="12.75"/>
    <row r="6123" s="135" customFormat="1" ht="12.75"/>
    <row r="6124" s="135" customFormat="1" ht="12.75"/>
    <row r="6125" s="135" customFormat="1" ht="12.75"/>
    <row r="6126" s="135" customFormat="1" ht="12.75"/>
    <row r="6127" s="135" customFormat="1" ht="12.75"/>
    <row r="6128" s="135" customFormat="1" ht="12.75"/>
    <row r="6129" s="135" customFormat="1" ht="12.75"/>
    <row r="6130" s="135" customFormat="1" ht="12.75"/>
    <row r="6131" s="135" customFormat="1" ht="12.75"/>
    <row r="6132" s="135" customFormat="1" ht="12.75"/>
    <row r="6133" s="135" customFormat="1" ht="12.75"/>
    <row r="6134" s="135" customFormat="1" ht="12.75"/>
    <row r="6135" s="135" customFormat="1" ht="12.75"/>
    <row r="6136" s="135" customFormat="1" ht="12.75"/>
    <row r="6137" s="135" customFormat="1" ht="12.75"/>
    <row r="6138" s="135" customFormat="1" ht="12.75"/>
    <row r="6139" s="135" customFormat="1" ht="12.75"/>
    <row r="6140" s="135" customFormat="1" ht="12.75"/>
    <row r="6141" s="135" customFormat="1" ht="12.75"/>
    <row r="6142" s="135" customFormat="1" ht="12.75"/>
    <row r="6143" s="135" customFormat="1" ht="12.75"/>
    <row r="6144" s="135" customFormat="1" ht="12.75"/>
    <row r="6145" s="135" customFormat="1" ht="12.75"/>
    <row r="6146" s="135" customFormat="1" ht="12.75"/>
    <row r="6147" s="135" customFormat="1" ht="12.75"/>
    <row r="6148" s="135" customFormat="1" ht="12.75"/>
    <row r="6149" s="135" customFormat="1" ht="12.75"/>
    <row r="6150" s="135" customFormat="1" ht="12.75"/>
    <row r="6151" s="135" customFormat="1" ht="12.75"/>
    <row r="6152" s="135" customFormat="1" ht="12.75"/>
    <row r="6153" s="135" customFormat="1" ht="12.75"/>
    <row r="6154" s="135" customFormat="1" ht="12.75"/>
    <row r="6155" s="135" customFormat="1" ht="12.75"/>
    <row r="6156" s="135" customFormat="1" ht="12.75"/>
    <row r="6157" s="135" customFormat="1" ht="12.75"/>
    <row r="6158" s="135" customFormat="1" ht="12.75"/>
    <row r="6159" s="135" customFormat="1" ht="12.75"/>
    <row r="6160" s="135" customFormat="1" ht="12.75"/>
    <row r="6161" s="135" customFormat="1" ht="12.75"/>
    <row r="6162" s="135" customFormat="1" ht="12.75"/>
    <row r="6163" s="135" customFormat="1" ht="12.75"/>
    <row r="6164" s="135" customFormat="1" ht="12.75"/>
    <row r="6165" s="135" customFormat="1" ht="12.75"/>
    <row r="6166" s="135" customFormat="1" ht="12.75"/>
    <row r="6167" s="135" customFormat="1" ht="12.75"/>
    <row r="6168" s="135" customFormat="1" ht="12.75"/>
    <row r="6169" s="135" customFormat="1" ht="12.75"/>
    <row r="6170" s="135" customFormat="1" ht="12.75"/>
    <row r="6171" s="135" customFormat="1" ht="12.75"/>
    <row r="6172" s="135" customFormat="1" ht="12.75"/>
    <row r="6173" s="135" customFormat="1" ht="12.75"/>
    <row r="6174" s="135" customFormat="1" ht="12.75"/>
    <row r="6175" s="135" customFormat="1" ht="12.75"/>
    <row r="6176" s="135" customFormat="1" ht="12.75"/>
    <row r="6177" s="135" customFormat="1" ht="12.75"/>
    <row r="6178" s="135" customFormat="1" ht="12.75"/>
    <row r="6179" s="135" customFormat="1" ht="12.75"/>
    <row r="6180" s="135" customFormat="1" ht="12.75"/>
    <row r="6181" s="135" customFormat="1" ht="12.75"/>
    <row r="6182" s="135" customFormat="1" ht="12.75"/>
    <row r="6183" s="135" customFormat="1" ht="12.75"/>
    <row r="6184" s="135" customFormat="1" ht="12.75"/>
    <row r="6185" s="135" customFormat="1" ht="12.75"/>
    <row r="6186" s="135" customFormat="1" ht="12.75"/>
    <row r="6187" s="135" customFormat="1" ht="12.75"/>
    <row r="6188" s="135" customFormat="1" ht="12.75"/>
    <row r="6189" s="135" customFormat="1" ht="12.75"/>
    <row r="6190" s="135" customFormat="1" ht="12.75"/>
    <row r="6191" s="135" customFormat="1" ht="12.75"/>
    <row r="6192" s="135" customFormat="1" ht="12.75"/>
    <row r="6193" s="135" customFormat="1" ht="12.75"/>
    <row r="6194" s="135" customFormat="1" ht="12.75"/>
    <row r="6195" s="135" customFormat="1" ht="12.75"/>
    <row r="6196" s="135" customFormat="1" ht="12.75"/>
    <row r="6197" s="135" customFormat="1" ht="12.75"/>
    <row r="6198" s="135" customFormat="1" ht="12.75"/>
    <row r="6199" s="135" customFormat="1" ht="12.75"/>
    <row r="6200" s="135" customFormat="1" ht="12.75"/>
    <row r="6201" s="135" customFormat="1" ht="12.75"/>
    <row r="6202" s="135" customFormat="1" ht="12.75"/>
    <row r="6203" s="135" customFormat="1" ht="12.75"/>
    <row r="6204" s="135" customFormat="1" ht="12.75"/>
    <row r="6205" s="135" customFormat="1" ht="12.75"/>
    <row r="6206" s="135" customFormat="1" ht="12.75"/>
    <row r="6207" s="135" customFormat="1" ht="12.75"/>
    <row r="6208" s="135" customFormat="1" ht="12.75"/>
    <row r="6209" s="135" customFormat="1" ht="12.75"/>
    <row r="6210" s="135" customFormat="1" ht="12.75"/>
    <row r="6211" s="135" customFormat="1" ht="12.75"/>
    <row r="6212" s="135" customFormat="1" ht="12.75"/>
    <row r="6213" s="135" customFormat="1" ht="12.75"/>
    <row r="6214" s="135" customFormat="1" ht="12.75"/>
    <row r="6215" s="135" customFormat="1" ht="12.75"/>
    <row r="6216" s="135" customFormat="1" ht="12.75"/>
    <row r="6217" s="135" customFormat="1" ht="12.75"/>
    <row r="6218" s="135" customFormat="1" ht="12.75"/>
    <row r="6219" s="135" customFormat="1" ht="12.75"/>
    <row r="6220" s="135" customFormat="1" ht="12.75"/>
    <row r="6221" s="135" customFormat="1" ht="12.75"/>
    <row r="6222" s="135" customFormat="1" ht="12.75"/>
    <row r="6223" s="135" customFormat="1" ht="12.75"/>
    <row r="6224" s="135" customFormat="1" ht="12.75"/>
    <row r="6225" s="135" customFormat="1" ht="12.75"/>
    <row r="6226" s="135" customFormat="1" ht="12.75"/>
    <row r="6227" s="135" customFormat="1" ht="12.75"/>
    <row r="6228" s="135" customFormat="1" ht="12.75"/>
    <row r="6229" s="135" customFormat="1" ht="12.75"/>
    <row r="6230" s="135" customFormat="1" ht="12.75"/>
    <row r="6231" s="135" customFormat="1" ht="12.75"/>
    <row r="6232" s="135" customFormat="1" ht="12.75"/>
    <row r="6233" s="135" customFormat="1" ht="12.75"/>
    <row r="6234" s="135" customFormat="1" ht="12.75"/>
    <row r="6235" s="135" customFormat="1" ht="12.75"/>
    <row r="6236" s="135" customFormat="1" ht="12.75"/>
    <row r="6237" s="135" customFormat="1" ht="12.75"/>
    <row r="6238" s="135" customFormat="1" ht="12.75"/>
    <row r="6239" s="135" customFormat="1" ht="12.75"/>
    <row r="6240" s="135" customFormat="1" ht="12.75"/>
    <row r="6241" s="135" customFormat="1" ht="12.75"/>
    <row r="6242" s="135" customFormat="1" ht="12.75"/>
    <row r="6243" s="135" customFormat="1" ht="12.75"/>
    <row r="6244" s="135" customFormat="1" ht="12.75"/>
    <row r="6245" s="135" customFormat="1" ht="12.75"/>
    <row r="6246" s="135" customFormat="1" ht="12.75"/>
    <row r="6247" s="135" customFormat="1" ht="12.75"/>
    <row r="6248" s="135" customFormat="1" ht="12.75"/>
    <row r="6249" s="135" customFormat="1" ht="12.75"/>
    <row r="6250" s="135" customFormat="1" ht="12.75"/>
    <row r="6251" s="135" customFormat="1" ht="12.75"/>
    <row r="6252" s="135" customFormat="1" ht="12.75"/>
    <row r="6253" s="135" customFormat="1" ht="12.75"/>
    <row r="6254" s="135" customFormat="1" ht="12.75"/>
    <row r="6255" s="135" customFormat="1" ht="12.75"/>
    <row r="6256" s="135" customFormat="1" ht="12.75"/>
    <row r="6257" s="135" customFormat="1" ht="12.75"/>
    <row r="6258" s="135" customFormat="1" ht="12.75"/>
    <row r="6259" s="135" customFormat="1" ht="12.75"/>
    <row r="6260" s="135" customFormat="1" ht="12.75"/>
    <row r="6261" s="135" customFormat="1" ht="12.75"/>
    <row r="6262" s="135" customFormat="1" ht="12.75"/>
    <row r="6263" s="135" customFormat="1" ht="12.75"/>
    <row r="6264" s="135" customFormat="1" ht="12.75"/>
    <row r="6265" s="135" customFormat="1" ht="12.75"/>
    <row r="6266" s="135" customFormat="1" ht="12.75"/>
    <row r="6267" s="135" customFormat="1" ht="12.75"/>
    <row r="6268" s="135" customFormat="1" ht="12.75"/>
    <row r="6269" s="135" customFormat="1" ht="12.75"/>
    <row r="6270" s="135" customFormat="1" ht="12.75"/>
    <row r="6271" s="135" customFormat="1" ht="12.75"/>
    <row r="6272" s="135" customFormat="1" ht="12.75"/>
    <row r="6273" s="135" customFormat="1" ht="12.75"/>
    <row r="6274" s="135" customFormat="1" ht="12.75"/>
    <row r="6275" s="135" customFormat="1" ht="12.75"/>
    <row r="6276" s="135" customFormat="1" ht="12.75"/>
    <row r="6277" s="135" customFormat="1" ht="12.75"/>
    <row r="6278" s="135" customFormat="1" ht="12.75"/>
    <row r="6279" s="135" customFormat="1" ht="12.75"/>
    <row r="6280" s="135" customFormat="1" ht="12.75"/>
    <row r="6281" s="135" customFormat="1" ht="12.75"/>
    <row r="6282" s="135" customFormat="1" ht="12.75"/>
    <row r="6283" s="135" customFormat="1" ht="12.75"/>
    <row r="6284" s="135" customFormat="1" ht="12.75"/>
    <row r="6285" s="135" customFormat="1" ht="12.75"/>
    <row r="6286" s="135" customFormat="1" ht="12.75"/>
    <row r="6287" s="135" customFormat="1" ht="12.75"/>
    <row r="6288" s="135" customFormat="1" ht="12.75"/>
    <row r="6289" s="135" customFormat="1" ht="12.75"/>
    <row r="6290" s="135" customFormat="1" ht="12.75"/>
    <row r="6291" s="135" customFormat="1" ht="12.75"/>
    <row r="6292" s="135" customFormat="1" ht="12.75"/>
    <row r="6293" s="135" customFormat="1" ht="12.75"/>
    <row r="6294" s="135" customFormat="1" ht="12.75"/>
    <row r="6295" s="135" customFormat="1" ht="12.75"/>
    <row r="6296" s="135" customFormat="1" ht="12.75"/>
    <row r="6297" s="135" customFormat="1" ht="12.75"/>
    <row r="6298" s="135" customFormat="1" ht="12.75"/>
    <row r="6299" s="135" customFormat="1" ht="12.75"/>
    <row r="6300" s="135" customFormat="1" ht="12.75"/>
    <row r="6301" s="135" customFormat="1" ht="12.75"/>
    <row r="6302" s="135" customFormat="1" ht="12.75"/>
    <row r="6303" s="135" customFormat="1" ht="12.75"/>
    <row r="6304" s="135" customFormat="1" ht="12.75"/>
    <row r="6305" s="135" customFormat="1" ht="12.75"/>
    <row r="6306" s="135" customFormat="1" ht="12.75"/>
    <row r="6307" s="135" customFormat="1" ht="12.75"/>
    <row r="6308" s="135" customFormat="1" ht="12.75"/>
    <row r="6309" s="135" customFormat="1" ht="12.75"/>
    <row r="6310" s="135" customFormat="1" ht="12.75"/>
    <row r="6311" s="135" customFormat="1" ht="12.75"/>
    <row r="6312" s="135" customFormat="1" ht="12.75"/>
    <row r="6313" s="135" customFormat="1" ht="12.75"/>
    <row r="6314" s="135" customFormat="1" ht="12.75"/>
    <row r="6315" s="135" customFormat="1" ht="12.75"/>
    <row r="6316" s="135" customFormat="1" ht="12.75"/>
    <row r="6317" s="135" customFormat="1" ht="12.75"/>
    <row r="6318" s="135" customFormat="1" ht="12.75"/>
    <row r="6319" s="135" customFormat="1" ht="12.75"/>
    <row r="6320" s="135" customFormat="1" ht="12.75"/>
    <row r="6321" s="135" customFormat="1" ht="12.75"/>
    <row r="6322" s="135" customFormat="1" ht="12.75"/>
    <row r="6323" s="135" customFormat="1" ht="12.75"/>
    <row r="6324" s="135" customFormat="1" ht="12.75"/>
    <row r="6325" s="135" customFormat="1" ht="12.75"/>
    <row r="6326" s="135" customFormat="1" ht="12.75"/>
    <row r="6327" s="135" customFormat="1" ht="12.75"/>
    <row r="6328" s="135" customFormat="1" ht="12.75"/>
    <row r="6329" s="135" customFormat="1" ht="12.75"/>
    <row r="6330" s="135" customFormat="1" ht="12.75"/>
    <row r="6331" s="135" customFormat="1" ht="12.75"/>
    <row r="6332" s="135" customFormat="1" ht="12.75"/>
    <row r="6333" s="135" customFormat="1" ht="12.75"/>
    <row r="6334" s="135" customFormat="1" ht="12.75"/>
    <row r="6335" s="135" customFormat="1" ht="12.75"/>
    <row r="6336" s="135" customFormat="1" ht="12.75"/>
    <row r="6337" s="135" customFormat="1" ht="12.75"/>
    <row r="6338" s="135" customFormat="1" ht="12.75"/>
    <row r="6339" s="135" customFormat="1" ht="12.75"/>
    <row r="6340" s="135" customFormat="1" ht="12.75"/>
    <row r="6341" s="135" customFormat="1" ht="12.75"/>
    <row r="6342" s="135" customFormat="1" ht="12.75"/>
    <row r="6343" s="135" customFormat="1" ht="12.75"/>
    <row r="6344" s="135" customFormat="1" ht="12.75"/>
    <row r="6345" s="135" customFormat="1" ht="12.75"/>
    <row r="6346" s="135" customFormat="1" ht="12.75"/>
    <row r="6347" s="135" customFormat="1" ht="12.75"/>
    <row r="6348" s="135" customFormat="1" ht="12.75"/>
    <row r="6349" s="135" customFormat="1" ht="12.75"/>
    <row r="6350" s="135" customFormat="1" ht="12.75"/>
    <row r="6351" s="135" customFormat="1" ht="12.75"/>
    <row r="6352" s="135" customFormat="1" ht="12.75"/>
    <row r="6353" s="135" customFormat="1" ht="12.75"/>
    <row r="6354" s="135" customFormat="1" ht="12.75"/>
    <row r="6355" s="135" customFormat="1" ht="12.75"/>
    <row r="6356" s="135" customFormat="1" ht="12.75"/>
    <row r="6357" s="135" customFormat="1" ht="12.75"/>
    <row r="6358" s="135" customFormat="1" ht="12.75"/>
    <row r="6359" s="135" customFormat="1" ht="12.75"/>
    <row r="6360" s="135" customFormat="1" ht="12.75"/>
    <row r="6361" s="135" customFormat="1" ht="12.75"/>
    <row r="6362" s="135" customFormat="1" ht="12.75"/>
    <row r="6363" s="135" customFormat="1" ht="12.75"/>
    <row r="6364" s="135" customFormat="1" ht="12.75"/>
    <row r="6365" s="135" customFormat="1" ht="12.75"/>
    <row r="6366" s="135" customFormat="1" ht="12.75"/>
    <row r="6367" s="135" customFormat="1" ht="12.75"/>
    <row r="6368" s="135" customFormat="1" ht="12.75"/>
    <row r="6369" s="135" customFormat="1" ht="12.75"/>
    <row r="6370" s="135" customFormat="1" ht="12.75"/>
    <row r="6371" s="135" customFormat="1" ht="12.75"/>
    <row r="6372" s="135" customFormat="1" ht="12.75"/>
    <row r="6373" s="135" customFormat="1" ht="12.75"/>
    <row r="6374" s="135" customFormat="1" ht="12.75"/>
    <row r="6375" s="135" customFormat="1" ht="12.75"/>
    <row r="6376" s="135" customFormat="1" ht="12.75"/>
    <row r="6377" s="135" customFormat="1" ht="12.75"/>
    <row r="6378" s="135" customFormat="1" ht="12.75"/>
    <row r="6379" s="135" customFormat="1" ht="12.75"/>
    <row r="6380" s="135" customFormat="1" ht="12.75"/>
    <row r="6381" s="135" customFormat="1" ht="12.75"/>
    <row r="6382" s="135" customFormat="1" ht="12.75"/>
    <row r="6383" s="135" customFormat="1" ht="12.75"/>
    <row r="6384" s="135" customFormat="1" ht="12.75"/>
    <row r="6385" s="135" customFormat="1" ht="12.75"/>
    <row r="6386" s="135" customFormat="1" ht="12.75"/>
    <row r="6387" s="135" customFormat="1" ht="12.75"/>
    <row r="6388" s="135" customFormat="1" ht="12.75"/>
    <row r="6389" s="135" customFormat="1" ht="12.75"/>
    <row r="6390" s="135" customFormat="1" ht="12.75"/>
    <row r="6391" s="135" customFormat="1" ht="12.75"/>
    <row r="6392" s="135" customFormat="1" ht="12.75"/>
    <row r="6393" s="135" customFormat="1" ht="12.75"/>
    <row r="6394" s="135" customFormat="1" ht="12.75"/>
    <row r="6395" s="135" customFormat="1" ht="12.75"/>
    <row r="6396" s="135" customFormat="1" ht="12.75"/>
    <row r="6397" s="135" customFormat="1" ht="12.75"/>
    <row r="6398" s="135" customFormat="1" ht="12.75"/>
    <row r="6399" s="135" customFormat="1" ht="12.75"/>
    <row r="6400" s="135" customFormat="1" ht="12.75"/>
    <row r="6401" s="135" customFormat="1" ht="12.75"/>
    <row r="6402" s="135" customFormat="1" ht="12.75"/>
    <row r="6403" s="135" customFormat="1" ht="12.75"/>
    <row r="6404" s="135" customFormat="1" ht="12.75"/>
    <row r="6405" s="135" customFormat="1" ht="12.75"/>
    <row r="6406" s="135" customFormat="1" ht="12.75"/>
    <row r="6407" s="135" customFormat="1" ht="12.75"/>
    <row r="6408" s="135" customFormat="1" ht="12.75"/>
    <row r="6409" s="135" customFormat="1" ht="12.75"/>
    <row r="6410" s="135" customFormat="1" ht="12.75"/>
    <row r="6411" s="135" customFormat="1" ht="12.75"/>
    <row r="6412" s="135" customFormat="1" ht="12.75"/>
    <row r="6413" s="135" customFormat="1" ht="12.75"/>
    <row r="6414" s="135" customFormat="1" ht="12.75"/>
    <row r="6415" s="135" customFormat="1" ht="12.75"/>
    <row r="6416" s="135" customFormat="1" ht="12.75"/>
    <row r="6417" s="135" customFormat="1" ht="12.75"/>
    <row r="6418" s="135" customFormat="1" ht="12.75"/>
    <row r="6419" s="135" customFormat="1" ht="12.75"/>
    <row r="6420" s="135" customFormat="1" ht="12.75"/>
    <row r="6421" s="135" customFormat="1" ht="12.75"/>
    <row r="6422" s="135" customFormat="1" ht="12.75"/>
    <row r="6423" s="135" customFormat="1" ht="12.75"/>
    <row r="6424" s="135" customFormat="1" ht="12.75"/>
    <row r="6425" s="135" customFormat="1" ht="12.75"/>
    <row r="6426" s="135" customFormat="1" ht="12.75"/>
    <row r="6427" s="135" customFormat="1" ht="12.75"/>
    <row r="6428" s="135" customFormat="1" ht="12.75"/>
    <row r="6429" s="135" customFormat="1" ht="12.75"/>
    <row r="6430" s="135" customFormat="1" ht="12.75"/>
    <row r="6431" s="135" customFormat="1" ht="12.75"/>
    <row r="6432" s="135" customFormat="1" ht="12.75"/>
    <row r="6433" s="135" customFormat="1" ht="12.75"/>
    <row r="6434" s="135" customFormat="1" ht="12.75"/>
    <row r="6435" s="135" customFormat="1" ht="12.75"/>
    <row r="6436" s="135" customFormat="1" ht="12.75"/>
    <row r="6437" s="135" customFormat="1" ht="12.75"/>
    <row r="6438" s="135" customFormat="1" ht="12.75"/>
    <row r="6439" s="135" customFormat="1" ht="12.75"/>
    <row r="6440" s="135" customFormat="1" ht="12.75"/>
    <row r="6441" s="135" customFormat="1" ht="12.75"/>
    <row r="6442" s="135" customFormat="1" ht="12.75"/>
    <row r="6443" s="135" customFormat="1" ht="12.75"/>
    <row r="6444" s="135" customFormat="1" ht="12.75"/>
    <row r="6445" s="135" customFormat="1" ht="12.75"/>
    <row r="6446" s="135" customFormat="1" ht="12.75"/>
    <row r="6447" s="135" customFormat="1" ht="12.75"/>
    <row r="6448" s="135" customFormat="1" ht="12.75"/>
    <row r="6449" s="135" customFormat="1" ht="12.75"/>
    <row r="6450" s="135" customFormat="1" ht="12.75"/>
    <row r="6451" s="135" customFormat="1" ht="12.75"/>
    <row r="6452" s="135" customFormat="1" ht="12.75"/>
    <row r="6453" s="135" customFormat="1" ht="12.75"/>
    <row r="6454" s="135" customFormat="1" ht="12.75"/>
    <row r="6455" s="135" customFormat="1" ht="12.75"/>
    <row r="6456" s="135" customFormat="1" ht="12.75"/>
    <row r="6457" s="135" customFormat="1" ht="12.75"/>
    <row r="6458" s="135" customFormat="1" ht="12.75"/>
    <row r="6459" s="135" customFormat="1" ht="12.75"/>
    <row r="6460" s="135" customFormat="1" ht="12.75"/>
    <row r="6461" s="135" customFormat="1" ht="12.75"/>
    <row r="6462" s="135" customFormat="1" ht="12.75"/>
    <row r="6463" s="135" customFormat="1" ht="12.75"/>
    <row r="6464" s="135" customFormat="1" ht="12.75"/>
    <row r="6465" s="135" customFormat="1" ht="12.75"/>
    <row r="6466" s="135" customFormat="1" ht="12.75"/>
    <row r="6467" s="135" customFormat="1" ht="12.75"/>
    <row r="6468" s="135" customFormat="1" ht="12.75"/>
    <row r="6469" s="135" customFormat="1" ht="12.75"/>
    <row r="6470" s="135" customFormat="1" ht="12.75"/>
    <row r="6471" s="135" customFormat="1" ht="12.75"/>
    <row r="6472" s="135" customFormat="1" ht="12.75"/>
    <row r="6473" s="135" customFormat="1" ht="12.75"/>
    <row r="6474" s="135" customFormat="1" ht="12.75"/>
    <row r="6475" s="135" customFormat="1" ht="12.75"/>
    <row r="6476" s="135" customFormat="1" ht="12.75"/>
    <row r="6477" s="135" customFormat="1" ht="12.75"/>
    <row r="6478" s="135" customFormat="1" ht="12.75"/>
    <row r="6479" s="135" customFormat="1" ht="12.75"/>
    <row r="6480" s="135" customFormat="1" ht="12.75"/>
    <row r="6481" s="135" customFormat="1" ht="12.75"/>
    <row r="6482" s="135" customFormat="1" ht="12.75"/>
    <row r="6483" s="135" customFormat="1" ht="12.75"/>
    <row r="6484" s="135" customFormat="1" ht="12.75"/>
    <row r="6485" s="135" customFormat="1" ht="12.75"/>
    <row r="6486" s="135" customFormat="1" ht="12.75"/>
    <row r="6487" s="135" customFormat="1" ht="12.75"/>
    <row r="6488" s="135" customFormat="1" ht="12.75"/>
    <row r="6489" s="135" customFormat="1" ht="12.75"/>
    <row r="6490" s="135" customFormat="1" ht="12.75"/>
    <row r="6491" s="135" customFormat="1" ht="12.75"/>
    <row r="6492" s="135" customFormat="1" ht="12.75"/>
    <row r="6493" s="135" customFormat="1" ht="12.75"/>
    <row r="6494" s="135" customFormat="1" ht="12.75"/>
    <row r="6495" s="135" customFormat="1" ht="12.75"/>
    <row r="6496" s="135" customFormat="1" ht="12.75"/>
    <row r="6497" s="135" customFormat="1" ht="12.75"/>
    <row r="6498" s="135" customFormat="1" ht="12.75"/>
    <row r="6499" s="135" customFormat="1" ht="12.75"/>
    <row r="6500" s="135" customFormat="1" ht="12.75"/>
    <row r="6501" s="135" customFormat="1" ht="12.75"/>
    <row r="6502" s="135" customFormat="1" ht="12.75"/>
    <row r="6503" s="135" customFormat="1" ht="12.75"/>
    <row r="6504" s="135" customFormat="1" ht="12.75"/>
    <row r="6505" s="135" customFormat="1" ht="12.75"/>
    <row r="6506" s="135" customFormat="1" ht="12.75"/>
    <row r="6507" s="135" customFormat="1" ht="12.75"/>
    <row r="6508" s="135" customFormat="1" ht="12.75"/>
    <row r="6509" s="135" customFormat="1" ht="12.75"/>
    <row r="6510" s="135" customFormat="1" ht="12.75"/>
    <row r="6511" s="135" customFormat="1" ht="12.75"/>
    <row r="6512" s="135" customFormat="1" ht="12.75"/>
    <row r="6513" s="135" customFormat="1" ht="12.75"/>
    <row r="6514" s="135" customFormat="1" ht="12.75"/>
    <row r="6515" s="135" customFormat="1" ht="12.75"/>
    <row r="6516" s="135" customFormat="1" ht="12.75"/>
    <row r="6517" s="135" customFormat="1" ht="12.75"/>
    <row r="6518" s="135" customFormat="1" ht="12.75"/>
    <row r="6519" s="135" customFormat="1" ht="12.75"/>
    <row r="6520" s="135" customFormat="1" ht="12.75"/>
    <row r="6521" s="135" customFormat="1" ht="12.75"/>
    <row r="6522" s="135" customFormat="1" ht="12.75"/>
    <row r="6523" s="135" customFormat="1" ht="12.75"/>
    <row r="6524" s="135" customFormat="1" ht="12.75"/>
    <row r="6525" s="135" customFormat="1" ht="12.75"/>
    <row r="6526" s="135" customFormat="1" ht="12.75"/>
    <row r="6527" s="135" customFormat="1" ht="12.75"/>
    <row r="6528" s="135" customFormat="1" ht="12.75"/>
    <row r="6529" s="135" customFormat="1" ht="12.75"/>
    <row r="6530" s="135" customFormat="1" ht="12.75"/>
    <row r="6531" s="135" customFormat="1" ht="12.75"/>
    <row r="6532" s="135" customFormat="1" ht="12.75"/>
    <row r="6533" s="135" customFormat="1" ht="12.75"/>
    <row r="6534" s="135" customFormat="1" ht="12.75"/>
    <row r="6535" s="135" customFormat="1" ht="12.75"/>
    <row r="6536" s="135" customFormat="1" ht="12.75"/>
    <row r="6537" s="135" customFormat="1" ht="12.75"/>
    <row r="6538" s="135" customFormat="1" ht="12.75"/>
    <row r="6539" s="135" customFormat="1" ht="12.75"/>
    <row r="6540" s="135" customFormat="1" ht="12.75"/>
    <row r="6541" s="135" customFormat="1" ht="12.75"/>
    <row r="6542" s="135" customFormat="1" ht="12.75"/>
    <row r="6543" s="135" customFormat="1" ht="12.75"/>
    <row r="6544" s="135" customFormat="1" ht="12.75"/>
    <row r="6545" s="135" customFormat="1" ht="12.75"/>
    <row r="6546" s="135" customFormat="1" ht="12.75"/>
    <row r="6547" s="135" customFormat="1" ht="12.75"/>
    <row r="6548" s="135" customFormat="1" ht="12.75"/>
    <row r="6549" s="135" customFormat="1" ht="12.75"/>
    <row r="6550" s="135" customFormat="1" ht="12.75"/>
    <row r="6551" s="135" customFormat="1" ht="12.75"/>
    <row r="6552" s="135" customFormat="1" ht="12.75"/>
    <row r="6553" s="135" customFormat="1" ht="12.75"/>
    <row r="6554" s="135" customFormat="1" ht="12.75"/>
    <row r="6555" s="135" customFormat="1" ht="12.75"/>
    <row r="6556" s="135" customFormat="1" ht="12.75"/>
    <row r="6557" s="135" customFormat="1" ht="12.75"/>
    <row r="6558" s="135" customFormat="1" ht="12.75"/>
    <row r="6559" s="135" customFormat="1" ht="12.75"/>
    <row r="6560" s="135" customFormat="1" ht="12.75"/>
    <row r="6561" s="135" customFormat="1" ht="12.75"/>
    <row r="6562" s="135" customFormat="1" ht="12.75"/>
    <row r="6563" s="135" customFormat="1" ht="12.75"/>
    <row r="6564" s="135" customFormat="1" ht="12.75"/>
    <row r="6565" s="135" customFormat="1" ht="12.75"/>
    <row r="6566" s="135" customFormat="1" ht="12.75"/>
    <row r="6567" s="135" customFormat="1" ht="12.75"/>
    <row r="6568" s="135" customFormat="1" ht="12.75"/>
    <row r="6569" s="135" customFormat="1" ht="12.75"/>
    <row r="6570" s="135" customFormat="1" ht="12.75"/>
    <row r="6571" s="135" customFormat="1" ht="12.75"/>
    <row r="6572" s="135" customFormat="1" ht="12.75"/>
    <row r="6573" s="135" customFormat="1" ht="12.75"/>
    <row r="6574" s="135" customFormat="1" ht="12.75"/>
    <row r="6575" s="135" customFormat="1" ht="12.75"/>
    <row r="6576" s="135" customFormat="1" ht="12.75"/>
    <row r="6577" s="135" customFormat="1" ht="12.75"/>
    <row r="6578" s="135" customFormat="1" ht="12.75"/>
    <row r="6579" s="135" customFormat="1" ht="12.75"/>
    <row r="6580" s="135" customFormat="1" ht="12.75"/>
    <row r="6581" s="135" customFormat="1" ht="12.75"/>
    <row r="6582" s="135" customFormat="1" ht="12.75"/>
    <row r="6583" s="135" customFormat="1" ht="12.75"/>
    <row r="6584" s="135" customFormat="1" ht="12.75"/>
    <row r="6585" s="135" customFormat="1" ht="12.75"/>
    <row r="6586" s="135" customFormat="1" ht="12.75"/>
    <row r="6587" s="135" customFormat="1" ht="12.75"/>
    <row r="6588" s="135" customFormat="1" ht="12.75"/>
    <row r="6589" s="135" customFormat="1" ht="12.75"/>
    <row r="6590" s="135" customFormat="1" ht="12.75"/>
    <row r="6591" s="135" customFormat="1" ht="12.75"/>
    <row r="6592" s="135" customFormat="1" ht="12.75"/>
    <row r="6593" s="135" customFormat="1" ht="12.75"/>
    <row r="6594" s="135" customFormat="1" ht="12.75"/>
    <row r="6595" s="135" customFormat="1" ht="12.75"/>
    <row r="6596" s="135" customFormat="1" ht="12.75"/>
    <row r="6597" s="135" customFormat="1" ht="12.75"/>
    <row r="6598" s="135" customFormat="1" ht="12.75"/>
    <row r="6599" s="135" customFormat="1" ht="12.75"/>
    <row r="6600" s="135" customFormat="1" ht="12.75"/>
    <row r="6601" s="135" customFormat="1" ht="12.75"/>
    <row r="6602" s="135" customFormat="1" ht="12.75"/>
    <row r="6603" s="135" customFormat="1" ht="12.75"/>
    <row r="6604" s="135" customFormat="1" ht="12.75"/>
    <row r="6605" s="135" customFormat="1" ht="12.75"/>
    <row r="6606" s="135" customFormat="1" ht="12.75"/>
    <row r="6607" s="135" customFormat="1" ht="12.75"/>
    <row r="6608" s="135" customFormat="1" ht="12.75"/>
    <row r="6609" s="135" customFormat="1" ht="12.75"/>
    <row r="6610" s="135" customFormat="1" ht="12.75"/>
    <row r="6611" s="135" customFormat="1" ht="12.75"/>
    <row r="6612" s="135" customFormat="1" ht="12.75"/>
    <row r="6613" s="135" customFormat="1" ht="12.75"/>
    <row r="6614" s="135" customFormat="1" ht="12.75"/>
    <row r="6615" s="135" customFormat="1" ht="12.75"/>
    <row r="6616" s="135" customFormat="1" ht="12.75"/>
    <row r="6617" s="135" customFormat="1" ht="12.75"/>
    <row r="6618" s="135" customFormat="1" ht="12.75"/>
    <row r="6619" s="135" customFormat="1" ht="12.75"/>
    <row r="6620" s="135" customFormat="1" ht="12.75"/>
    <row r="6621" s="135" customFormat="1" ht="12.75"/>
    <row r="6622" s="135" customFormat="1" ht="12.75"/>
    <row r="6623" s="135" customFormat="1" ht="12.75"/>
    <row r="6624" s="135" customFormat="1" ht="12.75"/>
    <row r="6625" s="135" customFormat="1" ht="12.75"/>
    <row r="6626" s="135" customFormat="1" ht="12.75"/>
    <row r="6627" s="135" customFormat="1" ht="12.75"/>
    <row r="6628" s="135" customFormat="1" ht="12.75"/>
    <row r="6629" s="135" customFormat="1" ht="12.75"/>
    <row r="6630" s="135" customFormat="1" ht="12.75"/>
    <row r="6631" s="135" customFormat="1" ht="12.75"/>
    <row r="6632" s="135" customFormat="1" ht="12.75"/>
    <row r="6633" s="135" customFormat="1" ht="12.75"/>
    <row r="6634" s="135" customFormat="1" ht="12.75"/>
    <row r="6635" s="135" customFormat="1" ht="12.75"/>
    <row r="6636" s="135" customFormat="1" ht="12.75"/>
    <row r="6637" s="135" customFormat="1" ht="12.75"/>
    <row r="6638" s="135" customFormat="1" ht="12.75"/>
    <row r="6639" s="135" customFormat="1" ht="12.75"/>
    <row r="6640" s="135" customFormat="1" ht="12.75"/>
    <row r="6641" s="135" customFormat="1" ht="12.75"/>
    <row r="6642" s="135" customFormat="1" ht="12.75"/>
    <row r="6643" s="135" customFormat="1" ht="12.75"/>
    <row r="6644" s="135" customFormat="1" ht="12.75"/>
    <row r="6645" s="135" customFormat="1" ht="12.75"/>
    <row r="6646" s="135" customFormat="1" ht="12.75"/>
    <row r="6647" s="135" customFormat="1" ht="12.75"/>
    <row r="6648" s="135" customFormat="1" ht="12.75"/>
    <row r="6649" s="135" customFormat="1" ht="12.75"/>
    <row r="6650" s="135" customFormat="1" ht="12.75"/>
    <row r="6651" s="135" customFormat="1" ht="12.75"/>
    <row r="6652" s="135" customFormat="1" ht="12.75"/>
    <row r="6653" s="135" customFormat="1" ht="12.75"/>
    <row r="6654" s="135" customFormat="1" ht="12.75"/>
    <row r="6655" s="135" customFormat="1" ht="12.75"/>
    <row r="6656" s="135" customFormat="1" ht="12.75"/>
    <row r="6657" s="135" customFormat="1" ht="12.75"/>
    <row r="6658" s="135" customFormat="1" ht="12.75"/>
    <row r="6659" s="135" customFormat="1" ht="12.75"/>
    <row r="6660" s="135" customFormat="1" ht="12.75"/>
    <row r="6661" s="135" customFormat="1" ht="12.75"/>
    <row r="6662" s="135" customFormat="1" ht="12.75"/>
    <row r="6663" s="135" customFormat="1" ht="12.75"/>
    <row r="6664" s="135" customFormat="1" ht="12.75"/>
    <row r="6665" s="135" customFormat="1" ht="12.75"/>
    <row r="6666" s="135" customFormat="1" ht="12.75"/>
    <row r="6667" s="135" customFormat="1" ht="12.75"/>
    <row r="6668" s="135" customFormat="1" ht="12.75"/>
    <row r="6669" s="135" customFormat="1" ht="12.75"/>
    <row r="6670" s="135" customFormat="1" ht="12.75"/>
    <row r="6671" s="135" customFormat="1" ht="12.75"/>
    <row r="6672" s="135" customFormat="1" ht="12.75"/>
    <row r="6673" s="135" customFormat="1" ht="12.75"/>
    <row r="6674" s="135" customFormat="1" ht="12.75"/>
    <row r="6675" s="135" customFormat="1" ht="12.75"/>
    <row r="6676" s="135" customFormat="1" ht="12.75"/>
    <row r="6677" s="135" customFormat="1" ht="12.75"/>
    <row r="6678" s="135" customFormat="1" ht="12.75"/>
    <row r="6679" s="135" customFormat="1" ht="12.75"/>
    <row r="6680" s="135" customFormat="1" ht="12.75"/>
    <row r="6681" s="135" customFormat="1" ht="12.75"/>
    <row r="6682" s="135" customFormat="1" ht="12.75"/>
    <row r="6683" s="135" customFormat="1" ht="12.75"/>
    <row r="6684" s="135" customFormat="1" ht="12.75"/>
    <row r="6685" s="135" customFormat="1" ht="12.75"/>
    <row r="6686" s="135" customFormat="1" ht="12.75"/>
    <row r="6687" s="135" customFormat="1" ht="12.75"/>
    <row r="6688" s="135" customFormat="1" ht="12.75"/>
    <row r="6689" s="135" customFormat="1" ht="12.75"/>
    <row r="6690" s="135" customFormat="1" ht="12.75"/>
    <row r="6691" s="135" customFormat="1" ht="12.75"/>
    <row r="6692" s="135" customFormat="1" ht="12.75"/>
    <row r="6693" s="135" customFormat="1" ht="12.75"/>
    <row r="6694" s="135" customFormat="1" ht="12.75"/>
    <row r="6695" s="135" customFormat="1" ht="12.75"/>
    <row r="6696" s="135" customFormat="1" ht="12.75"/>
    <row r="6697" s="135" customFormat="1" ht="12.75"/>
    <row r="6698" s="135" customFormat="1" ht="12.75"/>
    <row r="6699" s="135" customFormat="1" ht="12.75"/>
    <row r="6700" s="135" customFormat="1" ht="12.75"/>
    <row r="6701" s="135" customFormat="1" ht="12.75"/>
    <row r="6702" s="135" customFormat="1" ht="12.75"/>
    <row r="6703" s="135" customFormat="1" ht="12.75"/>
    <row r="6704" s="135" customFormat="1" ht="12.75"/>
    <row r="6705" s="135" customFormat="1" ht="12.75"/>
    <row r="6706" s="135" customFormat="1" ht="12.75"/>
    <row r="6707" s="135" customFormat="1" ht="12.75"/>
    <row r="6708" s="135" customFormat="1" ht="12.75"/>
    <row r="6709" s="135" customFormat="1" ht="12.75"/>
    <row r="6710" s="135" customFormat="1" ht="12.75"/>
    <row r="6711" s="135" customFormat="1" ht="12.75"/>
    <row r="6712" s="135" customFormat="1" ht="12.75"/>
    <row r="6713" s="135" customFormat="1" ht="12.75"/>
    <row r="6714" s="135" customFormat="1" ht="12.75"/>
    <row r="6715" s="135" customFormat="1" ht="12.75"/>
    <row r="6716" s="135" customFormat="1" ht="12.75"/>
    <row r="6717" s="135" customFormat="1" ht="12.75"/>
    <row r="6718" s="135" customFormat="1" ht="12.75"/>
    <row r="6719" s="135" customFormat="1" ht="12.75"/>
    <row r="6720" s="135" customFormat="1" ht="12.75"/>
    <row r="6721" s="135" customFormat="1" ht="12.75"/>
    <row r="6722" s="135" customFormat="1" ht="12.75"/>
    <row r="6723" s="135" customFormat="1" ht="12.75"/>
    <row r="6724" s="135" customFormat="1" ht="12.75"/>
    <row r="6725" s="135" customFormat="1" ht="12.75"/>
    <row r="6726" s="135" customFormat="1" ht="12.75"/>
    <row r="6727" s="135" customFormat="1" ht="12.75"/>
    <row r="6728" s="135" customFormat="1" ht="12.75"/>
    <row r="6729" s="135" customFormat="1" ht="12.75"/>
    <row r="6730" s="135" customFormat="1" ht="12.75"/>
    <row r="6731" s="135" customFormat="1" ht="12.75"/>
    <row r="6732" s="135" customFormat="1" ht="12.75"/>
    <row r="6733" s="135" customFormat="1" ht="12.75"/>
    <row r="6734" s="135" customFormat="1" ht="12.75"/>
    <row r="6735" s="135" customFormat="1" ht="12.75"/>
    <row r="6736" s="135" customFormat="1" ht="12.75"/>
    <row r="6737" s="135" customFormat="1" ht="12.75"/>
    <row r="6738" s="135" customFormat="1" ht="12.75"/>
    <row r="6739" s="135" customFormat="1" ht="12.75"/>
    <row r="6740" s="135" customFormat="1" ht="12.75"/>
    <row r="6741" s="135" customFormat="1" ht="12.75"/>
    <row r="6742" s="135" customFormat="1" ht="12.75"/>
    <row r="6743" s="135" customFormat="1" ht="12.75"/>
    <row r="6744" s="135" customFormat="1" ht="12.75"/>
    <row r="6745" s="135" customFormat="1" ht="12.75"/>
    <row r="6746" s="135" customFormat="1" ht="12.75"/>
    <row r="6747" s="135" customFormat="1" ht="12.75"/>
    <row r="6748" s="135" customFormat="1" ht="12.75"/>
    <row r="6749" s="135" customFormat="1" ht="12.75"/>
    <row r="6750" s="135" customFormat="1" ht="12.75"/>
    <row r="6751" s="135" customFormat="1" ht="12.75"/>
    <row r="6752" s="135" customFormat="1" ht="12.75"/>
    <row r="6753" s="135" customFormat="1" ht="12.75"/>
    <row r="6754" s="135" customFormat="1" ht="12.75"/>
    <row r="6755" s="135" customFormat="1" ht="12.75"/>
    <row r="6756" s="135" customFormat="1" ht="12.75"/>
    <row r="6757" s="135" customFormat="1" ht="12.75"/>
    <row r="6758" s="135" customFormat="1" ht="12.75"/>
    <row r="6759" s="135" customFormat="1" ht="12.75"/>
    <row r="6760" s="135" customFormat="1" ht="12.75"/>
    <row r="6761" s="135" customFormat="1" ht="12.75"/>
    <row r="6762" s="135" customFormat="1" ht="12.75"/>
    <row r="6763" s="135" customFormat="1" ht="12.75"/>
    <row r="6764" s="135" customFormat="1" ht="12.75"/>
    <row r="6765" s="135" customFormat="1" ht="12.75"/>
    <row r="6766" s="135" customFormat="1" ht="12.75"/>
    <row r="6767" s="135" customFormat="1" ht="12.75"/>
    <row r="6768" s="135" customFormat="1" ht="12.75"/>
    <row r="6769" s="135" customFormat="1" ht="12.75"/>
    <row r="6770" s="135" customFormat="1" ht="12.75"/>
    <row r="6771" s="135" customFormat="1" ht="12.75"/>
    <row r="6772" s="135" customFormat="1" ht="12.75"/>
    <row r="6773" s="135" customFormat="1" ht="12.75"/>
    <row r="6774" s="135" customFormat="1" ht="12.75"/>
    <row r="6775" s="135" customFormat="1" ht="12.75"/>
    <row r="6776" s="135" customFormat="1" ht="12.75"/>
    <row r="6777" s="135" customFormat="1" ht="12.75"/>
    <row r="6778" s="135" customFormat="1" ht="12.75"/>
    <row r="6779" s="135" customFormat="1" ht="12.75"/>
    <row r="6780" s="135" customFormat="1" ht="12.75"/>
    <row r="6781" s="135" customFormat="1" ht="12.75"/>
    <row r="6782" s="135" customFormat="1" ht="12.75"/>
    <row r="6783" s="135" customFormat="1" ht="12.75"/>
    <row r="6784" s="135" customFormat="1" ht="12.75"/>
    <row r="6785" s="135" customFormat="1" ht="12.75"/>
    <row r="6786" s="135" customFormat="1" ht="12.75"/>
    <row r="6787" s="135" customFormat="1" ht="12.75"/>
    <row r="6788" s="135" customFormat="1" ht="12.75"/>
    <row r="6789" s="135" customFormat="1" ht="12.75"/>
    <row r="6790" s="135" customFormat="1" ht="12.75"/>
    <row r="6791" s="135" customFormat="1" ht="12.75"/>
    <row r="6792" s="135" customFormat="1" ht="12.75"/>
    <row r="6793" s="135" customFormat="1" ht="12.75"/>
    <row r="6794" s="135" customFormat="1" ht="12.75"/>
    <row r="6795" s="135" customFormat="1" ht="12.75"/>
    <row r="6796" s="135" customFormat="1" ht="12.75"/>
    <row r="6797" s="135" customFormat="1" ht="12.75"/>
    <row r="6798" s="135" customFormat="1" ht="12.75"/>
    <row r="6799" s="135" customFormat="1" ht="12.75"/>
    <row r="6800" s="135" customFormat="1" ht="12.75"/>
    <row r="6801" s="135" customFormat="1" ht="12.75"/>
    <row r="6802" s="135" customFormat="1" ht="12.75"/>
    <row r="6803" s="135" customFormat="1" ht="12.75"/>
    <row r="6804" s="135" customFormat="1" ht="12.75"/>
    <row r="6805" s="135" customFormat="1" ht="12.75"/>
    <row r="6806" s="135" customFormat="1" ht="12.75"/>
    <row r="6807" s="135" customFormat="1" ht="12.75"/>
    <row r="6808" s="135" customFormat="1" ht="12.75"/>
    <row r="6809" s="135" customFormat="1" ht="12.75"/>
    <row r="6810" s="135" customFormat="1" ht="12.75"/>
    <row r="6811" s="135" customFormat="1" ht="12.75"/>
    <row r="6812" s="135" customFormat="1" ht="12.75"/>
    <row r="6813" s="135" customFormat="1" ht="12.75"/>
    <row r="6814" s="135" customFormat="1" ht="12.75"/>
    <row r="6815" s="135" customFormat="1" ht="12.75"/>
    <row r="6816" s="135" customFormat="1" ht="12.75"/>
    <row r="6817" s="135" customFormat="1" ht="12.75"/>
    <row r="6818" s="135" customFormat="1" ht="12.75"/>
    <row r="6819" s="135" customFormat="1" ht="12.75"/>
    <row r="6820" s="135" customFormat="1" ht="12.75"/>
    <row r="6821" s="135" customFormat="1" ht="12.75"/>
    <row r="6822" s="135" customFormat="1" ht="12.75"/>
    <row r="6823" s="135" customFormat="1" ht="12.75"/>
    <row r="6824" s="135" customFormat="1" ht="12.75"/>
    <row r="6825" s="135" customFormat="1" ht="12.75"/>
    <row r="6826" s="135" customFormat="1" ht="12.75"/>
    <row r="6827" s="135" customFormat="1" ht="12.75"/>
    <row r="6828" s="135" customFormat="1" ht="12.75"/>
    <row r="6829" s="135" customFormat="1" ht="12.75"/>
    <row r="6830" s="135" customFormat="1" ht="12.75"/>
    <row r="6831" s="135" customFormat="1" ht="12.75"/>
    <row r="6832" s="135" customFormat="1" ht="12.75"/>
    <row r="6833" s="135" customFormat="1" ht="12.75"/>
    <row r="6834" s="135" customFormat="1" ht="12.75"/>
    <row r="6835" s="135" customFormat="1" ht="12.75"/>
    <row r="6836" s="135" customFormat="1" ht="12.75"/>
    <row r="6837" s="135" customFormat="1" ht="12.75"/>
    <row r="6838" s="135" customFormat="1" ht="12.75"/>
    <row r="6839" s="135" customFormat="1" ht="12.75"/>
    <row r="6840" s="135" customFormat="1" ht="12.75"/>
    <row r="6841" s="135" customFormat="1" ht="12.75"/>
    <row r="6842" s="135" customFormat="1" ht="12.75"/>
    <row r="6843" s="135" customFormat="1" ht="12.75"/>
    <row r="6844" s="135" customFormat="1" ht="12.75"/>
    <row r="6845" s="135" customFormat="1" ht="12.75"/>
    <row r="6846" s="135" customFormat="1" ht="12.75"/>
    <row r="6847" s="135" customFormat="1" ht="12.75"/>
    <row r="6848" s="135" customFormat="1" ht="12.75"/>
    <row r="6849" s="135" customFormat="1" ht="12.75"/>
    <row r="6850" s="135" customFormat="1" ht="12.75"/>
    <row r="6851" s="135" customFormat="1" ht="12.75"/>
    <row r="6852" s="135" customFormat="1" ht="12.75"/>
    <row r="6853" s="135" customFormat="1" ht="12.75"/>
    <row r="6854" s="135" customFormat="1" ht="12.75"/>
    <row r="6855" s="135" customFormat="1" ht="12.75"/>
    <row r="6856" s="135" customFormat="1" ht="12.75"/>
    <row r="6857" s="135" customFormat="1" ht="12.75"/>
    <row r="6858" s="135" customFormat="1" ht="12.75"/>
    <row r="6859" s="135" customFormat="1" ht="12.75"/>
    <row r="6860" s="135" customFormat="1" ht="12.75"/>
    <row r="6861" s="135" customFormat="1" ht="12.75"/>
    <row r="6862" s="135" customFormat="1" ht="12.75"/>
    <row r="6863" s="135" customFormat="1" ht="12.75"/>
    <row r="6864" s="135" customFormat="1" ht="12.75"/>
    <row r="6865" s="135" customFormat="1" ht="12.75"/>
    <row r="6866" s="135" customFormat="1" ht="12.75"/>
    <row r="6867" s="135" customFormat="1" ht="12.75"/>
    <row r="6868" s="135" customFormat="1" ht="12.75"/>
    <row r="6869" s="135" customFormat="1" ht="12.75"/>
    <row r="6870" s="135" customFormat="1" ht="12.75"/>
    <row r="6871" s="135" customFormat="1" ht="12.75"/>
    <row r="6872" s="135" customFormat="1" ht="12.75"/>
    <row r="6873" s="135" customFormat="1" ht="12.75"/>
    <row r="6874" s="135" customFormat="1" ht="12.75"/>
    <row r="6875" s="135" customFormat="1" ht="12.75"/>
    <row r="6876" s="135" customFormat="1" ht="12.75"/>
    <row r="6877" s="135" customFormat="1" ht="12.75"/>
    <row r="6878" s="135" customFormat="1" ht="12.75"/>
    <row r="6879" s="135" customFormat="1" ht="12.75"/>
    <row r="6880" s="135" customFormat="1" ht="12.75"/>
    <row r="6881" s="135" customFormat="1" ht="12.75"/>
    <row r="6882" s="135" customFormat="1" ht="12.75"/>
    <row r="6883" s="135" customFormat="1" ht="12.75"/>
    <row r="6884" s="135" customFormat="1" ht="12.75"/>
    <row r="6885" s="135" customFormat="1" ht="12.75"/>
    <row r="6886" s="135" customFormat="1" ht="12.75"/>
    <row r="6887" s="135" customFormat="1" ht="12.75"/>
    <row r="6888" s="135" customFormat="1" ht="12.75"/>
    <row r="6889" s="135" customFormat="1" ht="12.75"/>
    <row r="6890" s="135" customFormat="1" ht="12.75"/>
    <row r="6891" s="135" customFormat="1" ht="12.75"/>
    <row r="6892" s="135" customFormat="1" ht="12.75"/>
    <row r="6893" s="135" customFormat="1" ht="12.75"/>
    <row r="6894" s="135" customFormat="1" ht="12.75"/>
    <row r="6895" s="135" customFormat="1" ht="12.75"/>
    <row r="6896" s="135" customFormat="1" ht="12.75"/>
    <row r="6897" s="135" customFormat="1" ht="12.75"/>
    <row r="6898" s="135" customFormat="1" ht="12.75"/>
    <row r="6899" s="135" customFormat="1" ht="12.75"/>
    <row r="6900" s="135" customFormat="1" ht="12.75"/>
    <row r="6901" s="135" customFormat="1" ht="12.75"/>
    <row r="6902" s="135" customFormat="1" ht="12.75"/>
    <row r="6903" s="135" customFormat="1" ht="12.75"/>
    <row r="6904" s="135" customFormat="1" ht="12.75"/>
    <row r="6905" s="135" customFormat="1" ht="12.75"/>
    <row r="6906" s="135" customFormat="1" ht="12.75"/>
    <row r="6907" s="135" customFormat="1" ht="12.75"/>
    <row r="6908" s="135" customFormat="1" ht="12.75"/>
    <row r="6909" s="135" customFormat="1" ht="12.75"/>
    <row r="6910" s="135" customFormat="1" ht="12.75"/>
    <row r="6911" s="135" customFormat="1" ht="12.75"/>
    <row r="6912" s="135" customFormat="1" ht="12.75"/>
    <row r="6913" s="135" customFormat="1" ht="12.75"/>
    <row r="6914" s="135" customFormat="1" ht="12.75"/>
    <row r="6915" s="135" customFormat="1" ht="12.75"/>
    <row r="6916" s="135" customFormat="1" ht="12.75"/>
    <row r="6917" s="135" customFormat="1" ht="12.75"/>
    <row r="6918" s="135" customFormat="1" ht="12.75"/>
    <row r="6919" s="135" customFormat="1" ht="12.75"/>
    <row r="6920" s="135" customFormat="1" ht="12.75"/>
    <row r="6921" s="135" customFormat="1" ht="12.75"/>
    <row r="6922" s="135" customFormat="1" ht="12.75"/>
    <row r="6923" s="135" customFormat="1" ht="12.75"/>
    <row r="6924" s="135" customFormat="1" ht="12.75"/>
    <row r="6925" s="135" customFormat="1" ht="12.75"/>
    <row r="6926" s="135" customFormat="1" ht="12.75"/>
    <row r="6927" s="135" customFormat="1" ht="12.75"/>
    <row r="6928" s="135" customFormat="1" ht="12.75"/>
    <row r="6929" s="135" customFormat="1" ht="12.75"/>
    <row r="6930" s="135" customFormat="1" ht="12.75"/>
    <row r="6931" s="135" customFormat="1" ht="12.75"/>
    <row r="6932" s="135" customFormat="1" ht="12.75"/>
    <row r="6933" s="135" customFormat="1" ht="12.75"/>
    <row r="6934" s="135" customFormat="1" ht="12.75"/>
    <row r="6935" s="135" customFormat="1" ht="12.75"/>
    <row r="6936" s="135" customFormat="1" ht="12.75"/>
    <row r="6937" s="135" customFormat="1" ht="12.75"/>
    <row r="6938" s="135" customFormat="1" ht="12.75"/>
    <row r="6939" s="135" customFormat="1" ht="12.75"/>
    <row r="6940" s="135" customFormat="1" ht="12.75"/>
    <row r="6941" s="135" customFormat="1" ht="12.75"/>
    <row r="6942" s="135" customFormat="1" ht="12.75"/>
    <row r="6943" s="135" customFormat="1" ht="12.75"/>
    <row r="6944" s="135" customFormat="1" ht="12.75"/>
    <row r="6945" s="135" customFormat="1" ht="12.75"/>
    <row r="6946" s="135" customFormat="1" ht="12.75"/>
    <row r="6947" s="135" customFormat="1" ht="12.75"/>
    <row r="6948" s="135" customFormat="1" ht="12.75"/>
    <row r="6949" s="135" customFormat="1" ht="12.75"/>
    <row r="6950" s="135" customFormat="1" ht="12.75"/>
    <row r="6951" s="135" customFormat="1" ht="12.75"/>
    <row r="6952" s="135" customFormat="1" ht="12.75"/>
    <row r="6953" s="135" customFormat="1" ht="12.75"/>
    <row r="6954" s="135" customFormat="1" ht="12.75"/>
    <row r="6955" s="135" customFormat="1" ht="12.75"/>
    <row r="6956" s="135" customFormat="1" ht="12.75"/>
    <row r="6957" s="135" customFormat="1" ht="12.75"/>
    <row r="6958" s="135" customFormat="1" ht="12.75"/>
    <row r="6959" s="135" customFormat="1" ht="12.75"/>
    <row r="6960" s="135" customFormat="1" ht="12.75"/>
    <row r="6961" s="135" customFormat="1" ht="12.75"/>
    <row r="6962" s="135" customFormat="1" ht="12.75"/>
    <row r="6963" s="135" customFormat="1" ht="12.75"/>
    <row r="6964" s="135" customFormat="1" ht="12.75"/>
    <row r="6965" s="135" customFormat="1" ht="12.75"/>
    <row r="6966" s="135" customFormat="1" ht="12.75"/>
    <row r="6967" s="135" customFormat="1" ht="12.75"/>
    <row r="6968" s="135" customFormat="1" ht="12.75"/>
    <row r="6969" s="135" customFormat="1" ht="12.75"/>
    <row r="6970" s="135" customFormat="1" ht="12.75"/>
    <row r="6971" s="135" customFormat="1" ht="12.75"/>
    <row r="6972" s="135" customFormat="1" ht="12.75"/>
    <row r="6973" s="135" customFormat="1" ht="12.75"/>
    <row r="6974" s="135" customFormat="1" ht="12.75"/>
    <row r="6975" s="135" customFormat="1" ht="12.75"/>
    <row r="6976" s="135" customFormat="1" ht="12.75"/>
    <row r="6977" s="135" customFormat="1" ht="12.75"/>
    <row r="6978" s="135" customFormat="1" ht="12.75"/>
    <row r="6979" s="135" customFormat="1" ht="12.75"/>
    <row r="6980" s="135" customFormat="1" ht="12.75"/>
    <row r="6981" s="135" customFormat="1" ht="12.75"/>
    <row r="6982" s="135" customFormat="1" ht="12.75"/>
    <row r="6983" s="135" customFormat="1" ht="12.75"/>
    <row r="6984" s="135" customFormat="1" ht="12.75"/>
    <row r="6985" s="135" customFormat="1" ht="12.75"/>
    <row r="6986" s="135" customFormat="1" ht="12.75"/>
    <row r="6987" s="135" customFormat="1" ht="12.75"/>
    <row r="6988" s="135" customFormat="1" ht="12.75"/>
    <row r="6989" s="135" customFormat="1" ht="12.75"/>
    <row r="6990" s="135" customFormat="1" ht="12.75"/>
    <row r="6991" s="135" customFormat="1" ht="12.75"/>
    <row r="6992" s="135" customFormat="1" ht="12.75"/>
    <row r="6993" s="135" customFormat="1" ht="12.75"/>
    <row r="6994" s="135" customFormat="1" ht="12.75"/>
    <row r="6995" s="135" customFormat="1" ht="12.75"/>
    <row r="6996" s="135" customFormat="1" ht="12.75"/>
    <row r="6997" s="135" customFormat="1" ht="12.75"/>
    <row r="6998" s="135" customFormat="1" ht="12.75"/>
    <row r="6999" s="135" customFormat="1" ht="12.75"/>
    <row r="7000" s="135" customFormat="1" ht="12.75"/>
    <row r="7001" s="135" customFormat="1" ht="12.75"/>
    <row r="7002" s="135" customFormat="1" ht="12.75"/>
    <row r="7003" s="135" customFormat="1" ht="12.75"/>
    <row r="7004" s="135" customFormat="1" ht="12.75"/>
    <row r="7005" s="135" customFormat="1" ht="12.75"/>
    <row r="7006" s="135" customFormat="1" ht="12.75"/>
    <row r="7007" s="135" customFormat="1" ht="12.75"/>
    <row r="7008" s="135" customFormat="1" ht="12.75"/>
    <row r="7009" s="135" customFormat="1" ht="12.75"/>
    <row r="7010" s="135" customFormat="1" ht="12.75"/>
    <row r="7011" s="135" customFormat="1" ht="12.75"/>
    <row r="7012" s="135" customFormat="1" ht="12.75"/>
    <row r="7013" s="135" customFormat="1" ht="12.75"/>
    <row r="7014" s="135" customFormat="1" ht="12.75"/>
    <row r="7015" s="135" customFormat="1" ht="12.75"/>
    <row r="7016" s="135" customFormat="1" ht="12.75"/>
    <row r="7017" s="135" customFormat="1" ht="12.75"/>
    <row r="7018" s="135" customFormat="1" ht="12.75"/>
    <row r="7019" s="135" customFormat="1" ht="12.75"/>
    <row r="7020" s="135" customFormat="1" ht="12.75"/>
    <row r="7021" s="135" customFormat="1" ht="12.75"/>
    <row r="7022" s="135" customFormat="1" ht="12.75"/>
    <row r="7023" s="135" customFormat="1" ht="12.75"/>
    <row r="7024" s="135" customFormat="1" ht="12.75"/>
    <row r="7025" s="135" customFormat="1" ht="12.75"/>
    <row r="7026" s="135" customFormat="1" ht="12.75"/>
    <row r="7027" s="135" customFormat="1" ht="12.75"/>
    <row r="7028" s="135" customFormat="1" ht="12.75"/>
    <row r="7029" s="135" customFormat="1" ht="12.75"/>
    <row r="7030" s="135" customFormat="1" ht="12.75"/>
    <row r="7031" s="135" customFormat="1" ht="12.75"/>
    <row r="7032" s="135" customFormat="1" ht="12.75"/>
    <row r="7033" s="135" customFormat="1" ht="12.75"/>
    <row r="7034" s="135" customFormat="1" ht="12.75"/>
    <row r="7035" s="135" customFormat="1" ht="12.75"/>
    <row r="7036" s="135" customFormat="1" ht="12.75"/>
    <row r="7037" s="135" customFormat="1" ht="12.75"/>
    <row r="7038" s="135" customFormat="1" ht="12.75"/>
    <row r="7039" s="135" customFormat="1" ht="12.75"/>
    <row r="7040" s="135" customFormat="1" ht="12.75"/>
    <row r="7041" s="135" customFormat="1" ht="12.75"/>
    <row r="7042" s="135" customFormat="1" ht="12.75"/>
    <row r="7043" s="135" customFormat="1" ht="12.75"/>
    <row r="7044" s="135" customFormat="1" ht="12.75"/>
    <row r="7045" s="135" customFormat="1" ht="12.75"/>
    <row r="7046" s="135" customFormat="1" ht="12.75"/>
    <row r="7047" s="135" customFormat="1" ht="12.75"/>
    <row r="7048" s="135" customFormat="1" ht="12.75"/>
    <row r="7049" s="135" customFormat="1" ht="12.75"/>
    <row r="7050" s="135" customFormat="1" ht="12.75"/>
    <row r="7051" s="135" customFormat="1" ht="12.75"/>
    <row r="7052" s="135" customFormat="1" ht="12.75"/>
    <row r="7053" s="135" customFormat="1" ht="12.75"/>
    <row r="7054" s="135" customFormat="1" ht="12.75"/>
    <row r="7055" s="135" customFormat="1" ht="12.75"/>
    <row r="7056" s="135" customFormat="1" ht="12.75"/>
    <row r="7057" s="135" customFormat="1" ht="12.75"/>
    <row r="7058" s="135" customFormat="1" ht="12.75"/>
    <row r="7059" s="135" customFormat="1" ht="12.75"/>
    <row r="7060" s="135" customFormat="1" ht="12.75"/>
    <row r="7061" s="135" customFormat="1" ht="12.75"/>
    <row r="7062" s="135" customFormat="1" ht="12.75"/>
    <row r="7063" s="135" customFormat="1" ht="12.75"/>
    <row r="7064" s="135" customFormat="1" ht="12.75"/>
    <row r="7065" s="135" customFormat="1" ht="12.75"/>
    <row r="7066" s="135" customFormat="1" ht="12.75"/>
    <row r="7067" s="135" customFormat="1" ht="12.75"/>
    <row r="7068" s="135" customFormat="1" ht="12.75"/>
    <row r="7069" s="135" customFormat="1" ht="12.75"/>
    <row r="7070" s="135" customFormat="1" ht="12.75"/>
    <row r="7071" s="135" customFormat="1" ht="12.75"/>
    <row r="7072" s="135" customFormat="1" ht="12.75"/>
    <row r="7073" s="135" customFormat="1" ht="12.75"/>
    <row r="7074" s="135" customFormat="1" ht="12.75"/>
    <row r="7075" s="135" customFormat="1" ht="12.75"/>
    <row r="7076" s="135" customFormat="1" ht="12.75"/>
    <row r="7077" s="135" customFormat="1" ht="12.75"/>
    <row r="7078" s="135" customFormat="1" ht="12.75"/>
    <row r="7079" s="135" customFormat="1" ht="12.75"/>
    <row r="7080" s="135" customFormat="1" ht="12.75"/>
    <row r="7081" s="135" customFormat="1" ht="12.75"/>
    <row r="7082" s="135" customFormat="1" ht="12.75"/>
    <row r="7083" s="135" customFormat="1" ht="12.75"/>
    <row r="7084" s="135" customFormat="1" ht="12.75"/>
    <row r="7085" s="135" customFormat="1" ht="12.75"/>
    <row r="7086" s="135" customFormat="1" ht="12.75"/>
    <row r="7087" s="135" customFormat="1" ht="12.75"/>
    <row r="7088" s="135" customFormat="1" ht="12.75"/>
    <row r="7089" s="135" customFormat="1" ht="12.75"/>
    <row r="7090" s="135" customFormat="1" ht="12.75"/>
    <row r="7091" s="135" customFormat="1" ht="12.75"/>
    <row r="7092" s="135" customFormat="1" ht="12.75"/>
    <row r="7093" s="135" customFormat="1" ht="12.75"/>
    <row r="7094" s="135" customFormat="1" ht="12.75"/>
    <row r="7095" s="135" customFormat="1" ht="12.75"/>
    <row r="7096" s="135" customFormat="1" ht="12.75"/>
    <row r="7097" s="135" customFormat="1" ht="12.75"/>
    <row r="7098" s="135" customFormat="1" ht="12.75"/>
    <row r="7099" s="135" customFormat="1" ht="12.75"/>
    <row r="7100" s="135" customFormat="1" ht="12.75"/>
    <row r="7101" s="135" customFormat="1" ht="12.75"/>
    <row r="7102" s="135" customFormat="1" ht="12.75"/>
    <row r="7103" s="135" customFormat="1" ht="12.75"/>
    <row r="7104" s="135" customFormat="1" ht="12.75"/>
    <row r="7105" s="135" customFormat="1" ht="12.75"/>
    <row r="7106" s="135" customFormat="1" ht="12.75"/>
    <row r="7107" s="135" customFormat="1" ht="12.75"/>
    <row r="7108" s="135" customFormat="1" ht="12.75"/>
    <row r="7109" s="135" customFormat="1" ht="12.75"/>
    <row r="7110" s="135" customFormat="1" ht="12.75"/>
    <row r="7111" s="135" customFormat="1" ht="12.75"/>
    <row r="7112" s="135" customFormat="1" ht="12.75"/>
    <row r="7113" s="135" customFormat="1" ht="12.75"/>
    <row r="7114" s="135" customFormat="1" ht="12.75"/>
    <row r="7115" s="135" customFormat="1" ht="12.75"/>
    <row r="7116" s="135" customFormat="1" ht="12.75"/>
    <row r="7117" s="135" customFormat="1" ht="12.75"/>
    <row r="7118" s="135" customFormat="1" ht="12.75"/>
    <row r="7119" s="135" customFormat="1" ht="12.75"/>
    <row r="7120" s="135" customFormat="1" ht="12.75"/>
    <row r="7121" s="135" customFormat="1" ht="12.75"/>
    <row r="7122" s="135" customFormat="1" ht="12.75"/>
    <row r="7123" s="135" customFormat="1" ht="12.75"/>
    <row r="7124" s="135" customFormat="1" ht="12.75"/>
    <row r="7125" s="135" customFormat="1" ht="12.75"/>
    <row r="7126" s="135" customFormat="1" ht="12.75"/>
    <row r="7127" s="135" customFormat="1" ht="12.75"/>
    <row r="7128" s="135" customFormat="1" ht="12.75"/>
    <row r="7129" s="135" customFormat="1" ht="12.75"/>
    <row r="7130" s="135" customFormat="1" ht="12.75"/>
    <row r="7131" s="135" customFormat="1" ht="12.75"/>
    <row r="7132" s="135" customFormat="1" ht="12.75"/>
    <row r="7133" s="135" customFormat="1" ht="12.75"/>
    <row r="7134" s="135" customFormat="1" ht="12.75"/>
    <row r="7135" s="135" customFormat="1" ht="12.75"/>
    <row r="7136" s="135" customFormat="1" ht="12.75"/>
    <row r="7137" s="135" customFormat="1" ht="12.75"/>
    <row r="7138" s="135" customFormat="1" ht="12.75"/>
    <row r="7139" s="135" customFormat="1" ht="12.75"/>
    <row r="7140" s="135" customFormat="1" ht="12.75"/>
    <row r="7141" s="135" customFormat="1" ht="12.75"/>
    <row r="7142" s="135" customFormat="1" ht="12.75"/>
    <row r="7143" s="135" customFormat="1" ht="12.75"/>
    <row r="7144" s="135" customFormat="1" ht="12.75"/>
    <row r="7145" s="135" customFormat="1" ht="12.75"/>
    <row r="7146" s="135" customFormat="1" ht="12.75"/>
    <row r="7147" s="135" customFormat="1" ht="12.75"/>
    <row r="7148" s="135" customFormat="1" ht="12.75"/>
    <row r="7149" s="135" customFormat="1" ht="12.75"/>
    <row r="7150" s="135" customFormat="1" ht="12.75"/>
    <row r="7151" s="135" customFormat="1" ht="12.75"/>
    <row r="7152" s="135" customFormat="1" ht="12.75"/>
    <row r="7153" s="135" customFormat="1" ht="12.75"/>
    <row r="7154" s="135" customFormat="1" ht="12.75"/>
    <row r="7155" s="135" customFormat="1" ht="12.75"/>
    <row r="7156" s="135" customFormat="1" ht="12.75"/>
    <row r="7157" s="135" customFormat="1" ht="12.75"/>
    <row r="7158" s="135" customFormat="1" ht="12.75"/>
    <row r="7159" s="135" customFormat="1" ht="12.75"/>
    <row r="7160" s="135" customFormat="1" ht="12.75"/>
    <row r="7161" s="135" customFormat="1" ht="12.75"/>
    <row r="7162" s="135" customFormat="1" ht="12.75"/>
    <row r="7163" s="135" customFormat="1" ht="12.75"/>
    <row r="7164" s="135" customFormat="1" ht="12.75"/>
    <row r="7165" s="135" customFormat="1" ht="12.75"/>
    <row r="7166" s="135" customFormat="1" ht="12.75"/>
    <row r="7167" s="135" customFormat="1" ht="12.75"/>
    <row r="7168" s="135" customFormat="1" ht="12.75"/>
    <row r="7169" s="135" customFormat="1" ht="12.75"/>
    <row r="7170" s="135" customFormat="1" ht="12.75"/>
    <row r="7171" s="135" customFormat="1" ht="12.75"/>
    <row r="7172" s="135" customFormat="1" ht="12.75"/>
    <row r="7173" s="135" customFormat="1" ht="12.75"/>
    <row r="7174" s="135" customFormat="1" ht="12.75"/>
    <row r="7175" s="135" customFormat="1" ht="12.75"/>
    <row r="7176" s="135" customFormat="1" ht="12.75"/>
    <row r="7177" s="135" customFormat="1" ht="12.75"/>
    <row r="7178" s="135" customFormat="1" ht="12.75"/>
    <row r="7179" s="135" customFormat="1" ht="12.75"/>
    <row r="7180" s="135" customFormat="1" ht="12.75"/>
    <row r="7181" s="135" customFormat="1" ht="12.75"/>
    <row r="7182" s="135" customFormat="1" ht="12.75"/>
    <row r="7183" s="135" customFormat="1" ht="12.75"/>
    <row r="7184" s="135" customFormat="1" ht="12.75"/>
    <row r="7185" s="135" customFormat="1" ht="12.75"/>
    <row r="7186" s="135" customFormat="1" ht="12.75"/>
    <row r="7187" s="135" customFormat="1" ht="12.75"/>
    <row r="7188" s="135" customFormat="1" ht="12.75"/>
    <row r="7189" s="135" customFormat="1" ht="12.75"/>
    <row r="7190" s="135" customFormat="1" ht="12.75"/>
    <row r="7191" s="135" customFormat="1" ht="12.75"/>
    <row r="7192" s="135" customFormat="1" ht="12.75"/>
    <row r="7193" s="135" customFormat="1" ht="12.75"/>
    <row r="7194" s="135" customFormat="1" ht="12.75"/>
    <row r="7195" s="135" customFormat="1" ht="12.75"/>
    <row r="7196" s="135" customFormat="1" ht="12.75"/>
    <row r="7197" s="135" customFormat="1" ht="12.75"/>
    <row r="7198" s="135" customFormat="1" ht="12.75"/>
    <row r="7199" s="135" customFormat="1" ht="12.75"/>
    <row r="7200" s="135" customFormat="1" ht="12.75"/>
    <row r="7201" s="135" customFormat="1" ht="12.75"/>
    <row r="7202" s="135" customFormat="1" ht="12.75"/>
    <row r="7203" s="135" customFormat="1" ht="12.75"/>
    <row r="7204" s="135" customFormat="1" ht="12.75"/>
    <row r="7205" s="135" customFormat="1" ht="12.75"/>
    <row r="7206" s="135" customFormat="1" ht="12.75"/>
    <row r="7207" s="135" customFormat="1" ht="12.75"/>
    <row r="7208" s="135" customFormat="1" ht="12.75"/>
    <row r="7209" s="135" customFormat="1" ht="12.75"/>
    <row r="7210" s="135" customFormat="1" ht="12.75"/>
    <row r="7211" s="135" customFormat="1" ht="12.75"/>
    <row r="7212" s="135" customFormat="1" ht="12.75"/>
    <row r="7213" s="135" customFormat="1" ht="12.75"/>
    <row r="7214" s="135" customFormat="1" ht="12.75"/>
    <row r="7215" s="135" customFormat="1" ht="12.75"/>
    <row r="7216" s="135" customFormat="1" ht="12.75"/>
    <row r="7217" s="135" customFormat="1" ht="12.75"/>
    <row r="7218" s="135" customFormat="1" ht="12.75"/>
    <row r="7219" s="135" customFormat="1" ht="12.75"/>
    <row r="7220" s="135" customFormat="1" ht="12.75"/>
    <row r="7221" s="135" customFormat="1" ht="12.75"/>
    <row r="7222" s="135" customFormat="1" ht="12.75"/>
    <row r="7223" s="135" customFormat="1" ht="12.75"/>
    <row r="7224" s="135" customFormat="1" ht="12.75"/>
    <row r="7225" s="135" customFormat="1" ht="12.75"/>
    <row r="7226" s="135" customFormat="1" ht="12.75"/>
    <row r="7227" s="135" customFormat="1" ht="12.75"/>
    <row r="7228" s="135" customFormat="1" ht="12.75"/>
    <row r="7229" s="135" customFormat="1" ht="12.75"/>
    <row r="7230" s="135" customFormat="1" ht="12.75"/>
    <row r="7231" s="135" customFormat="1" ht="12.75"/>
    <row r="7232" s="135" customFormat="1" ht="12.75"/>
    <row r="7233" s="135" customFormat="1" ht="12.75"/>
    <row r="7234" s="135" customFormat="1" ht="12.75"/>
    <row r="7235" s="135" customFormat="1" ht="12.75"/>
    <row r="7236" s="135" customFormat="1" ht="12.75"/>
    <row r="7237" s="135" customFormat="1" ht="12.75"/>
    <row r="7238" s="135" customFormat="1" ht="12.75"/>
    <row r="7239" s="135" customFormat="1" ht="12.75"/>
    <row r="7240" s="135" customFormat="1" ht="12.75"/>
    <row r="7241" s="135" customFormat="1" ht="12.75"/>
    <row r="7242" s="135" customFormat="1" ht="12.75"/>
    <row r="7243" s="135" customFormat="1" ht="12.75"/>
    <row r="7244" s="135" customFormat="1" ht="12.75"/>
    <row r="7245" s="135" customFormat="1" ht="12.75"/>
    <row r="7246" s="135" customFormat="1" ht="12.75"/>
    <row r="7247" s="135" customFormat="1" ht="12.75"/>
    <row r="7248" s="135" customFormat="1" ht="12.75"/>
    <row r="7249" s="135" customFormat="1" ht="12.75"/>
    <row r="7250" s="135" customFormat="1" ht="12.75"/>
    <row r="7251" s="135" customFormat="1" ht="12.75"/>
    <row r="7252" s="135" customFormat="1" ht="12.75"/>
    <row r="7253" s="135" customFormat="1" ht="12.75"/>
    <row r="7254" s="135" customFormat="1" ht="12.75"/>
    <row r="7255" s="135" customFormat="1" ht="12.75"/>
    <row r="7256" s="135" customFormat="1" ht="12.75"/>
    <row r="7257" s="135" customFormat="1" ht="12.75"/>
    <row r="7258" s="135" customFormat="1" ht="12.75"/>
    <row r="7259" s="135" customFormat="1" ht="12.75"/>
    <row r="7260" s="135" customFormat="1" ht="12.75"/>
    <row r="7261" s="135" customFormat="1" ht="12.75"/>
    <row r="7262" s="135" customFormat="1" ht="12.75"/>
    <row r="7263" s="135" customFormat="1" ht="12.75"/>
    <row r="7264" s="135" customFormat="1" ht="12.75"/>
    <row r="7265" s="135" customFormat="1" ht="12.75"/>
    <row r="7266" s="135" customFormat="1" ht="12.75"/>
    <row r="7267" s="135" customFormat="1" ht="12.75"/>
    <row r="7268" s="135" customFormat="1" ht="12.75"/>
    <row r="7269" s="135" customFormat="1" ht="12.75"/>
    <row r="7270" s="135" customFormat="1" ht="12.75"/>
    <row r="7271" s="135" customFormat="1" ht="12.75"/>
    <row r="7272" s="135" customFormat="1" ht="12.75"/>
    <row r="7273" s="135" customFormat="1" ht="12.75"/>
    <row r="7274" s="135" customFormat="1" ht="12.75"/>
    <row r="7275" s="135" customFormat="1" ht="12.75"/>
    <row r="7276" s="135" customFormat="1" ht="12.75"/>
    <row r="7277" s="135" customFormat="1" ht="12.75"/>
    <row r="7278" s="135" customFormat="1" ht="12.75"/>
    <row r="7279" s="135" customFormat="1" ht="12.75"/>
    <row r="7280" s="135" customFormat="1" ht="12.75"/>
    <row r="7281" s="135" customFormat="1" ht="12.75"/>
    <row r="7282" s="135" customFormat="1" ht="12.75"/>
    <row r="7283" s="135" customFormat="1" ht="12.75"/>
    <row r="7284" s="135" customFormat="1" ht="12.75"/>
    <row r="7285" s="135" customFormat="1" ht="12.75"/>
    <row r="7286" s="135" customFormat="1" ht="12.75"/>
    <row r="7287" s="135" customFormat="1" ht="12.75"/>
    <row r="7288" s="135" customFormat="1" ht="12.75"/>
    <row r="7289" s="135" customFormat="1" ht="12.75"/>
    <row r="7290" s="135" customFormat="1" ht="12.75"/>
    <row r="7291" s="135" customFormat="1" ht="12.75"/>
    <row r="7292" s="135" customFormat="1" ht="12.75"/>
    <row r="7293" s="135" customFormat="1" ht="12.75"/>
    <row r="7294" s="135" customFormat="1" ht="12.75"/>
    <row r="7295" s="135" customFormat="1" ht="12.75"/>
    <row r="7296" s="135" customFormat="1" ht="12.75"/>
    <row r="7297" s="135" customFormat="1" ht="12.75"/>
    <row r="7298" s="135" customFormat="1" ht="12.75"/>
    <row r="7299" s="135" customFormat="1" ht="12.75"/>
    <row r="7300" s="135" customFormat="1" ht="12.75"/>
    <row r="7301" s="135" customFormat="1" ht="12.75"/>
    <row r="7302" s="135" customFormat="1" ht="12.75"/>
    <row r="7303" s="135" customFormat="1" ht="12.75"/>
    <row r="7304" s="135" customFormat="1" ht="12.75"/>
    <row r="7305" s="135" customFormat="1" ht="12.75"/>
    <row r="7306" s="135" customFormat="1" ht="12.75"/>
    <row r="7307" s="135" customFormat="1" ht="12.75"/>
    <row r="7308" s="135" customFormat="1" ht="12.75"/>
    <row r="7309" s="135" customFormat="1" ht="12.75"/>
    <row r="7310" s="135" customFormat="1" ht="12.75"/>
    <row r="7311" s="135" customFormat="1" ht="12.75"/>
    <row r="7312" s="135" customFormat="1" ht="12.75"/>
    <row r="7313" s="135" customFormat="1" ht="12.75"/>
    <row r="7314" s="135" customFormat="1" ht="12.75"/>
    <row r="7315" s="135" customFormat="1" ht="12.75"/>
    <row r="7316" s="135" customFormat="1" ht="12.75"/>
    <row r="7317" s="135" customFormat="1" ht="12.75"/>
    <row r="7318" s="135" customFormat="1" ht="12.75"/>
    <row r="7319" s="135" customFormat="1" ht="12.75"/>
    <row r="7320" s="135" customFormat="1" ht="12.75"/>
    <row r="7321" s="135" customFormat="1" ht="12.75"/>
    <row r="7322" s="135" customFormat="1" ht="12.75"/>
    <row r="7323" s="135" customFormat="1" ht="12.75"/>
    <row r="7324" s="135" customFormat="1" ht="12.75"/>
    <row r="7325" s="135" customFormat="1" ht="12.75"/>
    <row r="7326" s="135" customFormat="1" ht="12.75"/>
    <row r="7327" s="135" customFormat="1" ht="12.75"/>
    <row r="7328" s="135" customFormat="1" ht="12.75"/>
    <row r="7329" s="135" customFormat="1" ht="12.75"/>
    <row r="7330" s="135" customFormat="1" ht="12.75"/>
    <row r="7331" s="135" customFormat="1" ht="12.75"/>
    <row r="7332" s="135" customFormat="1" ht="12.75"/>
    <row r="7333" s="135" customFormat="1" ht="12.75"/>
    <row r="7334" s="135" customFormat="1" ht="12.75"/>
    <row r="7335" s="135" customFormat="1" ht="12.75"/>
    <row r="7336" s="135" customFormat="1" ht="12.75"/>
    <row r="7337" s="135" customFormat="1" ht="12.75"/>
    <row r="7338" s="135" customFormat="1" ht="12.75"/>
    <row r="7339" s="135" customFormat="1" ht="12.75"/>
    <row r="7340" s="135" customFormat="1" ht="12.75"/>
    <row r="7341" s="135" customFormat="1" ht="12.75"/>
    <row r="7342" s="135" customFormat="1" ht="12.75"/>
    <row r="7343" s="135" customFormat="1" ht="12.75"/>
    <row r="7344" s="135" customFormat="1" ht="12.75"/>
    <row r="7345" s="135" customFormat="1" ht="12.75"/>
    <row r="7346" s="135" customFormat="1" ht="12.75"/>
    <row r="7347" s="135" customFormat="1" ht="12.75"/>
    <row r="7348" s="135" customFormat="1" ht="12.75"/>
    <row r="7349" s="135" customFormat="1" ht="12.75"/>
    <row r="7350" s="135" customFormat="1" ht="12.75"/>
    <row r="7351" s="135" customFormat="1" ht="12.75"/>
    <row r="7352" s="135" customFormat="1" ht="12.75"/>
    <row r="7353" s="135" customFormat="1" ht="12.75"/>
    <row r="7354" s="135" customFormat="1" ht="12.75"/>
    <row r="7355" s="135" customFormat="1" ht="12.75"/>
    <row r="7356" s="135" customFormat="1" ht="12.75"/>
    <row r="7357" s="135" customFormat="1" ht="12.75"/>
    <row r="7358" s="135" customFormat="1" ht="12.75"/>
    <row r="7359" s="135" customFormat="1" ht="12.75"/>
    <row r="7360" s="135" customFormat="1" ht="12.75"/>
    <row r="7361" s="135" customFormat="1" ht="12.75"/>
    <row r="7362" s="135" customFormat="1" ht="12.75"/>
    <row r="7363" s="135" customFormat="1" ht="12.75"/>
    <row r="7364" s="135" customFormat="1" ht="12.75"/>
    <row r="7365" s="135" customFormat="1" ht="12.75"/>
    <row r="7366" s="135" customFormat="1" ht="12.75"/>
    <row r="7367" s="135" customFormat="1" ht="12.75"/>
    <row r="7368" s="135" customFormat="1" ht="12.75"/>
    <row r="7369" s="135" customFormat="1" ht="12.75"/>
    <row r="7370" s="135" customFormat="1" ht="12.75"/>
    <row r="7371" s="135" customFormat="1" ht="12.75"/>
    <row r="7372" s="135" customFormat="1" ht="12.75"/>
    <row r="7373" s="135" customFormat="1" ht="12.75"/>
    <row r="7374" s="135" customFormat="1" ht="12.75"/>
    <row r="7375" s="135" customFormat="1" ht="12.75"/>
    <row r="7376" s="135" customFormat="1" ht="12.75"/>
    <row r="7377" s="135" customFormat="1" ht="12.75"/>
    <row r="7378" s="135" customFormat="1" ht="12.75"/>
    <row r="7379" s="135" customFormat="1" ht="12.75"/>
    <row r="7380" s="135" customFormat="1" ht="12.75"/>
    <row r="7381" s="135" customFormat="1" ht="12.75"/>
    <row r="7382" s="135" customFormat="1" ht="12.75"/>
    <row r="7383" s="135" customFormat="1" ht="12.75"/>
    <row r="7384" s="135" customFormat="1" ht="12.75"/>
    <row r="7385" s="135" customFormat="1" ht="12.75"/>
    <row r="7386" s="135" customFormat="1" ht="12.75"/>
    <row r="7387" s="135" customFormat="1" ht="12.75"/>
    <row r="7388" s="135" customFormat="1" ht="12.75"/>
    <row r="7389" s="135" customFormat="1" ht="12.75"/>
    <row r="7390" s="135" customFormat="1" ht="12.75"/>
    <row r="7391" s="135" customFormat="1" ht="12.75"/>
    <row r="7392" s="135" customFormat="1" ht="12.75"/>
    <row r="7393" s="135" customFormat="1" ht="12.75"/>
    <row r="7394" s="135" customFormat="1" ht="12.75"/>
    <row r="7395" s="135" customFormat="1" ht="12.75"/>
    <row r="7396" s="135" customFormat="1" ht="12.75"/>
    <row r="7397" s="135" customFormat="1" ht="12.75"/>
    <row r="7398" s="135" customFormat="1" ht="12.75"/>
    <row r="7399" s="135" customFormat="1" ht="12.75"/>
    <row r="7400" s="135" customFormat="1" ht="12.75"/>
    <row r="7401" s="135" customFormat="1" ht="12.75"/>
    <row r="7402" s="135" customFormat="1" ht="12.75"/>
    <row r="7403" s="135" customFormat="1" ht="12.75"/>
    <row r="7404" s="135" customFormat="1" ht="12.75"/>
    <row r="7405" s="135" customFormat="1" ht="12.75"/>
    <row r="7406" s="135" customFormat="1" ht="12.75"/>
    <row r="7407" s="135" customFormat="1" ht="12.75"/>
    <row r="7408" s="135" customFormat="1" ht="12.75"/>
    <row r="7409" s="135" customFormat="1" ht="12.75"/>
    <row r="7410" s="135" customFormat="1" ht="12.75"/>
    <row r="7411" s="135" customFormat="1" ht="12.75"/>
    <row r="7412" s="135" customFormat="1" ht="12.75"/>
    <row r="7413" s="135" customFormat="1" ht="12.75"/>
    <row r="7414" s="135" customFormat="1" ht="12.75"/>
    <row r="7415" s="135" customFormat="1" ht="12.75"/>
    <row r="7416" s="135" customFormat="1" ht="12.75"/>
    <row r="7417" s="135" customFormat="1" ht="12.75"/>
    <row r="7418" s="135" customFormat="1" ht="12.75"/>
    <row r="7419" s="135" customFormat="1" ht="12.75"/>
    <row r="7420" s="135" customFormat="1" ht="12.75"/>
    <row r="7421" s="135" customFormat="1" ht="12.75"/>
    <row r="7422" s="135" customFormat="1" ht="12.75"/>
    <row r="7423" s="135" customFormat="1" ht="12.75"/>
    <row r="7424" s="135" customFormat="1" ht="12.75"/>
    <row r="7425" s="135" customFormat="1" ht="12.75"/>
    <row r="7426" s="135" customFormat="1" ht="12.75"/>
    <row r="7427" s="135" customFormat="1" ht="12.75"/>
    <row r="7428" s="135" customFormat="1" ht="12.75"/>
    <row r="7429" s="135" customFormat="1" ht="12.75"/>
    <row r="7430" s="135" customFormat="1" ht="12.75"/>
    <row r="7431" s="135" customFormat="1" ht="12.75"/>
    <row r="7432" s="135" customFormat="1" ht="12.75"/>
    <row r="7433" s="135" customFormat="1" ht="12.75"/>
    <row r="7434" s="135" customFormat="1" ht="12.75"/>
    <row r="7435" s="135" customFormat="1" ht="12.75"/>
    <row r="7436" s="135" customFormat="1" ht="12.75"/>
    <row r="7437" s="135" customFormat="1" ht="12.75"/>
    <row r="7438" s="135" customFormat="1" ht="12.75"/>
    <row r="7439" s="135" customFormat="1" ht="12.75"/>
    <row r="7440" s="135" customFormat="1" ht="12.75"/>
    <row r="7441" s="135" customFormat="1" ht="12.75"/>
    <row r="7442" s="135" customFormat="1" ht="12.75"/>
    <row r="7443" s="135" customFormat="1" ht="12.75"/>
    <row r="7444" s="135" customFormat="1" ht="12.75"/>
    <row r="7445" s="135" customFormat="1" ht="12.75"/>
    <row r="7446" s="135" customFormat="1" ht="12.75"/>
    <row r="7447" s="135" customFormat="1" ht="12.75"/>
    <row r="7448" s="135" customFormat="1" ht="12.75"/>
    <row r="7449" s="135" customFormat="1" ht="12.75"/>
    <row r="7450" s="135" customFormat="1" ht="12.75"/>
    <row r="7451" s="135" customFormat="1" ht="12.75"/>
    <row r="7452" s="135" customFormat="1" ht="12.75"/>
    <row r="7453" s="135" customFormat="1" ht="12.75"/>
    <row r="7454" s="135" customFormat="1" ht="12.75"/>
    <row r="7455" s="135" customFormat="1" ht="12.75"/>
    <row r="7456" s="135" customFormat="1" ht="12.75"/>
    <row r="7457" s="135" customFormat="1" ht="12.75"/>
    <row r="7458" s="135" customFormat="1" ht="12.75"/>
    <row r="7459" s="135" customFormat="1" ht="12.75"/>
    <row r="7460" s="135" customFormat="1" ht="12.75"/>
    <row r="7461" s="135" customFormat="1" ht="12.75"/>
    <row r="7462" s="135" customFormat="1" ht="12.75"/>
    <row r="7463" s="135" customFormat="1" ht="12.75"/>
    <row r="7464" s="135" customFormat="1" ht="12.75"/>
    <row r="7465" s="135" customFormat="1" ht="12.75"/>
    <row r="7466" s="135" customFormat="1" ht="12.75"/>
    <row r="7467" s="135" customFormat="1" ht="12.75"/>
    <row r="7468" s="135" customFormat="1" ht="12.75"/>
    <row r="7469" s="135" customFormat="1" ht="12.75"/>
    <row r="7470" s="135" customFormat="1" ht="12.75"/>
    <row r="7471" s="135" customFormat="1" ht="12.75"/>
    <row r="7472" s="135" customFormat="1" ht="12.75"/>
    <row r="7473" s="135" customFormat="1" ht="12.75"/>
    <row r="7474" s="135" customFormat="1" ht="12.75"/>
    <row r="7475" s="135" customFormat="1" ht="12.75"/>
    <row r="7476" s="135" customFormat="1" ht="12.75"/>
    <row r="7477" s="135" customFormat="1" ht="12.75"/>
    <row r="7478" s="135" customFormat="1" ht="12.75"/>
    <row r="7479" s="135" customFormat="1" ht="12.75"/>
    <row r="7480" s="135" customFormat="1" ht="12.75"/>
    <row r="7481" s="135" customFormat="1" ht="12.75"/>
    <row r="7482" s="135" customFormat="1" ht="12.75"/>
    <row r="7483" s="135" customFormat="1" ht="12.75"/>
    <row r="7484" s="135" customFormat="1" ht="12.75"/>
    <row r="7485" s="135" customFormat="1" ht="12.75"/>
    <row r="7486" s="135" customFormat="1" ht="12.75"/>
    <row r="7487" s="135" customFormat="1" ht="12.75"/>
    <row r="7488" s="135" customFormat="1" ht="12.75"/>
    <row r="7489" s="135" customFormat="1" ht="12.75"/>
    <row r="7490" s="135" customFormat="1" ht="12.75"/>
    <row r="7491" s="135" customFormat="1" ht="12.75"/>
    <row r="7492" s="135" customFormat="1" ht="12.75"/>
    <row r="7493" s="135" customFormat="1" ht="12.75"/>
    <row r="7494" s="135" customFormat="1" ht="12.75"/>
    <row r="7495" s="135" customFormat="1" ht="12.75"/>
    <row r="7496" s="135" customFormat="1" ht="12.75"/>
    <row r="7497" s="135" customFormat="1" ht="12.75"/>
    <row r="7498" s="135" customFormat="1" ht="12.75"/>
    <row r="7499" s="135" customFormat="1" ht="12.75"/>
    <row r="7500" s="135" customFormat="1" ht="12.75"/>
    <row r="7501" s="135" customFormat="1" ht="12.75"/>
    <row r="7502" s="135" customFormat="1" ht="12.75"/>
    <row r="7503" s="135" customFormat="1" ht="12.75"/>
    <row r="7504" s="135" customFormat="1" ht="12.75"/>
    <row r="7505" s="135" customFormat="1" ht="12.75"/>
    <row r="7506" s="135" customFormat="1" ht="12.75"/>
    <row r="7507" s="135" customFormat="1" ht="12.75"/>
    <row r="7508" s="135" customFormat="1" ht="12.75"/>
    <row r="7509" s="135" customFormat="1" ht="12.75"/>
    <row r="7510" s="135" customFormat="1" ht="12.75"/>
    <row r="7511" s="135" customFormat="1" ht="12.75"/>
    <row r="7512" s="135" customFormat="1" ht="12.75"/>
    <row r="7513" s="135" customFormat="1" ht="12.75"/>
    <row r="7514" s="135" customFormat="1" ht="12.75"/>
    <row r="7515" s="135" customFormat="1" ht="12.75"/>
    <row r="7516" s="135" customFormat="1" ht="12.75"/>
    <row r="7517" s="135" customFormat="1" ht="12.75"/>
    <row r="7518" s="135" customFormat="1" ht="12.75"/>
    <row r="7519" s="135" customFormat="1" ht="12.75"/>
    <row r="7520" s="135" customFormat="1" ht="12.75"/>
    <row r="7521" s="135" customFormat="1" ht="12.75"/>
    <row r="7522" s="135" customFormat="1" ht="12.75"/>
    <row r="7523" s="135" customFormat="1" ht="12.75"/>
    <row r="7524" s="135" customFormat="1" ht="12.75"/>
    <row r="7525" s="135" customFormat="1" ht="12.75"/>
    <row r="7526" s="135" customFormat="1" ht="12.75"/>
    <row r="7527" s="135" customFormat="1" ht="12.75"/>
    <row r="7528" s="135" customFormat="1" ht="12.75"/>
    <row r="7529" s="135" customFormat="1" ht="12.75"/>
    <row r="7530" s="135" customFormat="1" ht="12.75"/>
    <row r="7531" s="135" customFormat="1" ht="12.75"/>
    <row r="7532" s="135" customFormat="1" ht="12.75"/>
    <row r="7533" s="135" customFormat="1" ht="12.75"/>
    <row r="7534" s="135" customFormat="1" ht="12.75"/>
    <row r="7535" s="135" customFormat="1" ht="12.75"/>
    <row r="7536" s="135" customFormat="1" ht="12.75"/>
    <row r="7537" s="135" customFormat="1" ht="12.75"/>
    <row r="7538" s="135" customFormat="1" ht="12.75"/>
    <row r="7539" s="135" customFormat="1" ht="12.75"/>
    <row r="7540" s="135" customFormat="1" ht="12.75"/>
    <row r="7541" s="135" customFormat="1" ht="12.75"/>
    <row r="7542" s="135" customFormat="1" ht="12.75"/>
    <row r="7543" s="135" customFormat="1" ht="12.75"/>
    <row r="7544" s="135" customFormat="1" ht="12.75"/>
    <row r="7545" s="135" customFormat="1" ht="12.75"/>
    <row r="7546" s="135" customFormat="1" ht="12.75"/>
    <row r="7547" s="135" customFormat="1" ht="12.75"/>
    <row r="7548" s="135" customFormat="1" ht="12.75"/>
    <row r="7549" s="135" customFormat="1" ht="12.75"/>
    <row r="7550" s="135" customFormat="1" ht="12.75"/>
    <row r="7551" s="135" customFormat="1" ht="12.75"/>
    <row r="7552" s="135" customFormat="1" ht="12.75"/>
    <row r="7553" s="135" customFormat="1" ht="12.75"/>
    <row r="7554" s="135" customFormat="1" ht="12.75"/>
    <row r="7555" s="135" customFormat="1" ht="12.75"/>
    <row r="7556" s="135" customFormat="1" ht="12.75"/>
    <row r="7557" s="135" customFormat="1" ht="12.75"/>
    <row r="7558" s="135" customFormat="1" ht="12.75"/>
    <row r="7559" s="135" customFormat="1" ht="12.75"/>
    <row r="7560" s="135" customFormat="1" ht="12.75"/>
    <row r="7561" s="135" customFormat="1" ht="12.75"/>
    <row r="7562" s="135" customFormat="1" ht="12.75"/>
    <row r="7563" s="135" customFormat="1" ht="12.75"/>
    <row r="7564" s="135" customFormat="1" ht="12.75"/>
    <row r="7565" s="135" customFormat="1" ht="12.75"/>
    <row r="7566" s="135" customFormat="1" ht="12.75"/>
    <row r="7567" s="135" customFormat="1" ht="12.75"/>
    <row r="7568" s="135" customFormat="1" ht="12.75"/>
    <row r="7569" s="135" customFormat="1" ht="12.75"/>
    <row r="7570" s="135" customFormat="1" ht="12.75"/>
    <row r="7571" s="135" customFormat="1" ht="12.75"/>
    <row r="7572" s="135" customFormat="1" ht="12.75"/>
    <row r="7573" s="135" customFormat="1" ht="12.75"/>
    <row r="7574" s="135" customFormat="1" ht="12.75"/>
    <row r="7575" s="135" customFormat="1" ht="12.75"/>
    <row r="7576" s="135" customFormat="1" ht="12.75"/>
    <row r="7577" s="135" customFormat="1" ht="12.75"/>
    <row r="7578" s="135" customFormat="1" ht="12.75"/>
    <row r="7579" s="135" customFormat="1" ht="12.75"/>
    <row r="7580" s="135" customFormat="1" ht="12.75"/>
    <row r="7581" s="135" customFormat="1" ht="12.75"/>
    <row r="7582" s="135" customFormat="1" ht="12.75"/>
    <row r="7583" s="135" customFormat="1" ht="12.75"/>
    <row r="7584" s="135" customFormat="1" ht="12.75"/>
    <row r="7585" s="135" customFormat="1" ht="12.75"/>
    <row r="7586" s="135" customFormat="1" ht="12.75"/>
    <row r="7587" s="135" customFormat="1" ht="12.75"/>
    <row r="7588" s="135" customFormat="1" ht="12.75"/>
    <row r="7589" s="135" customFormat="1" ht="12.75"/>
    <row r="7590" s="135" customFormat="1" ht="12.75"/>
    <row r="7591" s="135" customFormat="1" ht="12.75"/>
    <row r="7592" s="135" customFormat="1" ht="12.75"/>
    <row r="7593" s="135" customFormat="1" ht="12.75"/>
    <row r="7594" s="135" customFormat="1" ht="12.75"/>
    <row r="7595" s="135" customFormat="1" ht="12.75"/>
    <row r="7596" s="135" customFormat="1" ht="12.75"/>
    <row r="7597" s="135" customFormat="1" ht="12.75"/>
    <row r="7598" s="135" customFormat="1" ht="12.75"/>
    <row r="7599" s="135" customFormat="1" ht="12.75"/>
    <row r="7600" s="135" customFormat="1" ht="12.75"/>
    <row r="7601" s="135" customFormat="1" ht="12.75"/>
    <row r="7602" s="135" customFormat="1" ht="12.75"/>
    <row r="7603" s="135" customFormat="1" ht="12.75"/>
    <row r="7604" s="135" customFormat="1" ht="12.75"/>
    <row r="7605" s="135" customFormat="1" ht="12.75"/>
    <row r="7606" s="135" customFormat="1" ht="12.75"/>
    <row r="7607" s="135" customFormat="1" ht="12.75"/>
    <row r="7608" s="135" customFormat="1" ht="12.75"/>
    <row r="7609" s="135" customFormat="1" ht="12.75"/>
    <row r="7610" s="135" customFormat="1" ht="12.75"/>
    <row r="7611" s="135" customFormat="1" ht="12.75"/>
    <row r="7612" s="135" customFormat="1" ht="12.75"/>
    <row r="7613" s="135" customFormat="1" ht="12.75"/>
    <row r="7614" s="135" customFormat="1" ht="12.75"/>
    <row r="7615" s="135" customFormat="1" ht="12.75"/>
    <row r="7616" s="135" customFormat="1" ht="12.75"/>
    <row r="7617" s="135" customFormat="1" ht="12.75"/>
    <row r="7618" s="135" customFormat="1" ht="12.75"/>
    <row r="7619" s="135" customFormat="1" ht="12.75"/>
    <row r="7620" s="135" customFormat="1" ht="12.75"/>
    <row r="7621" s="135" customFormat="1" ht="12.75"/>
    <row r="7622" s="135" customFormat="1" ht="12.75"/>
    <row r="7623" s="135" customFormat="1" ht="12.75"/>
    <row r="7624" s="135" customFormat="1" ht="12.75"/>
    <row r="7625" s="135" customFormat="1" ht="12.75"/>
    <row r="7626" s="135" customFormat="1" ht="12.75"/>
    <row r="7627" s="135" customFormat="1" ht="12.75"/>
    <row r="7628" s="135" customFormat="1" ht="12.75"/>
    <row r="7629" s="135" customFormat="1" ht="12.75"/>
    <row r="7630" s="135" customFormat="1" ht="12.75"/>
    <row r="7631" s="135" customFormat="1" ht="12.75"/>
    <row r="7632" s="135" customFormat="1" ht="12.75"/>
    <row r="7633" s="135" customFormat="1" ht="12.75"/>
    <row r="7634" s="135" customFormat="1" ht="12.75"/>
    <row r="7635" s="135" customFormat="1" ht="12.75"/>
    <row r="7636" s="135" customFormat="1" ht="12.75"/>
    <row r="7637" s="135" customFormat="1" ht="12.75"/>
    <row r="7638" s="135" customFormat="1" ht="12.75"/>
    <row r="7639" s="135" customFormat="1" ht="12.75"/>
    <row r="7640" s="135" customFormat="1" ht="12.75"/>
    <row r="7641" s="135" customFormat="1" ht="12.75"/>
    <row r="7642" s="135" customFormat="1" ht="12.75"/>
    <row r="7643" s="135" customFormat="1" ht="12.75"/>
    <row r="7644" s="135" customFormat="1" ht="12.75"/>
    <row r="7645" s="135" customFormat="1" ht="12.75"/>
    <row r="7646" s="135" customFormat="1" ht="12.75"/>
    <row r="7647" s="135" customFormat="1" ht="12.75"/>
    <row r="7648" s="135" customFormat="1" ht="12.75"/>
    <row r="7649" s="135" customFormat="1" ht="12.75"/>
    <row r="7650" s="135" customFormat="1" ht="12.75"/>
    <row r="7651" s="135" customFormat="1" ht="12.75"/>
    <row r="7652" s="135" customFormat="1" ht="12.75"/>
    <row r="7653" s="135" customFormat="1" ht="12.75"/>
    <row r="7654" s="135" customFormat="1" ht="12.75"/>
    <row r="7655" s="135" customFormat="1" ht="12.75"/>
    <row r="7656" s="135" customFormat="1" ht="12.75"/>
    <row r="7657" s="135" customFormat="1" ht="12.75"/>
    <row r="7658" s="135" customFormat="1" ht="12.75"/>
    <row r="7659" s="135" customFormat="1" ht="12.75"/>
    <row r="7660" s="135" customFormat="1" ht="12.75"/>
    <row r="7661" s="135" customFormat="1" ht="12.75"/>
    <row r="7662" s="135" customFormat="1" ht="12.75"/>
    <row r="7663" s="135" customFormat="1" ht="12.75"/>
    <row r="7664" s="135" customFormat="1" ht="12.75"/>
    <row r="7665" s="135" customFormat="1" ht="12.75"/>
    <row r="7666" s="135" customFormat="1" ht="12.75"/>
    <row r="7667" s="135" customFormat="1" ht="12.75"/>
    <row r="7668" s="135" customFormat="1" ht="12.75"/>
    <row r="7669" s="135" customFormat="1" ht="12.75"/>
    <row r="7670" s="135" customFormat="1" ht="12.75"/>
    <row r="7671" s="135" customFormat="1" ht="12.75"/>
    <row r="7672" s="135" customFormat="1" ht="12.75"/>
    <row r="7673" s="135" customFormat="1" ht="12.75"/>
    <row r="7674" s="135" customFormat="1" ht="12.75"/>
    <row r="7675" s="135" customFormat="1" ht="12.75"/>
    <row r="7676" s="135" customFormat="1" ht="12.75"/>
    <row r="7677" s="135" customFormat="1" ht="12.75"/>
    <row r="7678" s="135" customFormat="1" ht="12.75"/>
    <row r="7679" s="135" customFormat="1" ht="12.75"/>
    <row r="7680" s="135" customFormat="1" ht="12.75"/>
    <row r="7681" s="135" customFormat="1" ht="12.75"/>
    <row r="7682" s="135" customFormat="1" ht="12.75"/>
    <row r="7683" s="135" customFormat="1" ht="12.75"/>
    <row r="7684" s="135" customFormat="1" ht="12.75"/>
    <row r="7685" s="135" customFormat="1" ht="12.75"/>
    <row r="7686" s="135" customFormat="1" ht="12.75"/>
    <row r="7687" s="135" customFormat="1" ht="12.75"/>
    <row r="7688" s="135" customFormat="1" ht="12.75"/>
    <row r="7689" s="135" customFormat="1" ht="12.75"/>
    <row r="7690" s="135" customFormat="1" ht="12.75"/>
    <row r="7691" s="135" customFormat="1" ht="12.75"/>
    <row r="7692" s="135" customFormat="1" ht="12.75"/>
    <row r="7693" s="135" customFormat="1" ht="12.75"/>
    <row r="7694" s="135" customFormat="1" ht="12.75"/>
    <row r="7695" s="135" customFormat="1" ht="12.75"/>
    <row r="7696" s="135" customFormat="1" ht="12.75"/>
    <row r="7697" s="135" customFormat="1" ht="12.75"/>
    <row r="7698" s="135" customFormat="1" ht="12.75"/>
    <row r="7699" s="135" customFormat="1" ht="12.75"/>
    <row r="7700" s="135" customFormat="1" ht="12.75"/>
    <row r="7701" s="135" customFormat="1" ht="12.75"/>
    <row r="7702" s="135" customFormat="1" ht="12.75"/>
    <row r="7703" s="135" customFormat="1" ht="12.75"/>
    <row r="7704" s="135" customFormat="1" ht="12.75"/>
    <row r="7705" s="135" customFormat="1" ht="12.75"/>
    <row r="7706" s="135" customFormat="1" ht="12.75"/>
    <row r="7707" s="135" customFormat="1" ht="12.75"/>
    <row r="7708" s="135" customFormat="1" ht="12.75"/>
    <row r="7709" s="135" customFormat="1" ht="12.75"/>
    <row r="7710" s="135" customFormat="1" ht="12.75"/>
    <row r="7711" s="135" customFormat="1" ht="12.75"/>
    <row r="7712" s="135" customFormat="1" ht="12.75"/>
    <row r="7713" s="135" customFormat="1" ht="12.75"/>
    <row r="7714" s="135" customFormat="1" ht="12.75"/>
    <row r="7715" s="135" customFormat="1" ht="12.75"/>
    <row r="7716" s="135" customFormat="1" ht="12.75"/>
    <row r="7717" s="135" customFormat="1" ht="12.75"/>
    <row r="7718" s="135" customFormat="1" ht="12.75"/>
    <row r="7719" s="135" customFormat="1" ht="12.75"/>
    <row r="7720" s="135" customFormat="1" ht="12.75"/>
    <row r="7721" s="135" customFormat="1" ht="12.75"/>
    <row r="7722" s="135" customFormat="1" ht="12.75"/>
    <row r="7723" s="135" customFormat="1" ht="12.75"/>
    <row r="7724" s="135" customFormat="1" ht="12.75"/>
    <row r="7725" s="135" customFormat="1" ht="12.75"/>
    <row r="7726" s="135" customFormat="1" ht="12.75"/>
    <row r="7727" s="135" customFormat="1" ht="12.75"/>
    <row r="7728" s="135" customFormat="1" ht="12.75"/>
    <row r="7729" s="135" customFormat="1" ht="12.75"/>
    <row r="7730" s="135" customFormat="1" ht="12.75"/>
    <row r="7731" s="135" customFormat="1" ht="12.75"/>
    <row r="7732" s="135" customFormat="1" ht="12.75"/>
    <row r="7733" s="135" customFormat="1" ht="12.75"/>
    <row r="7734" s="135" customFormat="1" ht="12.75"/>
    <row r="7735" s="135" customFormat="1" ht="12.75"/>
    <row r="7736" s="135" customFormat="1" ht="12.75"/>
    <row r="7737" s="135" customFormat="1" ht="12.75"/>
    <row r="7738" s="135" customFormat="1" ht="12.75"/>
    <row r="7739" s="135" customFormat="1" ht="12.75"/>
    <row r="7740" s="135" customFormat="1" ht="12.75"/>
    <row r="7741" s="135" customFormat="1" ht="12.75"/>
    <row r="7742" s="135" customFormat="1" ht="12.75"/>
    <row r="7743" s="135" customFormat="1" ht="12.75"/>
    <row r="7744" s="135" customFormat="1" ht="12.75"/>
    <row r="7745" s="135" customFormat="1" ht="12.75"/>
    <row r="7746" s="135" customFormat="1" ht="12.75"/>
    <row r="7747" s="135" customFormat="1" ht="12.75"/>
    <row r="7748" s="135" customFormat="1" ht="12.75"/>
    <row r="7749" s="135" customFormat="1" ht="12.75"/>
    <row r="7750" s="135" customFormat="1" ht="12.75"/>
    <row r="7751" s="135" customFormat="1" ht="12.75"/>
    <row r="7752" s="135" customFormat="1" ht="12.75"/>
    <row r="7753" s="135" customFormat="1" ht="12.75"/>
    <row r="7754" s="135" customFormat="1" ht="12.75"/>
    <row r="7755" s="135" customFormat="1" ht="12.75"/>
    <row r="7756" s="135" customFormat="1" ht="12.75"/>
    <row r="7757" s="135" customFormat="1" ht="12.75"/>
    <row r="7758" s="135" customFormat="1" ht="12.75"/>
    <row r="7759" s="135" customFormat="1" ht="12.75"/>
    <row r="7760" s="135" customFormat="1" ht="12.75"/>
    <row r="7761" s="135" customFormat="1" ht="12.75"/>
    <row r="7762" s="135" customFormat="1" ht="12.75"/>
    <row r="7763" s="135" customFormat="1" ht="12.75"/>
    <row r="7764" s="135" customFormat="1" ht="12.75"/>
    <row r="7765" s="135" customFormat="1" ht="12.75"/>
    <row r="7766" s="135" customFormat="1" ht="12.75"/>
    <row r="7767" s="135" customFormat="1" ht="12.75"/>
    <row r="7768" s="135" customFormat="1" ht="12.75"/>
    <row r="7769" s="135" customFormat="1" ht="12.75"/>
    <row r="7770" s="135" customFormat="1" ht="12.75"/>
    <row r="7771" s="135" customFormat="1" ht="12.75"/>
    <row r="7772" s="135" customFormat="1" ht="12.75"/>
    <row r="7773" s="135" customFormat="1" ht="12.75"/>
    <row r="7774" s="135" customFormat="1" ht="12.75"/>
    <row r="7775" s="135" customFormat="1" ht="12.75"/>
    <row r="7776" s="135" customFormat="1" ht="12.75"/>
    <row r="7777" s="135" customFormat="1" ht="12.75"/>
    <row r="7778" s="135" customFormat="1" ht="12.75"/>
    <row r="7779" s="135" customFormat="1" ht="12.75"/>
    <row r="7780" s="135" customFormat="1" ht="12.75"/>
    <row r="7781" s="135" customFormat="1" ht="12.75"/>
    <row r="7782" s="135" customFormat="1" ht="12.75"/>
    <row r="7783" s="135" customFormat="1" ht="12.75"/>
    <row r="7784" s="135" customFormat="1" ht="12.75"/>
    <row r="7785" s="135" customFormat="1" ht="12.75"/>
    <row r="7786" s="135" customFormat="1" ht="12.75"/>
    <row r="7787" s="135" customFormat="1" ht="12.75"/>
    <row r="7788" s="135" customFormat="1" ht="12.75"/>
    <row r="7789" s="135" customFormat="1" ht="12.75"/>
    <row r="7790" s="135" customFormat="1" ht="12.75"/>
    <row r="7791" s="135" customFormat="1" ht="12.75"/>
    <row r="7792" s="135" customFormat="1" ht="12.75"/>
    <row r="7793" s="135" customFormat="1" ht="12.75"/>
    <row r="7794" s="135" customFormat="1" ht="12.75"/>
    <row r="7795" s="135" customFormat="1" ht="12.75"/>
    <row r="7796" s="135" customFormat="1" ht="12.75"/>
    <row r="7797" s="135" customFormat="1" ht="12.75"/>
    <row r="7798" s="135" customFormat="1" ht="12.75"/>
    <row r="7799" s="135" customFormat="1" ht="12.75"/>
    <row r="7800" s="135" customFormat="1" ht="12.75"/>
    <row r="7801" s="135" customFormat="1" ht="12.75"/>
    <row r="7802" s="135" customFormat="1" ht="12.75"/>
    <row r="7803" s="135" customFormat="1" ht="12.75"/>
    <row r="7804" s="135" customFormat="1" ht="12.75"/>
    <row r="7805" s="135" customFormat="1" ht="12.75"/>
    <row r="7806" s="135" customFormat="1" ht="12.75"/>
    <row r="7807" s="135" customFormat="1" ht="12.75"/>
    <row r="7808" s="135" customFormat="1" ht="12.75"/>
    <row r="7809" s="135" customFormat="1" ht="12.75"/>
    <row r="7810" s="135" customFormat="1" ht="12.75"/>
    <row r="7811" s="135" customFormat="1" ht="12.75"/>
    <row r="7812" s="135" customFormat="1" ht="12.75"/>
    <row r="7813" s="135" customFormat="1" ht="12.75"/>
    <row r="7814" s="135" customFormat="1" ht="12.75"/>
    <row r="7815" s="135" customFormat="1" ht="12.75"/>
    <row r="7816" s="135" customFormat="1" ht="12.75"/>
    <row r="7817" s="135" customFormat="1" ht="12.75"/>
    <row r="7818" s="135" customFormat="1" ht="12.75"/>
    <row r="7819" s="135" customFormat="1" ht="12.75"/>
    <row r="7820" s="135" customFormat="1" ht="12.75"/>
    <row r="7821" s="135" customFormat="1" ht="12.75"/>
    <row r="7822" s="135" customFormat="1" ht="12.75"/>
    <row r="7823" s="135" customFormat="1" ht="12.75"/>
    <row r="7824" s="135" customFormat="1" ht="12.75"/>
    <row r="7825" s="135" customFormat="1" ht="12.75"/>
    <row r="7826" s="135" customFormat="1" ht="12.75"/>
    <row r="7827" s="135" customFormat="1" ht="12.75"/>
    <row r="7828" s="135" customFormat="1" ht="12.75"/>
    <row r="7829" s="135" customFormat="1" ht="12.75"/>
    <row r="7830" s="135" customFormat="1" ht="12.75"/>
    <row r="7831" s="135" customFormat="1" ht="12.75"/>
    <row r="7832" s="135" customFormat="1" ht="12.75"/>
    <row r="7833" s="135" customFormat="1" ht="12.75"/>
    <row r="7834" s="135" customFormat="1" ht="12.75"/>
    <row r="7835" s="135" customFormat="1" ht="12.75"/>
    <row r="7836" s="135" customFormat="1" ht="12.75"/>
    <row r="7837" s="135" customFormat="1" ht="12.75"/>
    <row r="7838" s="135" customFormat="1" ht="12.75"/>
    <row r="7839" s="135" customFormat="1" ht="12.75"/>
    <row r="7840" s="135" customFormat="1" ht="12.75"/>
    <row r="7841" s="135" customFormat="1" ht="12.75"/>
    <row r="7842" s="135" customFormat="1" ht="12.75"/>
    <row r="7843" s="135" customFormat="1" ht="12.75"/>
    <row r="7844" s="135" customFormat="1" ht="12.75"/>
    <row r="7845" s="135" customFormat="1" ht="12.75"/>
    <row r="7846" s="135" customFormat="1" ht="12.75"/>
    <row r="7847" s="135" customFormat="1" ht="12.75"/>
    <row r="7848" s="135" customFormat="1" ht="12.75"/>
    <row r="7849" s="135" customFormat="1" ht="12.75"/>
    <row r="7850" s="135" customFormat="1" ht="12.75"/>
    <row r="7851" s="135" customFormat="1" ht="12.75"/>
    <row r="7852" s="135" customFormat="1" ht="12.75"/>
    <row r="7853" s="135" customFormat="1" ht="12.75"/>
    <row r="7854" s="135" customFormat="1" ht="12.75"/>
    <row r="7855" s="135" customFormat="1" ht="12.75"/>
    <row r="7856" s="135" customFormat="1" ht="12.75"/>
    <row r="7857" s="135" customFormat="1" ht="12.75"/>
    <row r="7858" s="135" customFormat="1" ht="12.75"/>
    <row r="7859" s="135" customFormat="1" ht="12.75"/>
    <row r="7860" s="135" customFormat="1" ht="12.75"/>
    <row r="7861" s="135" customFormat="1" ht="12.75"/>
    <row r="7862" s="135" customFormat="1" ht="12.75"/>
    <row r="7863" s="135" customFormat="1" ht="12.75"/>
    <row r="7864" s="135" customFormat="1" ht="12.75"/>
    <row r="7865" s="135" customFormat="1" ht="12.75"/>
    <row r="7866" s="135" customFormat="1" ht="12.75"/>
    <row r="7867" s="135" customFormat="1" ht="12.75"/>
    <row r="7868" s="135" customFormat="1" ht="12.75"/>
    <row r="7869" s="135" customFormat="1" ht="12.75"/>
    <row r="7870" s="135" customFormat="1" ht="12.75"/>
    <row r="7871" s="135" customFormat="1" ht="12.75"/>
    <row r="7872" s="135" customFormat="1" ht="12.75"/>
    <row r="7873" s="135" customFormat="1" ht="12.75"/>
    <row r="7874" s="135" customFormat="1" ht="12.75"/>
    <row r="7875" s="135" customFormat="1" ht="12.75"/>
    <row r="7876" s="135" customFormat="1" ht="12.75"/>
    <row r="7877" s="135" customFormat="1" ht="12.75"/>
    <row r="7878" s="135" customFormat="1" ht="12.75"/>
    <row r="7879" s="135" customFormat="1" ht="12.75"/>
    <row r="7880" s="135" customFormat="1" ht="12.75"/>
    <row r="7881" s="135" customFormat="1" ht="12.75"/>
    <row r="7882" s="135" customFormat="1" ht="12.75"/>
    <row r="7883" s="135" customFormat="1" ht="12.75"/>
    <row r="7884" s="135" customFormat="1" ht="12.75"/>
    <row r="7885" s="135" customFormat="1" ht="12.75"/>
    <row r="7886" s="135" customFormat="1" ht="12.75"/>
    <row r="7887" s="135" customFormat="1" ht="12.75"/>
    <row r="7888" s="135" customFormat="1" ht="12.75"/>
    <row r="7889" s="135" customFormat="1" ht="12.75"/>
    <row r="7890" s="135" customFormat="1" ht="12.75"/>
    <row r="7891" s="135" customFormat="1" ht="12.75"/>
    <row r="7892" s="135" customFormat="1" ht="12.75"/>
    <row r="7893" s="135" customFormat="1" ht="12.75"/>
    <row r="7894" s="135" customFormat="1" ht="12.75"/>
    <row r="7895" s="135" customFormat="1" ht="12.75"/>
    <row r="7896" s="135" customFormat="1" ht="12.75"/>
    <row r="7897" s="135" customFormat="1" ht="12.75"/>
    <row r="7898" s="135" customFormat="1" ht="12.75"/>
    <row r="7899" s="135" customFormat="1" ht="12.75"/>
    <row r="7900" s="135" customFormat="1" ht="12.75"/>
    <row r="7901" s="135" customFormat="1" ht="12.75"/>
    <row r="7902" s="135" customFormat="1" ht="12.75"/>
    <row r="7903" s="135" customFormat="1" ht="12.75"/>
    <row r="7904" s="135" customFormat="1" ht="12.75"/>
    <row r="7905" s="135" customFormat="1" ht="12.75"/>
    <row r="7906" s="135" customFormat="1" ht="12.75"/>
    <row r="7907" s="135" customFormat="1" ht="12.75"/>
    <row r="7908" s="135" customFormat="1" ht="12.75"/>
    <row r="7909" s="135" customFormat="1" ht="12.75"/>
    <row r="7910" s="135" customFormat="1" ht="12.75"/>
    <row r="7911" s="135" customFormat="1" ht="12.75"/>
    <row r="7912" s="135" customFormat="1" ht="12.75"/>
    <row r="7913" s="135" customFormat="1" ht="12.75"/>
    <row r="7914" s="135" customFormat="1" ht="12.75"/>
    <row r="7915" s="135" customFormat="1" ht="12.75"/>
    <row r="7916" s="135" customFormat="1" ht="12.75"/>
    <row r="7917" s="135" customFormat="1" ht="12.75"/>
    <row r="7918" s="135" customFormat="1" ht="12.75"/>
    <row r="7919" s="135" customFormat="1" ht="12.75"/>
    <row r="7920" s="135" customFormat="1" ht="12.75"/>
    <row r="7921" s="135" customFormat="1" ht="12.75"/>
    <row r="7922" s="135" customFormat="1" ht="12.75"/>
    <row r="7923" s="135" customFormat="1" ht="12.75"/>
    <row r="7924" s="135" customFormat="1" ht="12.75"/>
    <row r="7925" s="135" customFormat="1" ht="12.75"/>
    <row r="7926" s="135" customFormat="1" ht="12.75"/>
    <row r="7927" s="135" customFormat="1" ht="12.75"/>
    <row r="7928" s="135" customFormat="1" ht="12.75"/>
    <row r="7929" s="135" customFormat="1" ht="12.75"/>
    <row r="7930" s="135" customFormat="1" ht="12.75"/>
    <row r="7931" s="135" customFormat="1" ht="12.75"/>
    <row r="7932" s="135" customFormat="1" ht="12.75"/>
    <row r="7933" s="135" customFormat="1" ht="12.75"/>
    <row r="7934" s="135" customFormat="1" ht="12.75"/>
    <row r="7935" s="135" customFormat="1" ht="12.75"/>
    <row r="7936" s="135" customFormat="1" ht="12.75"/>
    <row r="7937" s="135" customFormat="1" ht="12.75"/>
    <row r="7938" s="135" customFormat="1" ht="12.75"/>
    <row r="7939" s="135" customFormat="1" ht="12.75"/>
    <row r="7940" s="135" customFormat="1" ht="12.75"/>
    <row r="7941" s="135" customFormat="1" ht="12.75"/>
    <row r="7942" s="135" customFormat="1" ht="12.75"/>
    <row r="7943" s="135" customFormat="1" ht="12.75"/>
    <row r="7944" s="135" customFormat="1" ht="12.75"/>
    <row r="7945" s="135" customFormat="1" ht="12.75"/>
    <row r="7946" s="135" customFormat="1" ht="12.75"/>
    <row r="7947" s="135" customFormat="1" ht="12.75"/>
    <row r="7948" s="135" customFormat="1" ht="12.75"/>
    <row r="7949" s="135" customFormat="1" ht="12.75"/>
    <row r="7950" s="135" customFormat="1" ht="12.75"/>
    <row r="7951" s="135" customFormat="1" ht="12.75"/>
    <row r="7952" s="135" customFormat="1" ht="12.75"/>
    <row r="7953" s="135" customFormat="1" ht="12.75"/>
    <row r="7954" s="135" customFormat="1" ht="12.75"/>
    <row r="7955" s="135" customFormat="1" ht="12.75"/>
    <row r="7956" s="135" customFormat="1" ht="12.75"/>
    <row r="7957" s="135" customFormat="1" ht="12.75"/>
    <row r="7958" s="135" customFormat="1" ht="12.75"/>
    <row r="7959" s="135" customFormat="1" ht="12.75"/>
    <row r="7960" s="135" customFormat="1" ht="12.75"/>
    <row r="7961" s="135" customFormat="1" ht="12.75"/>
    <row r="7962" s="135" customFormat="1" ht="12.75"/>
    <row r="7963" s="135" customFormat="1" ht="12.75"/>
    <row r="7964" s="135" customFormat="1" ht="12.75"/>
    <row r="7965" s="135" customFormat="1" ht="12.75"/>
    <row r="7966" s="135" customFormat="1" ht="12.75"/>
    <row r="7967" s="135" customFormat="1" ht="12.75"/>
    <row r="7968" s="135" customFormat="1" ht="12.75"/>
    <row r="7969" s="135" customFormat="1" ht="12.75"/>
    <row r="7970" s="135" customFormat="1" ht="12.75"/>
    <row r="7971" s="135" customFormat="1" ht="12.75"/>
    <row r="7972" s="135" customFormat="1" ht="12.75"/>
    <row r="7973" s="135" customFormat="1" ht="12.75"/>
    <row r="7974" s="135" customFormat="1" ht="12.75"/>
    <row r="7975" s="135" customFormat="1" ht="12.75"/>
    <row r="7976" s="135" customFormat="1" ht="12.75"/>
    <row r="7977" s="135" customFormat="1" ht="12.75"/>
    <row r="7978" s="135" customFormat="1" ht="12.75"/>
    <row r="7979" s="135" customFormat="1" ht="12.75"/>
    <row r="7980" s="135" customFormat="1" ht="12.75"/>
    <row r="7981" s="135" customFormat="1" ht="12.75"/>
    <row r="7982" s="135" customFormat="1" ht="12.75"/>
    <row r="7983" s="135" customFormat="1" ht="12.75"/>
    <row r="7984" s="135" customFormat="1" ht="12.75"/>
    <row r="7985" s="135" customFormat="1" ht="12.75"/>
    <row r="7986" s="135" customFormat="1" ht="12.75"/>
    <row r="7987" s="135" customFormat="1" ht="12.75"/>
    <row r="7988" s="135" customFormat="1" ht="12.75"/>
    <row r="7989" s="135" customFormat="1" ht="12.75"/>
    <row r="7990" s="135" customFormat="1" ht="12.75"/>
    <row r="7991" s="135" customFormat="1" ht="12.75"/>
    <row r="7992" s="135" customFormat="1" ht="12.75"/>
    <row r="7993" s="135" customFormat="1" ht="12.75"/>
    <row r="7994" s="135" customFormat="1" ht="12.75"/>
    <row r="7995" s="135" customFormat="1" ht="12.75"/>
    <row r="7996" s="135" customFormat="1" ht="12.75"/>
    <row r="7997" s="135" customFormat="1" ht="12.75"/>
    <row r="7998" s="135" customFormat="1" ht="12.75"/>
    <row r="7999" s="135" customFormat="1" ht="12.75"/>
    <row r="8000" s="135" customFormat="1" ht="12.75"/>
    <row r="8001" s="135" customFormat="1" ht="12.75"/>
    <row r="8002" s="135" customFormat="1" ht="12.75"/>
    <row r="8003" s="135" customFormat="1" ht="12.75"/>
    <row r="8004" s="135" customFormat="1" ht="12.75"/>
    <row r="8005" s="135" customFormat="1" ht="12.75"/>
    <row r="8006" s="135" customFormat="1" ht="12.75"/>
    <row r="8007" s="135" customFormat="1" ht="12.75"/>
    <row r="8008" s="135" customFormat="1" ht="12.75"/>
    <row r="8009" s="135" customFormat="1" ht="12.75"/>
    <row r="8010" s="135" customFormat="1" ht="12.75"/>
    <row r="8011" s="135" customFormat="1" ht="12.75"/>
    <row r="8012" s="135" customFormat="1" ht="12.75"/>
    <row r="8013" s="135" customFormat="1" ht="12.75"/>
    <row r="8014" s="135" customFormat="1" ht="12.75"/>
    <row r="8015" s="135" customFormat="1" ht="12.75"/>
    <row r="8016" s="135" customFormat="1" ht="12.75"/>
    <row r="8017" s="135" customFormat="1" ht="12.75"/>
    <row r="8018" s="135" customFormat="1" ht="12.75"/>
    <row r="8019" s="135" customFormat="1" ht="12.75"/>
    <row r="8020" s="135" customFormat="1" ht="12.75"/>
    <row r="8021" s="135" customFormat="1" ht="12.75"/>
    <row r="8022" s="135" customFormat="1" ht="12.75"/>
    <row r="8023" s="135" customFormat="1" ht="12.75"/>
    <row r="8024" s="135" customFormat="1" ht="12.75"/>
    <row r="8025" s="135" customFormat="1" ht="12.75"/>
    <row r="8026" s="135" customFormat="1" ht="12.75"/>
    <row r="8027" s="135" customFormat="1" ht="12.75"/>
    <row r="8028" s="135" customFormat="1" ht="12.75"/>
    <row r="8029" s="135" customFormat="1" ht="12.75"/>
    <row r="8030" s="135" customFormat="1" ht="12.75"/>
    <row r="8031" s="135" customFormat="1" ht="12.75"/>
    <row r="8032" s="135" customFormat="1" ht="12.75"/>
    <row r="8033" s="135" customFormat="1" ht="12.75"/>
    <row r="8034" s="135" customFormat="1" ht="12.75"/>
    <row r="8035" s="135" customFormat="1" ht="12.75"/>
    <row r="8036" s="135" customFormat="1" ht="12.75"/>
    <row r="8037" s="135" customFormat="1" ht="12.75"/>
    <row r="8038" s="135" customFormat="1" ht="12.75"/>
    <row r="8039" s="135" customFormat="1" ht="12.75"/>
    <row r="8040" s="135" customFormat="1" ht="12.75"/>
    <row r="8041" s="135" customFormat="1" ht="12.75"/>
    <row r="8042" s="135" customFormat="1" ht="12.75"/>
    <row r="8043" s="135" customFormat="1" ht="12.75"/>
    <row r="8044" s="135" customFormat="1" ht="12.75"/>
    <row r="8045" s="135" customFormat="1" ht="12.75"/>
    <row r="8046" s="135" customFormat="1" ht="12.75"/>
    <row r="8047" s="135" customFormat="1" ht="12.75"/>
    <row r="8048" s="135" customFormat="1" ht="12.75"/>
    <row r="8049" s="135" customFormat="1" ht="12.75"/>
    <row r="8050" s="135" customFormat="1" ht="12.75"/>
    <row r="8051" s="135" customFormat="1" ht="12.75"/>
    <row r="8052" s="135" customFormat="1" ht="12.75"/>
    <row r="8053" s="135" customFormat="1" ht="12.75"/>
    <row r="8054" s="135" customFormat="1" ht="12.75"/>
    <row r="8055" s="135" customFormat="1" ht="12.75"/>
    <row r="8056" s="135" customFormat="1" ht="12.75"/>
    <row r="8057" s="135" customFormat="1" ht="12.75"/>
    <row r="8058" s="135" customFormat="1" ht="12.75"/>
    <row r="8059" s="135" customFormat="1" ht="12.75"/>
    <row r="8060" s="135" customFormat="1" ht="12.75"/>
    <row r="8061" s="135" customFormat="1" ht="12.75"/>
    <row r="8062" s="135" customFormat="1" ht="12.75"/>
    <row r="8063" s="135" customFormat="1" ht="12.75"/>
    <row r="8064" s="135" customFormat="1" ht="12.75"/>
    <row r="8065" s="135" customFormat="1" ht="12.75"/>
    <row r="8066" s="135" customFormat="1" ht="12.75"/>
    <row r="8067" s="135" customFormat="1" ht="12.75"/>
    <row r="8068" s="135" customFormat="1" ht="12.75"/>
    <row r="8069" s="135" customFormat="1" ht="12.75"/>
    <row r="8070" s="135" customFormat="1" ht="12.75"/>
    <row r="8071" s="135" customFormat="1" ht="12.75"/>
    <row r="8072" s="135" customFormat="1" ht="12.75"/>
    <row r="8073" s="135" customFormat="1" ht="12.75"/>
    <row r="8074" s="135" customFormat="1" ht="12.75"/>
    <row r="8075" s="135" customFormat="1" ht="12.75"/>
    <row r="8076" s="135" customFormat="1" ht="12.75"/>
    <row r="8077" s="135" customFormat="1" ht="12.75"/>
    <row r="8078" s="135" customFormat="1" ht="12.75"/>
    <row r="8079" s="135" customFormat="1" ht="12.75"/>
    <row r="8080" s="135" customFormat="1" ht="12.75"/>
    <row r="8081" s="135" customFormat="1" ht="12.75"/>
    <row r="8082" s="135" customFormat="1" ht="12.75"/>
    <row r="8083" s="135" customFormat="1" ht="12.75"/>
    <row r="8084" s="135" customFormat="1" ht="12.75"/>
    <row r="8085" s="135" customFormat="1" ht="12.75"/>
    <row r="8086" s="135" customFormat="1" ht="12.75"/>
    <row r="8087" s="135" customFormat="1" ht="12.75"/>
    <row r="8088" s="135" customFormat="1" ht="12.75"/>
    <row r="8089" s="135" customFormat="1" ht="12.75"/>
    <row r="8090" s="135" customFormat="1" ht="12.75"/>
    <row r="8091" s="135" customFormat="1" ht="12.75"/>
    <row r="8092" s="135" customFormat="1" ht="12.75"/>
    <row r="8093" s="135" customFormat="1" ht="12.75"/>
    <row r="8094" s="135" customFormat="1" ht="12.75"/>
    <row r="8095" s="135" customFormat="1" ht="12.75"/>
    <row r="8096" s="135" customFormat="1" ht="12.75"/>
    <row r="8097" s="135" customFormat="1" ht="12.75"/>
    <row r="8098" s="135" customFormat="1" ht="12.75"/>
    <row r="8099" s="135" customFormat="1" ht="12.75"/>
    <row r="8100" s="135" customFormat="1" ht="12.75"/>
    <row r="8101" s="135" customFormat="1" ht="12.75"/>
    <row r="8102" s="135" customFormat="1" ht="12.75"/>
    <row r="8103" s="135" customFormat="1" ht="12.75"/>
    <row r="8104" s="135" customFormat="1" ht="12.75"/>
    <row r="8105" s="135" customFormat="1" ht="12.75"/>
    <row r="8106" s="135" customFormat="1" ht="12.75"/>
    <row r="8107" s="135" customFormat="1" ht="12.75"/>
    <row r="8108" s="135" customFormat="1" ht="12.75"/>
    <row r="8109" s="135" customFormat="1" ht="12.75"/>
    <row r="8110" s="135" customFormat="1" ht="12.75"/>
    <row r="8111" s="135" customFormat="1" ht="12.75"/>
    <row r="8112" s="135" customFormat="1" ht="12.75"/>
    <row r="8113" s="135" customFormat="1" ht="12.75"/>
    <row r="8114" s="135" customFormat="1" ht="12.75"/>
    <row r="8115" s="135" customFormat="1" ht="12.75"/>
    <row r="8116" s="135" customFormat="1" ht="12.75"/>
    <row r="8117" s="135" customFormat="1" ht="12.75"/>
    <row r="8118" s="135" customFormat="1" ht="12.75"/>
    <row r="8119" s="135" customFormat="1" ht="12.75"/>
    <row r="8120" s="135" customFormat="1" ht="12.75"/>
    <row r="8121" s="135" customFormat="1" ht="12.75"/>
    <row r="8122" s="135" customFormat="1" ht="12.75"/>
    <row r="8123" s="135" customFormat="1" ht="12.75"/>
    <row r="8124" s="135" customFormat="1" ht="12.75"/>
    <row r="8125" s="135" customFormat="1" ht="12.75"/>
    <row r="8126" s="135" customFormat="1" ht="12.75"/>
    <row r="8127" s="135" customFormat="1" ht="12.75"/>
    <row r="8128" s="135" customFormat="1" ht="12.75"/>
    <row r="8129" s="135" customFormat="1" ht="12.75"/>
    <row r="8130" s="135" customFormat="1" ht="12.75"/>
    <row r="8131" s="135" customFormat="1" ht="12.75"/>
    <row r="8132" s="135" customFormat="1" ht="12.75"/>
    <row r="8133" s="135" customFormat="1" ht="12.75"/>
    <row r="8134" s="135" customFormat="1" ht="12.75"/>
    <row r="8135" s="135" customFormat="1" ht="12.75"/>
    <row r="8136" s="135" customFormat="1" ht="12.75"/>
    <row r="8137" s="135" customFormat="1" ht="12.75"/>
    <row r="8138" s="135" customFormat="1" ht="12.75"/>
    <row r="8139" s="135" customFormat="1" ht="12.75"/>
    <row r="8140" s="135" customFormat="1" ht="12.75"/>
    <row r="8141" s="135" customFormat="1" ht="12.75"/>
    <row r="8142" s="135" customFormat="1" ht="12.75"/>
    <row r="8143" s="135" customFormat="1" ht="12.75"/>
    <row r="8144" s="135" customFormat="1" ht="12.75"/>
    <row r="8145" s="135" customFormat="1" ht="12.75"/>
    <row r="8146" s="135" customFormat="1" ht="12.75"/>
    <row r="8147" s="135" customFormat="1" ht="12.75"/>
    <row r="8148" s="135" customFormat="1" ht="12.75"/>
    <row r="8149" s="135" customFormat="1" ht="12.75"/>
    <row r="8150" s="135" customFormat="1" ht="12.75"/>
    <row r="8151" s="135" customFormat="1" ht="12.75"/>
    <row r="8152" s="135" customFormat="1" ht="12.75"/>
    <row r="8153" s="135" customFormat="1" ht="12.75"/>
    <row r="8154" s="135" customFormat="1" ht="12.75"/>
    <row r="8155" s="135" customFormat="1" ht="12.75"/>
    <row r="8156" s="135" customFormat="1" ht="12.75"/>
    <row r="8157" s="135" customFormat="1" ht="12.75"/>
    <row r="8158" s="135" customFormat="1" ht="12.75"/>
    <row r="8159" s="135" customFormat="1" ht="12.75"/>
    <row r="8160" s="135" customFormat="1" ht="12.75"/>
    <row r="8161" s="135" customFormat="1" ht="12.75"/>
    <row r="8162" s="135" customFormat="1" ht="12.75"/>
    <row r="8163" s="135" customFormat="1" ht="12.75"/>
    <row r="8164" s="135" customFormat="1" ht="12.75"/>
    <row r="8165" s="135" customFormat="1" ht="12.75"/>
    <row r="8166" s="135" customFormat="1" ht="12.75"/>
    <row r="8167" s="135" customFormat="1" ht="12.75"/>
    <row r="8168" s="135" customFormat="1" ht="12.75"/>
    <row r="8169" s="135" customFormat="1" ht="12.75"/>
    <row r="8170" s="135" customFormat="1" ht="12.75"/>
    <row r="8171" s="135" customFormat="1" ht="12.75"/>
    <row r="8172" s="135" customFormat="1" ht="12.75"/>
    <row r="8173" s="135" customFormat="1" ht="12.75"/>
    <row r="8174" s="135" customFormat="1" ht="12.75"/>
    <row r="8175" s="135" customFormat="1" ht="12.75"/>
    <row r="8176" s="135" customFormat="1" ht="12.75"/>
    <row r="8177" s="135" customFormat="1" ht="12.75"/>
    <row r="8178" s="135" customFormat="1" ht="12.75"/>
    <row r="8179" s="135" customFormat="1" ht="12.75"/>
    <row r="8180" s="135" customFormat="1" ht="12.75"/>
    <row r="8181" s="135" customFormat="1" ht="12.75"/>
    <row r="8182" s="135" customFormat="1" ht="12.75"/>
    <row r="8183" s="135" customFormat="1" ht="12.75"/>
    <row r="8184" s="135" customFormat="1" ht="12.75"/>
    <row r="8185" s="135" customFormat="1" ht="12.75"/>
    <row r="8186" s="135" customFormat="1" ht="12.75"/>
    <row r="8187" s="135" customFormat="1" ht="12.75"/>
    <row r="8188" s="135" customFormat="1" ht="12.75"/>
    <row r="8189" s="135" customFormat="1" ht="12.75"/>
    <row r="8190" s="135" customFormat="1" ht="12.75"/>
    <row r="8191" s="135" customFormat="1" ht="12.75"/>
    <row r="8192" s="135" customFormat="1" ht="12.75"/>
    <row r="8193" s="135" customFormat="1" ht="12.75"/>
    <row r="8194" s="135" customFormat="1" ht="12.75"/>
    <row r="8195" s="135" customFormat="1" ht="12.75"/>
    <row r="8196" s="135" customFormat="1" ht="12.75"/>
    <row r="8197" s="135" customFormat="1" ht="12.75"/>
    <row r="8198" s="135" customFormat="1" ht="12.75"/>
    <row r="8199" s="135" customFormat="1" ht="12.75"/>
    <row r="8200" s="135" customFormat="1" ht="12.75"/>
    <row r="8201" s="135" customFormat="1" ht="12.75"/>
    <row r="8202" s="135" customFormat="1" ht="12.75"/>
    <row r="8203" s="135" customFormat="1" ht="12.75"/>
    <row r="8204" s="135" customFormat="1" ht="12.75"/>
    <row r="8205" s="135" customFormat="1" ht="12.75"/>
    <row r="8206" s="135" customFormat="1" ht="12.75"/>
    <row r="8207" s="135" customFormat="1" ht="12.75"/>
    <row r="8208" s="135" customFormat="1" ht="12.75"/>
    <row r="8209" s="135" customFormat="1" ht="12.75"/>
    <row r="8210" s="135" customFormat="1" ht="12.75"/>
    <row r="8211" s="135" customFormat="1" ht="12.75"/>
    <row r="8212" s="135" customFormat="1" ht="12.75"/>
    <row r="8213" s="135" customFormat="1" ht="12.75"/>
    <row r="8214" s="135" customFormat="1" ht="12.75"/>
    <row r="8215" s="135" customFormat="1" ht="12.75"/>
    <row r="8216" s="135" customFormat="1" ht="12.75"/>
    <row r="8217" s="135" customFormat="1" ht="12.75"/>
    <row r="8218" s="135" customFormat="1" ht="12.75"/>
    <row r="8219" s="135" customFormat="1" ht="12.75"/>
    <row r="8220" s="135" customFormat="1" ht="12.75"/>
    <row r="8221" s="135" customFormat="1" ht="12.75"/>
    <row r="8222" s="135" customFormat="1" ht="12.75"/>
    <row r="8223" s="135" customFormat="1" ht="12.75"/>
    <row r="8224" s="135" customFormat="1" ht="12.75"/>
    <row r="8225" s="135" customFormat="1" ht="12.75"/>
    <row r="8226" s="135" customFormat="1" ht="12.75"/>
    <row r="8227" s="135" customFormat="1" ht="12.75"/>
    <row r="8228" s="135" customFormat="1" ht="12.75"/>
    <row r="8229" s="135" customFormat="1" ht="12.75"/>
    <row r="8230" s="135" customFormat="1" ht="12.75"/>
    <row r="8231" s="135" customFormat="1" ht="12.75"/>
    <row r="8232" s="135" customFormat="1" ht="12.75"/>
    <row r="8233" s="135" customFormat="1" ht="12.75"/>
    <row r="8234" s="135" customFormat="1" ht="12.75"/>
    <row r="8235" s="135" customFormat="1" ht="12.75"/>
    <row r="8236" s="135" customFormat="1" ht="12.75"/>
    <row r="8237" s="135" customFormat="1" ht="12.75"/>
    <row r="8238" s="135" customFormat="1" ht="12.75"/>
    <row r="8239" s="135" customFormat="1" ht="12.75"/>
    <row r="8240" s="135" customFormat="1" ht="12.75"/>
    <row r="8241" s="135" customFormat="1" ht="12.75"/>
    <row r="8242" s="135" customFormat="1" ht="12.75"/>
    <row r="8243" s="135" customFormat="1" ht="12.75"/>
    <row r="8244" s="135" customFormat="1" ht="12.75"/>
    <row r="8245" s="135" customFormat="1" ht="12.75"/>
    <row r="8246" s="135" customFormat="1" ht="12.75"/>
    <row r="8247" s="135" customFormat="1" ht="12.75"/>
    <row r="8248" s="135" customFormat="1" ht="12.75"/>
    <row r="8249" s="135" customFormat="1" ht="12.75"/>
    <row r="8250" s="135" customFormat="1" ht="12.75"/>
    <row r="8251" s="135" customFormat="1" ht="12.75"/>
    <row r="8252" s="135" customFormat="1" ht="12.75"/>
    <row r="8253" s="135" customFormat="1" ht="12.75"/>
    <row r="8254" s="135" customFormat="1" ht="12.75"/>
    <row r="8255" s="135" customFormat="1" ht="12.75"/>
    <row r="8256" s="135" customFormat="1" ht="12.75"/>
    <row r="8257" s="135" customFormat="1" ht="12.75"/>
    <row r="8258" s="135" customFormat="1" ht="12.75"/>
    <row r="8259" s="135" customFormat="1" ht="12.75"/>
    <row r="8260" s="135" customFormat="1" ht="12.75"/>
    <row r="8261" s="135" customFormat="1" ht="12.75"/>
    <row r="8262" s="135" customFormat="1" ht="12.75"/>
    <row r="8263" s="135" customFormat="1" ht="12.75"/>
    <row r="8264" s="135" customFormat="1" ht="12.75"/>
    <row r="8265" s="135" customFormat="1" ht="12.75"/>
    <row r="8266" s="135" customFormat="1" ht="12.75"/>
    <row r="8267" s="135" customFormat="1" ht="12.75"/>
    <row r="8268" s="135" customFormat="1" ht="12.75"/>
    <row r="8269" s="135" customFormat="1" ht="12.75"/>
    <row r="8270" s="135" customFormat="1" ht="12.75"/>
    <row r="8271" s="135" customFormat="1" ht="12.75"/>
    <row r="8272" s="135" customFormat="1" ht="12.75"/>
    <row r="8273" s="135" customFormat="1" ht="12.75"/>
    <row r="8274" s="135" customFormat="1" ht="12.75"/>
    <row r="8275" s="135" customFormat="1" ht="12.75"/>
    <row r="8276" s="135" customFormat="1" ht="12.75"/>
    <row r="8277" s="135" customFormat="1" ht="12.75"/>
    <row r="8278" s="135" customFormat="1" ht="12.75"/>
    <row r="8279" s="135" customFormat="1" ht="12.75"/>
    <row r="8280" s="135" customFormat="1" ht="12.75"/>
    <row r="8281" s="135" customFormat="1" ht="12.75"/>
    <row r="8282" s="135" customFormat="1" ht="12.75"/>
    <row r="8283" s="135" customFormat="1" ht="12.75"/>
    <row r="8284" s="135" customFormat="1" ht="12.75"/>
    <row r="8285" s="135" customFormat="1" ht="12.75"/>
    <row r="8286" s="135" customFormat="1" ht="12.75"/>
    <row r="8287" s="135" customFormat="1" ht="12.75"/>
    <row r="8288" s="135" customFormat="1" ht="12.75"/>
    <row r="8289" s="135" customFormat="1" ht="12.75"/>
    <row r="8290" s="135" customFormat="1" ht="12.75"/>
    <row r="8291" s="135" customFormat="1" ht="12.75"/>
    <row r="8292" s="135" customFormat="1" ht="12.75"/>
    <row r="8293" s="135" customFormat="1" ht="12.75"/>
    <row r="8294" s="135" customFormat="1" ht="12.75"/>
    <row r="8295" s="135" customFormat="1" ht="12.75"/>
    <row r="8296" s="135" customFormat="1" ht="12.75"/>
    <row r="8297" s="135" customFormat="1" ht="12.75"/>
    <row r="8298" s="135" customFormat="1" ht="12.75"/>
    <row r="8299" s="135" customFormat="1" ht="12.75"/>
    <row r="8300" s="135" customFormat="1" ht="12.75"/>
    <row r="8301" s="135" customFormat="1" ht="12.75"/>
    <row r="8302" s="135" customFormat="1" ht="12.75"/>
    <row r="8303" s="135" customFormat="1" ht="12.75"/>
    <row r="8304" s="135" customFormat="1" ht="12.75"/>
    <row r="8305" s="135" customFormat="1" ht="12.75"/>
    <row r="8306" s="135" customFormat="1" ht="12.75"/>
    <row r="8307" s="135" customFormat="1" ht="12.75"/>
    <row r="8308" s="135" customFormat="1" ht="12.75"/>
    <row r="8309" s="135" customFormat="1" ht="12.75"/>
    <row r="8310" s="135" customFormat="1" ht="12.75"/>
    <row r="8311" s="135" customFormat="1" ht="12.75"/>
    <row r="8312" s="135" customFormat="1" ht="12.75"/>
    <row r="8313" s="135" customFormat="1" ht="12.75"/>
    <row r="8314" s="135" customFormat="1" ht="12.75"/>
    <row r="8315" s="135" customFormat="1" ht="12.75"/>
    <row r="8316" s="135" customFormat="1" ht="12.75"/>
    <row r="8317" s="135" customFormat="1" ht="12.75"/>
    <row r="8318" s="135" customFormat="1" ht="12.75"/>
    <row r="8319" s="135" customFormat="1" ht="12.75"/>
    <row r="8320" s="135" customFormat="1" ht="12.75"/>
    <row r="8321" s="135" customFormat="1" ht="12.75"/>
    <row r="8322" s="135" customFormat="1" ht="12.75"/>
    <row r="8323" s="135" customFormat="1" ht="12.75"/>
    <row r="8324" s="135" customFormat="1" ht="12.75"/>
    <row r="8325" s="135" customFormat="1" ht="12.75"/>
    <row r="8326" s="135" customFormat="1" ht="12.75"/>
    <row r="8327" s="135" customFormat="1" ht="12.75"/>
    <row r="8328" s="135" customFormat="1" ht="12.75"/>
    <row r="8329" s="135" customFormat="1" ht="12.75"/>
    <row r="8330" s="135" customFormat="1" ht="12.75"/>
    <row r="8331" s="135" customFormat="1" ht="12.75"/>
    <row r="8332" s="135" customFormat="1" ht="12.75"/>
    <row r="8333" s="135" customFormat="1" ht="12.75"/>
    <row r="8334" s="135" customFormat="1" ht="12.75"/>
    <row r="8335" s="135" customFormat="1" ht="12.75"/>
    <row r="8336" s="135" customFormat="1" ht="12.75"/>
    <row r="8337" s="135" customFormat="1" ht="12.75"/>
    <row r="8338" s="135" customFormat="1" ht="12.75"/>
    <row r="8339" s="135" customFormat="1" ht="12.75"/>
    <row r="8340" s="135" customFormat="1" ht="12.75"/>
    <row r="8341" s="135" customFormat="1" ht="12.75"/>
    <row r="8342" s="135" customFormat="1" ht="12.75"/>
    <row r="8343" s="135" customFormat="1" ht="12.75"/>
    <row r="8344" s="135" customFormat="1" ht="12.75"/>
    <row r="8345" s="135" customFormat="1" ht="12.75"/>
    <row r="8346" s="135" customFormat="1" ht="12.75"/>
    <row r="8347" s="135" customFormat="1" ht="12.75"/>
    <row r="8348" s="135" customFormat="1" ht="12.75"/>
    <row r="8349" s="135" customFormat="1" ht="12.75"/>
    <row r="8350" s="135" customFormat="1" ht="12.75"/>
    <row r="8351" s="135" customFormat="1" ht="12.75"/>
    <row r="8352" s="135" customFormat="1" ht="12.75"/>
    <row r="8353" s="135" customFormat="1" ht="12.75"/>
    <row r="8354" s="135" customFormat="1" ht="12.75"/>
    <row r="8355" s="135" customFormat="1" ht="12.75"/>
    <row r="8356" s="135" customFormat="1" ht="12.75"/>
    <row r="8357" s="135" customFormat="1" ht="12.75"/>
    <row r="8358" s="135" customFormat="1" ht="12.75"/>
    <row r="8359" s="135" customFormat="1" ht="12.75"/>
    <row r="8360" s="135" customFormat="1" ht="12.75"/>
    <row r="8361" s="135" customFormat="1" ht="12.75"/>
    <row r="8362" s="135" customFormat="1" ht="12.75"/>
    <row r="8363" s="135" customFormat="1" ht="12.75"/>
    <row r="8364" s="135" customFormat="1" ht="12.75"/>
    <row r="8365" s="135" customFormat="1" ht="12.75"/>
    <row r="8366" s="135" customFormat="1" ht="12.75"/>
    <row r="8367" s="135" customFormat="1" ht="12.75"/>
    <row r="8368" s="135" customFormat="1" ht="12.75"/>
    <row r="8369" s="135" customFormat="1" ht="12.75"/>
    <row r="8370" s="135" customFormat="1" ht="12.75"/>
    <row r="8371" s="135" customFormat="1" ht="12.75"/>
    <row r="8372" s="135" customFormat="1" ht="12.75"/>
    <row r="8373" s="135" customFormat="1" ht="12.75"/>
    <row r="8374" s="135" customFormat="1" ht="12.75"/>
    <row r="8375" s="135" customFormat="1" ht="12.75"/>
    <row r="8376" s="135" customFormat="1" ht="12.75"/>
    <row r="8377" s="135" customFormat="1" ht="12.75"/>
    <row r="8378" s="135" customFormat="1" ht="12.75"/>
    <row r="8379" s="135" customFormat="1" ht="12.75"/>
    <row r="8380" s="135" customFormat="1" ht="12.75"/>
    <row r="8381" s="135" customFormat="1" ht="12.75"/>
    <row r="8382" s="135" customFormat="1" ht="12.75"/>
    <row r="8383" s="135" customFormat="1" ht="12.75"/>
    <row r="8384" s="135" customFormat="1" ht="12.75"/>
    <row r="8385" s="135" customFormat="1" ht="12.75"/>
    <row r="8386" s="135" customFormat="1" ht="12.75"/>
    <row r="8387" s="135" customFormat="1" ht="12.75"/>
    <row r="8388" s="135" customFormat="1" ht="12.75"/>
    <row r="8389" s="135" customFormat="1" ht="12.75"/>
    <row r="8390" s="135" customFormat="1" ht="12.75"/>
    <row r="8391" s="135" customFormat="1" ht="12.75"/>
    <row r="8392" s="135" customFormat="1" ht="12.75"/>
    <row r="8393" s="135" customFormat="1" ht="12.75"/>
    <row r="8394" s="135" customFormat="1" ht="12.75"/>
    <row r="8395" s="135" customFormat="1" ht="12.75"/>
    <row r="8396" s="135" customFormat="1" ht="12.75"/>
    <row r="8397" s="135" customFormat="1" ht="12.75"/>
    <row r="8398" s="135" customFormat="1" ht="12.75"/>
    <row r="8399" s="135" customFormat="1" ht="12.75"/>
    <row r="8400" s="135" customFormat="1" ht="12.75"/>
    <row r="8401" s="135" customFormat="1" ht="12.75"/>
  </sheetData>
  <sheetProtection/>
  <mergeCells count="34">
    <mergeCell ref="K2:N2"/>
    <mergeCell ref="C4:M4"/>
    <mergeCell ref="O4:T4"/>
    <mergeCell ref="C5:M5"/>
    <mergeCell ref="O5:T5"/>
    <mergeCell ref="C6:M7"/>
    <mergeCell ref="O6:T6"/>
    <mergeCell ref="O7:T7"/>
    <mergeCell ref="O8:T8"/>
    <mergeCell ref="A9:T9"/>
    <mergeCell ref="E11:F11"/>
    <mergeCell ref="A13:T18"/>
    <mergeCell ref="P24:Q24"/>
    <mergeCell ref="P26:Q26"/>
    <mergeCell ref="A28:M29"/>
    <mergeCell ref="D30:E30"/>
    <mergeCell ref="D32:E32"/>
    <mergeCell ref="K32:L32"/>
    <mergeCell ref="D34:E34"/>
    <mergeCell ref="H34:I34"/>
    <mergeCell ref="K34:L34"/>
    <mergeCell ref="S34:T34"/>
    <mergeCell ref="D36:E36"/>
    <mergeCell ref="K36:L36"/>
    <mergeCell ref="S36:T36"/>
    <mergeCell ref="I37:O37"/>
    <mergeCell ref="C40:D40"/>
    <mergeCell ref="K40:L40"/>
    <mergeCell ref="C41:D41"/>
    <mergeCell ref="S41:T41"/>
    <mergeCell ref="A43:M44"/>
    <mergeCell ref="K47:L47"/>
    <mergeCell ref="S47:T47"/>
    <mergeCell ref="S48:T4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scale="70" r:id="rId2"/>
  <headerFooter alignWithMargins="0">
    <oddHeader>&amp;CPágina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40"/>
  <sheetViews>
    <sheetView view="pageBreakPreview" zoomScale="70" zoomScaleNormal="75" zoomScaleSheetLayoutView="70" zoomScalePageLayoutView="0" workbookViewId="0" topLeftCell="A1">
      <selection activeCell="B1454" activeCellId="9" sqref="B1388:E1388 B1394:E1394 B1401:E1401 B1408:E1408 B1417:E1417 B1425:E1425 B1433:E1433 B1440:E1440 B1447:E1447 B1454:E1454"/>
    </sheetView>
  </sheetViews>
  <sheetFormatPr defaultColWidth="94.7109375" defaultRowHeight="15"/>
  <cols>
    <col min="1" max="1" width="6.8515625" style="229" customWidth="1"/>
    <col min="2" max="2" width="26.28125" style="230" customWidth="1"/>
    <col min="3" max="3" width="109.140625" style="231" customWidth="1"/>
    <col min="4" max="4" width="10.57421875" style="232" customWidth="1"/>
    <col min="5" max="5" width="24.00390625" style="231" customWidth="1"/>
    <col min="6" max="6" width="24.57421875" style="231" bestFit="1" customWidth="1"/>
    <col min="7" max="7" width="17.7109375" style="231" bestFit="1" customWidth="1"/>
    <col min="8" max="8" width="17.421875" style="231" bestFit="1" customWidth="1"/>
    <col min="9" max="9" width="17.57421875" style="233" bestFit="1" customWidth="1"/>
    <col min="10" max="10" width="21.8515625" style="193" customWidth="1"/>
    <col min="11" max="253" width="9.140625" style="193" customWidth="1"/>
    <col min="254" max="254" width="6.8515625" style="193" customWidth="1"/>
    <col min="255" max="255" width="26.28125" style="193" customWidth="1"/>
    <col min="256" max="16384" width="94.7109375" style="193" customWidth="1"/>
  </cols>
  <sheetData>
    <row r="1" spans="1:9" ht="15.75">
      <c r="A1" s="181"/>
      <c r="B1" s="182"/>
      <c r="C1" s="472" t="s">
        <v>0</v>
      </c>
      <c r="D1" s="472"/>
      <c r="E1" s="473"/>
      <c r="F1" s="183"/>
      <c r="G1" s="184"/>
      <c r="H1" s="234"/>
      <c r="I1" s="235"/>
    </row>
    <row r="2" spans="1:9" ht="15.75">
      <c r="A2" s="185"/>
      <c r="B2" s="186"/>
      <c r="C2" s="455" t="s">
        <v>1</v>
      </c>
      <c r="D2" s="455"/>
      <c r="E2" s="456"/>
      <c r="F2" s="187"/>
      <c r="G2" s="188"/>
      <c r="H2" s="236"/>
      <c r="I2" s="237"/>
    </row>
    <row r="3" spans="1:9" ht="15.75">
      <c r="A3" s="185"/>
      <c r="B3" s="186"/>
      <c r="C3" s="455" t="s">
        <v>2</v>
      </c>
      <c r="D3" s="455"/>
      <c r="E3" s="456"/>
      <c r="F3" s="474"/>
      <c r="G3" s="475"/>
      <c r="H3" s="475"/>
      <c r="I3" s="476"/>
    </row>
    <row r="4" spans="1:9" ht="39.75" customHeight="1">
      <c r="A4" s="185"/>
      <c r="B4" s="186"/>
      <c r="C4" s="450" t="s">
        <v>282</v>
      </c>
      <c r="D4" s="450"/>
      <c r="E4" s="451"/>
      <c r="F4" s="477" t="s">
        <v>1629</v>
      </c>
      <c r="G4" s="478"/>
      <c r="H4" s="478"/>
      <c r="I4" s="479"/>
    </row>
    <row r="5" spans="1:9" ht="23.25" customHeight="1">
      <c r="A5" s="185"/>
      <c r="B5" s="186"/>
      <c r="C5" s="450" t="s">
        <v>1005</v>
      </c>
      <c r="D5" s="450"/>
      <c r="E5" s="451"/>
      <c r="F5" s="452" t="s">
        <v>283</v>
      </c>
      <c r="G5" s="453"/>
      <c r="H5" s="453"/>
      <c r="I5" s="454"/>
    </row>
    <row r="6" spans="1:9" ht="15.75">
      <c r="A6" s="185"/>
      <c r="B6" s="186"/>
      <c r="C6" s="455" t="s">
        <v>280</v>
      </c>
      <c r="D6" s="455"/>
      <c r="E6" s="456"/>
      <c r="F6" s="457" t="s">
        <v>284</v>
      </c>
      <c r="G6" s="458"/>
      <c r="H6" s="458"/>
      <c r="I6" s="459"/>
    </row>
    <row r="7" spans="1:9" ht="15.75">
      <c r="A7" s="185"/>
      <c r="B7" s="186"/>
      <c r="C7" s="460"/>
      <c r="D7" s="460"/>
      <c r="E7" s="461"/>
      <c r="F7" s="457" t="s">
        <v>41</v>
      </c>
      <c r="G7" s="458"/>
      <c r="H7" s="458"/>
      <c r="I7" s="459"/>
    </row>
    <row r="8" spans="1:9" ht="15.75">
      <c r="A8" s="189"/>
      <c r="B8" s="190"/>
      <c r="C8" s="191"/>
      <c r="D8" s="238"/>
      <c r="E8" s="192"/>
      <c r="F8" s="462" t="s">
        <v>3</v>
      </c>
      <c r="G8" s="463"/>
      <c r="H8" s="463"/>
      <c r="I8" s="464"/>
    </row>
    <row r="9" spans="1:9" ht="18" customHeight="1">
      <c r="A9" s="465" t="s">
        <v>266</v>
      </c>
      <c r="B9" s="466"/>
      <c r="C9" s="466"/>
      <c r="D9" s="466"/>
      <c r="E9" s="466"/>
      <c r="F9" s="466"/>
      <c r="G9" s="466"/>
      <c r="H9" s="466"/>
      <c r="I9" s="466"/>
    </row>
    <row r="10" spans="1:9" ht="15.75">
      <c r="A10" s="467" t="s">
        <v>4</v>
      </c>
      <c r="B10" s="468" t="s">
        <v>5</v>
      </c>
      <c r="C10" s="469" t="s">
        <v>6</v>
      </c>
      <c r="D10" s="467" t="s">
        <v>7</v>
      </c>
      <c r="E10" s="470" t="s">
        <v>8</v>
      </c>
      <c r="F10" s="471" t="s">
        <v>9</v>
      </c>
      <c r="G10" s="471"/>
      <c r="H10" s="471"/>
      <c r="I10" s="471"/>
    </row>
    <row r="11" spans="1:9" ht="15.75">
      <c r="A11" s="467"/>
      <c r="B11" s="468"/>
      <c r="C11" s="469"/>
      <c r="D11" s="467"/>
      <c r="E11" s="470"/>
      <c r="F11" s="2" t="s">
        <v>10</v>
      </c>
      <c r="G11" s="2" t="s">
        <v>11</v>
      </c>
      <c r="H11" s="2" t="s">
        <v>12</v>
      </c>
      <c r="I11" s="3" t="s">
        <v>13</v>
      </c>
    </row>
    <row r="12" spans="1:9" ht="14.25" customHeight="1">
      <c r="A12" s="99" t="s">
        <v>14</v>
      </c>
      <c r="B12" s="100"/>
      <c r="C12" s="180" t="s">
        <v>15</v>
      </c>
      <c r="D12" s="180"/>
      <c r="E12" s="180"/>
      <c r="F12" s="180"/>
      <c r="G12" s="180"/>
      <c r="H12" s="180"/>
      <c r="I12" s="180"/>
    </row>
    <row r="13" spans="1:9" s="195" customFormat="1" ht="30">
      <c r="A13" s="174" t="s">
        <v>16</v>
      </c>
      <c r="B13" s="175" t="s">
        <v>246</v>
      </c>
      <c r="C13" s="194" t="s">
        <v>281</v>
      </c>
      <c r="D13" s="176" t="s">
        <v>17</v>
      </c>
      <c r="E13" s="177">
        <v>6</v>
      </c>
      <c r="F13" s="101">
        <f>TRUNC(F14,2)</f>
        <v>122.69</v>
      </c>
      <c r="G13" s="101">
        <f>TRUNC(F13*1.2882,2)</f>
        <v>158.04</v>
      </c>
      <c r="H13" s="101">
        <f>TRUNC(F13*E13,2)</f>
        <v>736.14</v>
      </c>
      <c r="I13" s="102">
        <f>TRUNC(E13*G13,2)</f>
        <v>948.24</v>
      </c>
    </row>
    <row r="14" spans="1:9" ht="30">
      <c r="A14" s="35"/>
      <c r="B14" s="36" t="s">
        <v>246</v>
      </c>
      <c r="C14" s="196" t="s">
        <v>247</v>
      </c>
      <c r="D14" s="37" t="s">
        <v>17</v>
      </c>
      <c r="E14" s="38">
        <v>1</v>
      </c>
      <c r="F14" s="6">
        <f>G17</f>
        <v>122.69</v>
      </c>
      <c r="G14" s="6">
        <f>TRUNC(E14*F14,2)</f>
        <v>122.69</v>
      </c>
      <c r="H14" s="6"/>
      <c r="I14" s="193"/>
    </row>
    <row r="15" spans="1:9" ht="30">
      <c r="A15" s="35"/>
      <c r="B15" s="36" t="s">
        <v>42</v>
      </c>
      <c r="C15" s="196" t="s">
        <v>43</v>
      </c>
      <c r="D15" s="37" t="s">
        <v>17</v>
      </c>
      <c r="E15" s="38">
        <v>1</v>
      </c>
      <c r="F15" s="6">
        <f>TRUNC(90,2)</f>
        <v>90</v>
      </c>
      <c r="G15" s="6">
        <f>TRUNC(E15*F15,2)</f>
        <v>90</v>
      </c>
      <c r="H15" s="6"/>
      <c r="I15" s="193"/>
    </row>
    <row r="16" spans="1:9" ht="30">
      <c r="A16" s="35"/>
      <c r="B16" s="36" t="s">
        <v>45</v>
      </c>
      <c r="C16" s="196" t="s">
        <v>46</v>
      </c>
      <c r="D16" s="37" t="s">
        <v>47</v>
      </c>
      <c r="E16" s="38">
        <v>2.06</v>
      </c>
      <c r="F16" s="6">
        <f>TRUNC(15.87,2)</f>
        <v>15.87</v>
      </c>
      <c r="G16" s="6">
        <f>TRUNC(E16*F16,2)</f>
        <v>32.69</v>
      </c>
      <c r="H16" s="6"/>
      <c r="I16" s="193"/>
    </row>
    <row r="17" spans="1:9" ht="15">
      <c r="A17" s="35"/>
      <c r="B17" s="36"/>
      <c r="C17" s="196"/>
      <c r="D17" s="37"/>
      <c r="E17" s="38" t="s">
        <v>33</v>
      </c>
      <c r="F17" s="6"/>
      <c r="G17" s="6">
        <f>TRUNC(SUM(G15:G16),2)</f>
        <v>122.69</v>
      </c>
      <c r="H17" s="6"/>
      <c r="I17" s="193"/>
    </row>
    <row r="18" spans="1:9" s="195" customFormat="1" ht="15">
      <c r="A18" s="174" t="s">
        <v>53</v>
      </c>
      <c r="B18" s="175" t="s">
        <v>361</v>
      </c>
      <c r="C18" s="194" t="s">
        <v>362</v>
      </c>
      <c r="D18" s="176" t="s">
        <v>7</v>
      </c>
      <c r="E18" s="177">
        <v>31</v>
      </c>
      <c r="F18" s="101">
        <f>TRUNC(F19,2)</f>
        <v>23.12</v>
      </c>
      <c r="G18" s="101">
        <f>TRUNC(F18*1.2882,2)</f>
        <v>29.78</v>
      </c>
      <c r="H18" s="101">
        <f>TRUNC(F18*E18,2)</f>
        <v>716.72</v>
      </c>
      <c r="I18" s="102">
        <f>TRUNC(E18*G18,2)</f>
        <v>923.18</v>
      </c>
    </row>
    <row r="19" spans="1:9" ht="15">
      <c r="A19" s="35"/>
      <c r="B19" s="36" t="s">
        <v>361</v>
      </c>
      <c r="C19" s="196" t="s">
        <v>362</v>
      </c>
      <c r="D19" s="37" t="s">
        <v>7</v>
      </c>
      <c r="E19" s="38">
        <v>1</v>
      </c>
      <c r="F19" s="6">
        <f>G22</f>
        <v>23.12</v>
      </c>
      <c r="G19" s="6">
        <f>TRUNC(E19*F19,2)</f>
        <v>23.12</v>
      </c>
      <c r="H19" s="6"/>
      <c r="I19" s="193"/>
    </row>
    <row r="20" spans="1:9" ht="30">
      <c r="A20" s="35"/>
      <c r="B20" s="36" t="s">
        <v>45</v>
      </c>
      <c r="C20" s="196" t="s">
        <v>46</v>
      </c>
      <c r="D20" s="37" t="s">
        <v>47</v>
      </c>
      <c r="E20" s="38">
        <v>1.03</v>
      </c>
      <c r="F20" s="6">
        <f>TRUNC(15.87,2)</f>
        <v>15.87</v>
      </c>
      <c r="G20" s="6">
        <f>TRUNC(E20*F20,2)</f>
        <v>16.34</v>
      </c>
      <c r="H20" s="6"/>
      <c r="I20" s="193"/>
    </row>
    <row r="21" spans="1:9" ht="15">
      <c r="A21" s="35"/>
      <c r="B21" s="36" t="s">
        <v>363</v>
      </c>
      <c r="C21" s="196" t="s">
        <v>364</v>
      </c>
      <c r="D21" s="37" t="s">
        <v>47</v>
      </c>
      <c r="E21" s="38">
        <v>0.309</v>
      </c>
      <c r="F21" s="6">
        <f>TRUNC(21.96,2)</f>
        <v>21.96</v>
      </c>
      <c r="G21" s="6">
        <f>TRUNC(E21*F21,2)</f>
        <v>6.78</v>
      </c>
      <c r="H21" s="6"/>
      <c r="I21" s="193"/>
    </row>
    <row r="22" spans="1:9" ht="15">
      <c r="A22" s="35"/>
      <c r="B22" s="36"/>
      <c r="C22" s="196"/>
      <c r="D22" s="37"/>
      <c r="E22" s="38" t="s">
        <v>33</v>
      </c>
      <c r="F22" s="6"/>
      <c r="G22" s="6">
        <f>TRUNC(SUM(G20:G21),2)</f>
        <v>23.12</v>
      </c>
      <c r="H22" s="6"/>
      <c r="I22" s="193"/>
    </row>
    <row r="23" spans="1:9" s="195" customFormat="1" ht="30">
      <c r="A23" s="174" t="s">
        <v>54</v>
      </c>
      <c r="B23" s="175" t="s">
        <v>365</v>
      </c>
      <c r="C23" s="194" t="s">
        <v>366</v>
      </c>
      <c r="D23" s="176" t="s">
        <v>17</v>
      </c>
      <c r="E23" s="177">
        <v>24.89</v>
      </c>
      <c r="F23" s="101">
        <f>TRUNC(F24,2)</f>
        <v>15.96</v>
      </c>
      <c r="G23" s="101">
        <f>TRUNC(F23*1.2882,2)</f>
        <v>20.55</v>
      </c>
      <c r="H23" s="101">
        <f>TRUNC(F23*E23,2)</f>
        <v>397.24</v>
      </c>
      <c r="I23" s="102">
        <f>TRUNC(E23*G23,2)</f>
        <v>511.48</v>
      </c>
    </row>
    <row r="24" spans="1:9" ht="30">
      <c r="A24" s="35"/>
      <c r="B24" s="36" t="s">
        <v>365</v>
      </c>
      <c r="C24" s="196" t="s">
        <v>366</v>
      </c>
      <c r="D24" s="37" t="s">
        <v>17</v>
      </c>
      <c r="E24" s="38">
        <v>1</v>
      </c>
      <c r="F24" s="6">
        <f>G27</f>
        <v>15.96</v>
      </c>
      <c r="G24" s="6">
        <f>TRUNC(E24*F24,2)</f>
        <v>15.96</v>
      </c>
      <c r="H24" s="6"/>
      <c r="I24" s="7"/>
    </row>
    <row r="25" spans="1:9" ht="30">
      <c r="A25" s="35"/>
      <c r="B25" s="36" t="s">
        <v>45</v>
      </c>
      <c r="C25" s="196" t="s">
        <v>46</v>
      </c>
      <c r="D25" s="37" t="s">
        <v>47</v>
      </c>
      <c r="E25" s="38">
        <v>0.721</v>
      </c>
      <c r="F25" s="6">
        <f>TRUNC(15.87,2)</f>
        <v>15.87</v>
      </c>
      <c r="G25" s="6">
        <f>TRUNC(E25*F25,2)</f>
        <v>11.44</v>
      </c>
      <c r="H25" s="6"/>
      <c r="I25" s="7"/>
    </row>
    <row r="26" spans="1:9" ht="15">
      <c r="A26" s="35"/>
      <c r="B26" s="36" t="s">
        <v>363</v>
      </c>
      <c r="C26" s="196" t="s">
        <v>364</v>
      </c>
      <c r="D26" s="37" t="s">
        <v>47</v>
      </c>
      <c r="E26" s="38">
        <v>0.20600000000000002</v>
      </c>
      <c r="F26" s="6">
        <f>TRUNC(21.96,2)</f>
        <v>21.96</v>
      </c>
      <c r="G26" s="6">
        <f>TRUNC(E26*F26,2)</f>
        <v>4.52</v>
      </c>
      <c r="H26" s="6"/>
      <c r="I26" s="7"/>
    </row>
    <row r="27" spans="1:9" ht="15">
      <c r="A27" s="35"/>
      <c r="B27" s="36"/>
      <c r="C27" s="196"/>
      <c r="D27" s="37"/>
      <c r="E27" s="38" t="s">
        <v>33</v>
      </c>
      <c r="F27" s="6"/>
      <c r="G27" s="6">
        <f>TRUNC(SUM(G25:G26),2)</f>
        <v>15.96</v>
      </c>
      <c r="H27" s="6"/>
      <c r="I27" s="7"/>
    </row>
    <row r="28" spans="1:9" s="195" customFormat="1" ht="30">
      <c r="A28" s="174" t="s">
        <v>55</v>
      </c>
      <c r="B28" s="175" t="s">
        <v>367</v>
      </c>
      <c r="C28" s="194" t="s">
        <v>368</v>
      </c>
      <c r="D28" s="176" t="s">
        <v>17</v>
      </c>
      <c r="E28" s="177">
        <v>96.38</v>
      </c>
      <c r="F28" s="101">
        <f>TRUNC(F29,2)</f>
        <v>24.51</v>
      </c>
      <c r="G28" s="101">
        <f>TRUNC(F28*1.2882,2)</f>
        <v>31.57</v>
      </c>
      <c r="H28" s="101">
        <f>TRUNC(F28*E28,2)</f>
        <v>2362.27</v>
      </c>
      <c r="I28" s="102">
        <f>TRUNC(E28*G28,2)</f>
        <v>3042.71</v>
      </c>
    </row>
    <row r="29" spans="1:9" ht="30">
      <c r="A29" s="35"/>
      <c r="B29" s="36" t="s">
        <v>367</v>
      </c>
      <c r="C29" s="196" t="s">
        <v>368</v>
      </c>
      <c r="D29" s="37" t="s">
        <v>17</v>
      </c>
      <c r="E29" s="38">
        <v>1</v>
      </c>
      <c r="F29" s="6">
        <f>TRUNC(24.51915,2)</f>
        <v>24.51</v>
      </c>
      <c r="G29" s="6">
        <f>TRUNC(E29*F29,2)</f>
        <v>24.51</v>
      </c>
      <c r="H29" s="6"/>
      <c r="I29" s="193"/>
    </row>
    <row r="30" spans="1:9" ht="30">
      <c r="A30" s="35"/>
      <c r="B30" s="36" t="s">
        <v>45</v>
      </c>
      <c r="C30" s="196" t="s">
        <v>46</v>
      </c>
      <c r="D30" s="37" t="s">
        <v>47</v>
      </c>
      <c r="E30" s="38">
        <v>1.545</v>
      </c>
      <c r="F30" s="6">
        <f>TRUNC(15.87,2)</f>
        <v>15.87</v>
      </c>
      <c r="G30" s="6">
        <f>TRUNC(E30*F30,2)</f>
        <v>24.51</v>
      </c>
      <c r="H30" s="6"/>
      <c r="I30" s="193"/>
    </row>
    <row r="31" spans="1:9" ht="15">
      <c r="A31" s="35"/>
      <c r="B31" s="36"/>
      <c r="C31" s="196"/>
      <c r="D31" s="37"/>
      <c r="E31" s="38" t="s">
        <v>33</v>
      </c>
      <c r="F31" s="6"/>
      <c r="G31" s="6">
        <f>TRUNC(SUM(G30:G30),2)</f>
        <v>24.51</v>
      </c>
      <c r="H31" s="6"/>
      <c r="I31" s="193"/>
    </row>
    <row r="32" spans="1:9" ht="45">
      <c r="A32" s="103" t="s">
        <v>56</v>
      </c>
      <c r="B32" s="104" t="s">
        <v>369</v>
      </c>
      <c r="C32" s="197" t="s">
        <v>370</v>
      </c>
      <c r="D32" s="105" t="s">
        <v>48</v>
      </c>
      <c r="E32" s="102">
        <f>19.66*3.33*0.2</f>
        <v>13.09356</v>
      </c>
      <c r="F32" s="101">
        <f>TRUNC(F33,2)</f>
        <v>172.75</v>
      </c>
      <c r="G32" s="101">
        <f>TRUNC(F32*1.2882,2)</f>
        <v>222.53</v>
      </c>
      <c r="H32" s="101">
        <f>TRUNC(F32*E32,2)</f>
        <v>2261.91</v>
      </c>
      <c r="I32" s="102">
        <f>TRUNC(E32*G32,2)</f>
        <v>2913.7</v>
      </c>
    </row>
    <row r="33" spans="1:9" ht="45">
      <c r="A33" s="35"/>
      <c r="B33" s="36" t="s">
        <v>369</v>
      </c>
      <c r="C33" s="196" t="s">
        <v>370</v>
      </c>
      <c r="D33" s="37" t="s">
        <v>48</v>
      </c>
      <c r="E33" s="38">
        <v>1</v>
      </c>
      <c r="F33" s="6">
        <f>TRUNC(172.75275,2)</f>
        <v>172.75</v>
      </c>
      <c r="G33" s="6">
        <f>TRUNC(E33*F33,2)</f>
        <v>172.75</v>
      </c>
      <c r="H33" s="6"/>
      <c r="I33" s="7"/>
    </row>
    <row r="34" spans="1:9" ht="15">
      <c r="A34" s="35"/>
      <c r="B34" s="36" t="s">
        <v>371</v>
      </c>
      <c r="C34" s="196" t="s">
        <v>372</v>
      </c>
      <c r="D34" s="37" t="s">
        <v>17</v>
      </c>
      <c r="E34" s="38">
        <v>2.85</v>
      </c>
      <c r="F34" s="6">
        <f>TRUNC(33.6931,2)</f>
        <v>33.69</v>
      </c>
      <c r="G34" s="6">
        <f>TRUNC(E34*F34,2)</f>
        <v>96.01</v>
      </c>
      <c r="H34" s="6"/>
      <c r="I34" s="7"/>
    </row>
    <row r="35" spans="1:9" ht="15">
      <c r="A35" s="35"/>
      <c r="B35" s="36" t="s">
        <v>373</v>
      </c>
      <c r="C35" s="196" t="s">
        <v>374</v>
      </c>
      <c r="D35" s="37" t="s">
        <v>17</v>
      </c>
      <c r="E35" s="38">
        <v>2.85</v>
      </c>
      <c r="F35" s="6">
        <f>TRUNC(26.9219,2)</f>
        <v>26.92</v>
      </c>
      <c r="G35" s="6">
        <f>TRUNC(E35*F35,2)</f>
        <v>76.72</v>
      </c>
      <c r="H35" s="6"/>
      <c r="I35" s="7"/>
    </row>
    <row r="36" spans="1:9" ht="15">
      <c r="A36" s="35"/>
      <c r="B36" s="36"/>
      <c r="C36" s="196"/>
      <c r="D36" s="37"/>
      <c r="E36" s="38" t="s">
        <v>33</v>
      </c>
      <c r="F36" s="6"/>
      <c r="G36" s="6">
        <f>TRUNC(SUM(G34:G35),2)</f>
        <v>172.73</v>
      </c>
      <c r="H36" s="6"/>
      <c r="I36" s="7"/>
    </row>
    <row r="37" spans="1:10" s="195" customFormat="1" ht="30">
      <c r="A37" s="174" t="s">
        <v>57</v>
      </c>
      <c r="B37" s="175" t="s">
        <v>375</v>
      </c>
      <c r="C37" s="194" t="s">
        <v>376</v>
      </c>
      <c r="D37" s="176" t="s">
        <v>48</v>
      </c>
      <c r="E37" s="177">
        <v>39.54</v>
      </c>
      <c r="F37" s="101">
        <f>TRUNC(F38,2)</f>
        <v>336.94</v>
      </c>
      <c r="G37" s="101">
        <f>TRUNC(F37*1.2882,2)</f>
        <v>434.04</v>
      </c>
      <c r="H37" s="101">
        <f>TRUNC(F37*E37,2)</f>
        <v>13322.6</v>
      </c>
      <c r="I37" s="102">
        <f>TRUNC(E37*G37,2)</f>
        <v>17161.94</v>
      </c>
      <c r="J37" s="195">
        <f>0.15*0.3*2.9*20</f>
        <v>2.6100000000000003</v>
      </c>
    </row>
    <row r="38" spans="1:9" ht="30">
      <c r="A38" s="35"/>
      <c r="B38" s="36" t="s">
        <v>375</v>
      </c>
      <c r="C38" s="196" t="s">
        <v>376</v>
      </c>
      <c r="D38" s="37" t="s">
        <v>48</v>
      </c>
      <c r="E38" s="38">
        <v>1</v>
      </c>
      <c r="F38" s="6">
        <f>TRUNC(336.94102,2)</f>
        <v>336.94</v>
      </c>
      <c r="G38" s="6">
        <f aca="true" t="shared" si="0" ref="G38:G43">TRUNC(E38*F38,2)</f>
        <v>336.94</v>
      </c>
      <c r="H38" s="6"/>
      <c r="I38" s="193"/>
    </row>
    <row r="39" spans="1:9" ht="15">
      <c r="A39" s="35"/>
      <c r="B39" s="36" t="s">
        <v>377</v>
      </c>
      <c r="C39" s="196" t="s">
        <v>378</v>
      </c>
      <c r="D39" s="37" t="s">
        <v>44</v>
      </c>
      <c r="E39" s="38">
        <v>0.2835</v>
      </c>
      <c r="F39" s="6">
        <f>TRUNC(88.26,2)</f>
        <v>88.26</v>
      </c>
      <c r="G39" s="6">
        <f t="shared" si="0"/>
        <v>25.02</v>
      </c>
      <c r="H39" s="6"/>
      <c r="I39" s="193"/>
    </row>
    <row r="40" spans="1:9" ht="15">
      <c r="A40" s="35"/>
      <c r="B40" s="36" t="s">
        <v>49</v>
      </c>
      <c r="C40" s="196" t="s">
        <v>50</v>
      </c>
      <c r="D40" s="37" t="s">
        <v>47</v>
      </c>
      <c r="E40" s="38">
        <v>6.5785</v>
      </c>
      <c r="F40" s="6">
        <f>TRUNC(23.64,2)</f>
        <v>23.64</v>
      </c>
      <c r="G40" s="6">
        <f t="shared" si="0"/>
        <v>155.51</v>
      </c>
      <c r="H40" s="6"/>
      <c r="I40" s="193"/>
    </row>
    <row r="41" spans="1:9" ht="15">
      <c r="A41" s="35"/>
      <c r="B41" s="36" t="s">
        <v>51</v>
      </c>
      <c r="C41" s="196" t="s">
        <v>52</v>
      </c>
      <c r="D41" s="37" t="s">
        <v>47</v>
      </c>
      <c r="E41" s="38">
        <v>0.6366</v>
      </c>
      <c r="F41" s="6">
        <f>TRUNC(29.95,2)</f>
        <v>29.95</v>
      </c>
      <c r="G41" s="6">
        <f t="shared" si="0"/>
        <v>19.06</v>
      </c>
      <c r="H41" s="6"/>
      <c r="I41" s="193"/>
    </row>
    <row r="42" spans="1:9" ht="30">
      <c r="A42" s="35"/>
      <c r="B42" s="36" t="s">
        <v>379</v>
      </c>
      <c r="C42" s="196" t="s">
        <v>380</v>
      </c>
      <c r="D42" s="37" t="s">
        <v>62</v>
      </c>
      <c r="E42" s="38">
        <v>0.9202</v>
      </c>
      <c r="F42" s="6">
        <f>TRUNC(31.4,2)</f>
        <v>31.4</v>
      </c>
      <c r="G42" s="6">
        <f t="shared" si="0"/>
        <v>28.89</v>
      </c>
      <c r="H42" s="6"/>
      <c r="I42" s="193"/>
    </row>
    <row r="43" spans="1:9" ht="30">
      <c r="A43" s="35"/>
      <c r="B43" s="36" t="s">
        <v>381</v>
      </c>
      <c r="C43" s="196" t="s">
        <v>382</v>
      </c>
      <c r="D43" s="37" t="s">
        <v>63</v>
      </c>
      <c r="E43" s="38">
        <v>3.2468</v>
      </c>
      <c r="F43" s="6">
        <f>TRUNC(33.4,2)</f>
        <v>33.4</v>
      </c>
      <c r="G43" s="6">
        <f t="shared" si="0"/>
        <v>108.44</v>
      </c>
      <c r="H43" s="6"/>
      <c r="I43" s="193"/>
    </row>
    <row r="44" spans="1:9" ht="15">
      <c r="A44" s="35"/>
      <c r="B44" s="36"/>
      <c r="C44" s="196"/>
      <c r="D44" s="37"/>
      <c r="E44" s="38" t="s">
        <v>33</v>
      </c>
      <c r="F44" s="6"/>
      <c r="G44" s="6">
        <f>TRUNC(SUM(G39:G43),2)</f>
        <v>336.92</v>
      </c>
      <c r="H44" s="6"/>
      <c r="I44" s="193"/>
    </row>
    <row r="45" spans="1:9" s="195" customFormat="1" ht="30">
      <c r="A45" s="174" t="s">
        <v>60</v>
      </c>
      <c r="B45" s="175" t="s">
        <v>383</v>
      </c>
      <c r="C45" s="194" t="s">
        <v>384</v>
      </c>
      <c r="D45" s="176" t="s">
        <v>48</v>
      </c>
      <c r="E45" s="177">
        <v>38.52</v>
      </c>
      <c r="F45" s="101">
        <f>TRUNC(F46,2)</f>
        <v>83.73</v>
      </c>
      <c r="G45" s="101">
        <f>TRUNC(F45*1.2882,2)</f>
        <v>107.86</v>
      </c>
      <c r="H45" s="101">
        <f>TRUNC(F45*E45,2)</f>
        <v>3225.27</v>
      </c>
      <c r="I45" s="102">
        <f>TRUNC(E45*G45,2)</f>
        <v>4154.76</v>
      </c>
    </row>
    <row r="46" spans="1:9" ht="30">
      <c r="A46" s="35"/>
      <c r="B46" s="36" t="s">
        <v>383</v>
      </c>
      <c r="C46" s="196" t="s">
        <v>384</v>
      </c>
      <c r="D46" s="37" t="s">
        <v>48</v>
      </c>
      <c r="E46" s="38">
        <v>1</v>
      </c>
      <c r="F46" s="6">
        <f>TRUNC(83.73591,2)</f>
        <v>83.73</v>
      </c>
      <c r="G46" s="6">
        <f>TRUNC(E46*F46,2)</f>
        <v>83.73</v>
      </c>
      <c r="H46" s="6"/>
      <c r="I46" s="193"/>
    </row>
    <row r="47" spans="1:9" ht="30">
      <c r="A47" s="35"/>
      <c r="B47" s="36" t="s">
        <v>45</v>
      </c>
      <c r="C47" s="196" t="s">
        <v>46</v>
      </c>
      <c r="D47" s="37" t="s">
        <v>47</v>
      </c>
      <c r="E47" s="38">
        <v>4.635</v>
      </c>
      <c r="F47" s="6">
        <f>TRUNC(15.87,2)</f>
        <v>15.87</v>
      </c>
      <c r="G47" s="6">
        <f>TRUNC(E47*F47,2)</f>
        <v>73.55</v>
      </c>
      <c r="H47" s="6"/>
      <c r="I47" s="193"/>
    </row>
    <row r="48" spans="1:9" ht="15">
      <c r="A48" s="35"/>
      <c r="B48" s="36" t="s">
        <v>363</v>
      </c>
      <c r="C48" s="196" t="s">
        <v>364</v>
      </c>
      <c r="D48" s="37" t="s">
        <v>47</v>
      </c>
      <c r="E48" s="38">
        <v>0.4635</v>
      </c>
      <c r="F48" s="6">
        <f>TRUNC(21.96,2)</f>
        <v>21.96</v>
      </c>
      <c r="G48" s="6">
        <f>TRUNC(E48*F48,2)</f>
        <v>10.17</v>
      </c>
      <c r="H48" s="6"/>
      <c r="I48" s="193"/>
    </row>
    <row r="49" spans="1:9" ht="15">
      <c r="A49" s="35"/>
      <c r="B49" s="36"/>
      <c r="C49" s="196"/>
      <c r="D49" s="37"/>
      <c r="E49" s="38" t="s">
        <v>33</v>
      </c>
      <c r="F49" s="6"/>
      <c r="G49" s="6">
        <f>TRUNC(SUM(G47:G48),2)</f>
        <v>83.72</v>
      </c>
      <c r="H49" s="6"/>
      <c r="I49" s="193"/>
    </row>
    <row r="50" spans="1:9" s="195" customFormat="1" ht="45">
      <c r="A50" s="174" t="s">
        <v>61</v>
      </c>
      <c r="B50" s="175" t="s">
        <v>1091</v>
      </c>
      <c r="C50" s="194" t="s">
        <v>1090</v>
      </c>
      <c r="D50" s="176" t="s">
        <v>17</v>
      </c>
      <c r="E50" s="177">
        <v>84.89</v>
      </c>
      <c r="F50" s="101">
        <f>TRUNC(F51+F54,2)</f>
        <v>27.78</v>
      </c>
      <c r="G50" s="101">
        <f>TRUNC(F50*1.2882,2)</f>
        <v>35.78</v>
      </c>
      <c r="H50" s="101">
        <f>TRUNC(F50*E50,2)</f>
        <v>2358.24</v>
      </c>
      <c r="I50" s="102">
        <f>TRUNC(E50*G50,2)</f>
        <v>3037.36</v>
      </c>
    </row>
    <row r="51" spans="1:9" ht="30">
      <c r="A51" s="35" t="s">
        <v>1092</v>
      </c>
      <c r="B51" s="36" t="s">
        <v>1086</v>
      </c>
      <c r="C51" s="196" t="s">
        <v>1087</v>
      </c>
      <c r="D51" s="37" t="s">
        <v>17</v>
      </c>
      <c r="E51" s="38">
        <v>1</v>
      </c>
      <c r="F51" s="293">
        <f>TRUNC(19.61532,2)</f>
        <v>19.61</v>
      </c>
      <c r="G51" s="6">
        <f>TRUNC(E51*F51,2)</f>
        <v>19.61</v>
      </c>
      <c r="H51" s="6"/>
      <c r="I51" s="193"/>
    </row>
    <row r="52" spans="1:9" ht="30">
      <c r="A52" s="35"/>
      <c r="B52" s="36" t="s">
        <v>45</v>
      </c>
      <c r="C52" s="196" t="s">
        <v>46</v>
      </c>
      <c r="D52" s="37" t="s">
        <v>47</v>
      </c>
      <c r="E52" s="38">
        <v>1.236</v>
      </c>
      <c r="F52" s="6">
        <f>TRUNC(15.87,2)</f>
        <v>15.87</v>
      </c>
      <c r="G52" s="6">
        <f>TRUNC(E52*F52,2)</f>
        <v>19.61</v>
      </c>
      <c r="H52" s="6"/>
      <c r="I52" s="193"/>
    </row>
    <row r="53" spans="1:9" ht="15">
      <c r="A53" s="35"/>
      <c r="B53" s="36"/>
      <c r="C53" s="196"/>
      <c r="D53" s="37"/>
      <c r="E53" s="38" t="s">
        <v>33</v>
      </c>
      <c r="F53" s="6"/>
      <c r="G53" s="6">
        <f>TRUNC(SUM(G52:G52),2)</f>
        <v>19.61</v>
      </c>
      <c r="H53" s="6"/>
      <c r="I53" s="193"/>
    </row>
    <row r="54" spans="1:9" ht="30">
      <c r="A54" s="35" t="s">
        <v>1093</v>
      </c>
      <c r="B54" s="36" t="s">
        <v>1088</v>
      </c>
      <c r="C54" s="196" t="s">
        <v>1089</v>
      </c>
      <c r="D54" s="37" t="s">
        <v>17</v>
      </c>
      <c r="E54" s="38">
        <v>1</v>
      </c>
      <c r="F54" s="293">
        <f>TRUNC(8.17305,2)</f>
        <v>8.17</v>
      </c>
      <c r="G54" s="6">
        <f>TRUNC(E54*F54,2)</f>
        <v>8.17</v>
      </c>
      <c r="H54" s="6"/>
      <c r="I54" s="193"/>
    </row>
    <row r="55" spans="1:9" ht="30">
      <c r="A55" s="35"/>
      <c r="B55" s="36" t="s">
        <v>45</v>
      </c>
      <c r="C55" s="196" t="s">
        <v>46</v>
      </c>
      <c r="D55" s="37" t="s">
        <v>47</v>
      </c>
      <c r="E55" s="38">
        <v>0.515</v>
      </c>
      <c r="F55" s="6">
        <f>TRUNC(15.87,2)</f>
        <v>15.87</v>
      </c>
      <c r="G55" s="6">
        <f>TRUNC(E55*F55,2)</f>
        <v>8.17</v>
      </c>
      <c r="H55" s="6"/>
      <c r="I55" s="193"/>
    </row>
    <row r="56" spans="1:9" ht="15">
      <c r="A56" s="35"/>
      <c r="B56" s="36"/>
      <c r="C56" s="196"/>
      <c r="D56" s="37"/>
      <c r="E56" s="38" t="s">
        <v>33</v>
      </c>
      <c r="F56" s="6"/>
      <c r="G56" s="6">
        <f>TRUNC(SUM(G55:G55),2)</f>
        <v>8.17</v>
      </c>
      <c r="H56" s="6"/>
      <c r="I56" s="193"/>
    </row>
    <row r="57" spans="1:9" ht="30">
      <c r="A57" s="106" t="s">
        <v>64</v>
      </c>
      <c r="B57" s="107" t="s">
        <v>1094</v>
      </c>
      <c r="C57" s="308" t="s">
        <v>1095</v>
      </c>
      <c r="D57" s="309" t="s">
        <v>17</v>
      </c>
      <c r="E57" s="310">
        <v>24.89</v>
      </c>
      <c r="F57" s="108">
        <f>TRUNC(F58,2)</f>
        <v>14.18</v>
      </c>
      <c r="G57" s="108">
        <f>TRUNC(F57*1.2882,2)</f>
        <v>18.26</v>
      </c>
      <c r="H57" s="108">
        <f>TRUNC(F57*E57,2)</f>
        <v>352.94</v>
      </c>
      <c r="I57" s="109">
        <f>TRUNC(E57*G57,2)</f>
        <v>454.49</v>
      </c>
    </row>
    <row r="58" spans="1:9" ht="30">
      <c r="A58" s="39"/>
      <c r="B58" s="40" t="s">
        <v>1094</v>
      </c>
      <c r="C58" s="198" t="s">
        <v>1095</v>
      </c>
      <c r="D58" s="41" t="s">
        <v>17</v>
      </c>
      <c r="E58" s="42">
        <v>1</v>
      </c>
      <c r="F58" s="43">
        <f>G63</f>
        <v>14.18</v>
      </c>
      <c r="G58" s="43">
        <f>TRUNC(E58*F58,2)</f>
        <v>14.18</v>
      </c>
      <c r="H58" s="43"/>
      <c r="I58" s="44"/>
    </row>
    <row r="59" spans="1:9" ht="15">
      <c r="A59" s="299"/>
      <c r="B59" s="294" t="s">
        <v>49</v>
      </c>
      <c r="C59" s="295" t="s">
        <v>50</v>
      </c>
      <c r="D59" s="296" t="s">
        <v>47</v>
      </c>
      <c r="E59" s="297">
        <v>0.2972</v>
      </c>
      <c r="F59" s="298">
        <f>TRUNC(23.64,2)</f>
        <v>23.64</v>
      </c>
      <c r="G59" s="298">
        <f>TRUNC(E59*F59,2)</f>
        <v>7.02</v>
      </c>
      <c r="H59" s="298"/>
      <c r="I59" s="300"/>
    </row>
    <row r="60" spans="1:9" ht="15">
      <c r="A60" s="299"/>
      <c r="B60" s="294" t="s">
        <v>1096</v>
      </c>
      <c r="C60" s="295" t="s">
        <v>1097</v>
      </c>
      <c r="D60" s="296" t="s">
        <v>47</v>
      </c>
      <c r="E60" s="297">
        <v>0.1055</v>
      </c>
      <c r="F60" s="298">
        <f>TRUNC(31.54,2)</f>
        <v>31.54</v>
      </c>
      <c r="G60" s="298">
        <f>TRUNC(E60*F60,2)</f>
        <v>3.32</v>
      </c>
      <c r="H60" s="298"/>
      <c r="I60" s="300"/>
    </row>
    <row r="61" spans="1:9" ht="30">
      <c r="A61" s="299"/>
      <c r="B61" s="294" t="s">
        <v>379</v>
      </c>
      <c r="C61" s="295" t="s">
        <v>380</v>
      </c>
      <c r="D61" s="296" t="s">
        <v>62</v>
      </c>
      <c r="E61" s="297">
        <v>0.0482</v>
      </c>
      <c r="F61" s="298">
        <f>TRUNC(31.4,2)</f>
        <v>31.4</v>
      </c>
      <c r="G61" s="298">
        <f>TRUNC(E61*F61,2)</f>
        <v>1.51</v>
      </c>
      <c r="H61" s="298"/>
      <c r="I61" s="300"/>
    </row>
    <row r="62" spans="1:9" ht="30">
      <c r="A62" s="299"/>
      <c r="B62" s="294" t="s">
        <v>381</v>
      </c>
      <c r="C62" s="295" t="s">
        <v>382</v>
      </c>
      <c r="D62" s="296" t="s">
        <v>63</v>
      </c>
      <c r="E62" s="297">
        <v>0.0699</v>
      </c>
      <c r="F62" s="298">
        <f>TRUNC(33.4,2)</f>
        <v>33.4</v>
      </c>
      <c r="G62" s="298">
        <f>TRUNC(E62*F62,2)</f>
        <v>2.33</v>
      </c>
      <c r="H62" s="298"/>
      <c r="I62" s="300"/>
    </row>
    <row r="63" spans="1:9" ht="15">
      <c r="A63" s="301"/>
      <c r="B63" s="302"/>
      <c r="C63" s="303"/>
      <c r="D63" s="304"/>
      <c r="E63" s="305" t="s">
        <v>33</v>
      </c>
      <c r="F63" s="306"/>
      <c r="G63" s="306">
        <f>TRUNC(SUM(G59:G62),2)</f>
        <v>14.18</v>
      </c>
      <c r="H63" s="306"/>
      <c r="I63" s="307"/>
    </row>
    <row r="64" spans="1:9" ht="45">
      <c r="A64" s="319" t="s">
        <v>65</v>
      </c>
      <c r="B64" s="320" t="s">
        <v>1184</v>
      </c>
      <c r="C64" s="321" t="s">
        <v>1185</v>
      </c>
      <c r="D64" s="322" t="s">
        <v>17</v>
      </c>
      <c r="E64" s="323">
        <f>24.5*2</f>
        <v>49</v>
      </c>
      <c r="F64" s="324">
        <f>TRUNC(F65,2)</f>
        <v>35.62</v>
      </c>
      <c r="G64" s="324">
        <f>TRUNC(F64*1.2882,2)</f>
        <v>45.88</v>
      </c>
      <c r="H64" s="324">
        <f>TRUNC(F64*E64,2)</f>
        <v>1745.38</v>
      </c>
      <c r="I64" s="325">
        <f>TRUNC(E64*G64,2)</f>
        <v>2248.12</v>
      </c>
    </row>
    <row r="65" spans="1:9" ht="45">
      <c r="A65" s="39"/>
      <c r="B65" s="40" t="s">
        <v>1184</v>
      </c>
      <c r="C65" s="198" t="s">
        <v>1185</v>
      </c>
      <c r="D65" s="41" t="s">
        <v>17</v>
      </c>
      <c r="E65" s="42">
        <v>1</v>
      </c>
      <c r="F65" s="43">
        <f>G71</f>
        <v>35.62</v>
      </c>
      <c r="G65" s="43">
        <f aca="true" t="shared" si="1" ref="G65:G70">TRUNC(E65*F65,2)</f>
        <v>35.62</v>
      </c>
      <c r="H65" s="43"/>
      <c r="I65" s="44"/>
    </row>
    <row r="66" spans="1:9" ht="15">
      <c r="A66" s="299"/>
      <c r="B66" s="294" t="s">
        <v>1186</v>
      </c>
      <c r="C66" s="295" t="s">
        <v>1187</v>
      </c>
      <c r="D66" s="296" t="s">
        <v>17</v>
      </c>
      <c r="E66" s="297">
        <v>0.525</v>
      </c>
      <c r="F66" s="298">
        <f>TRUNC(39.76,2)</f>
        <v>39.76</v>
      </c>
      <c r="G66" s="298">
        <f t="shared" si="1"/>
        <v>20.87</v>
      </c>
      <c r="H66" s="298"/>
      <c r="I66" s="300"/>
    </row>
    <row r="67" spans="1:9" ht="30">
      <c r="A67" s="299"/>
      <c r="B67" s="294" t="s">
        <v>410</v>
      </c>
      <c r="C67" s="295" t="s">
        <v>411</v>
      </c>
      <c r="D67" s="296" t="s">
        <v>44</v>
      </c>
      <c r="E67" s="297">
        <v>0.05</v>
      </c>
      <c r="F67" s="298">
        <f>TRUNC(18.29,2)</f>
        <v>18.29</v>
      </c>
      <c r="G67" s="298">
        <f t="shared" si="1"/>
        <v>0.91</v>
      </c>
      <c r="H67" s="298"/>
      <c r="I67" s="300"/>
    </row>
    <row r="68" spans="1:9" ht="15">
      <c r="A68" s="299"/>
      <c r="B68" s="294" t="s">
        <v>828</v>
      </c>
      <c r="C68" s="295" t="s">
        <v>829</v>
      </c>
      <c r="D68" s="296" t="s">
        <v>23</v>
      </c>
      <c r="E68" s="297">
        <v>0.8</v>
      </c>
      <c r="F68" s="298">
        <f>TRUNC(7.16,2)</f>
        <v>7.16</v>
      </c>
      <c r="G68" s="298">
        <f t="shared" si="1"/>
        <v>5.72</v>
      </c>
      <c r="H68" s="298"/>
      <c r="I68" s="300"/>
    </row>
    <row r="69" spans="1:9" ht="30">
      <c r="A69" s="299"/>
      <c r="B69" s="294" t="s">
        <v>45</v>
      </c>
      <c r="C69" s="295" t="s">
        <v>46</v>
      </c>
      <c r="D69" s="296" t="s">
        <v>47</v>
      </c>
      <c r="E69" s="297">
        <v>0.20600000000000002</v>
      </c>
      <c r="F69" s="298">
        <f>TRUNC(15.87,2)</f>
        <v>15.87</v>
      </c>
      <c r="G69" s="298">
        <f t="shared" si="1"/>
        <v>3.26</v>
      </c>
      <c r="H69" s="298"/>
      <c r="I69" s="300"/>
    </row>
    <row r="70" spans="1:9" ht="30">
      <c r="A70" s="299"/>
      <c r="B70" s="294" t="s">
        <v>412</v>
      </c>
      <c r="C70" s="295" t="s">
        <v>413</v>
      </c>
      <c r="D70" s="296" t="s">
        <v>47</v>
      </c>
      <c r="E70" s="297">
        <v>0.20600000000000002</v>
      </c>
      <c r="F70" s="298">
        <f>TRUNC(23.62,2)</f>
        <v>23.62</v>
      </c>
      <c r="G70" s="298">
        <f t="shared" si="1"/>
        <v>4.86</v>
      </c>
      <c r="H70" s="298"/>
      <c r="I70" s="300"/>
    </row>
    <row r="71" spans="1:9" ht="15">
      <c r="A71" s="301"/>
      <c r="B71" s="302"/>
      <c r="C71" s="303"/>
      <c r="D71" s="304"/>
      <c r="E71" s="305" t="s">
        <v>33</v>
      </c>
      <c r="F71" s="306"/>
      <c r="G71" s="306">
        <f>TRUNC(SUM(G66:G70),2)</f>
        <v>35.62</v>
      </c>
      <c r="H71" s="306"/>
      <c r="I71" s="307"/>
    </row>
    <row r="72" spans="1:9" ht="45">
      <c r="A72" s="114" t="s">
        <v>66</v>
      </c>
      <c r="B72" s="115" t="s">
        <v>1188</v>
      </c>
      <c r="C72" s="401" t="s">
        <v>1189</v>
      </c>
      <c r="D72" s="116" t="s">
        <v>7</v>
      </c>
      <c r="E72" s="117">
        <v>1</v>
      </c>
      <c r="F72" s="118">
        <f>TRUNC(F73,2)</f>
        <v>5235.42</v>
      </c>
      <c r="G72" s="118">
        <f>TRUNC(F72*1.2882,2)</f>
        <v>6744.26</v>
      </c>
      <c r="H72" s="118">
        <f>TRUNC(F72*E72,2)</f>
        <v>5235.42</v>
      </c>
      <c r="I72" s="117">
        <f>TRUNC(E72*G72,2)</f>
        <v>6744.26</v>
      </c>
    </row>
    <row r="73" spans="1:9" ht="45">
      <c r="A73" s="8"/>
      <c r="B73" s="9" t="s">
        <v>1188</v>
      </c>
      <c r="C73" s="199" t="s">
        <v>1189</v>
      </c>
      <c r="D73" s="10" t="s">
        <v>7</v>
      </c>
      <c r="E73" s="7">
        <v>1</v>
      </c>
      <c r="F73" s="7">
        <f>TRUNC(5235.42279983,2)</f>
        <v>5235.42</v>
      </c>
      <c r="G73" s="7">
        <f aca="true" t="shared" si="2" ref="G73:G81">TRUNC(E73*F73,2)</f>
        <v>5235.42</v>
      </c>
      <c r="H73" s="7"/>
      <c r="I73" s="11"/>
    </row>
    <row r="74" spans="1:9" ht="30">
      <c r="A74" s="8"/>
      <c r="B74" s="9" t="s">
        <v>1190</v>
      </c>
      <c r="C74" s="199" t="s">
        <v>1191</v>
      </c>
      <c r="D74" s="10" t="s">
        <v>47</v>
      </c>
      <c r="E74" s="7">
        <v>15.4832</v>
      </c>
      <c r="F74" s="7">
        <f>TRUNC(30.34,2)</f>
        <v>30.34</v>
      </c>
      <c r="G74" s="7">
        <f t="shared" si="2"/>
        <v>469.76</v>
      </c>
      <c r="H74" s="7"/>
      <c r="I74" s="11"/>
    </row>
    <row r="75" spans="1:9" ht="30">
      <c r="A75" s="8"/>
      <c r="B75" s="9" t="s">
        <v>45</v>
      </c>
      <c r="C75" s="199" t="s">
        <v>46</v>
      </c>
      <c r="D75" s="10" t="s">
        <v>47</v>
      </c>
      <c r="E75" s="7">
        <v>51.2226</v>
      </c>
      <c r="F75" s="7">
        <f>TRUNC(15.87,2)</f>
        <v>15.87</v>
      </c>
      <c r="G75" s="7">
        <f t="shared" si="2"/>
        <v>812.9</v>
      </c>
      <c r="H75" s="7"/>
      <c r="I75" s="11"/>
    </row>
    <row r="76" spans="1:9" ht="30">
      <c r="A76" s="8"/>
      <c r="B76" s="9" t="s">
        <v>1192</v>
      </c>
      <c r="C76" s="199" t="s">
        <v>1193</v>
      </c>
      <c r="D76" s="10" t="s">
        <v>47</v>
      </c>
      <c r="E76" s="7">
        <v>4.6566</v>
      </c>
      <c r="F76" s="7">
        <f>TRUNC(192.59,2)</f>
        <v>192.59</v>
      </c>
      <c r="G76" s="7">
        <f t="shared" si="2"/>
        <v>896.81</v>
      </c>
      <c r="H76" s="7"/>
      <c r="I76" s="11"/>
    </row>
    <row r="77" spans="1:9" ht="30">
      <c r="A77" s="8"/>
      <c r="B77" s="9" t="s">
        <v>1194</v>
      </c>
      <c r="C77" s="199" t="s">
        <v>1195</v>
      </c>
      <c r="D77" s="10" t="s">
        <v>47</v>
      </c>
      <c r="E77" s="7">
        <v>15.4832</v>
      </c>
      <c r="F77" s="7">
        <f>TRUNC(30.34,2)</f>
        <v>30.34</v>
      </c>
      <c r="G77" s="7">
        <f t="shared" si="2"/>
        <v>469.76</v>
      </c>
      <c r="H77" s="7"/>
      <c r="I77" s="11"/>
    </row>
    <row r="78" spans="1:9" ht="15">
      <c r="A78" s="8"/>
      <c r="B78" s="9" t="s">
        <v>1196</v>
      </c>
      <c r="C78" s="199" t="s">
        <v>1197</v>
      </c>
      <c r="D78" s="10" t="s">
        <v>47</v>
      </c>
      <c r="E78" s="7">
        <v>31.0828</v>
      </c>
      <c r="F78" s="7">
        <f>TRUNC(16.73,2)</f>
        <v>16.73</v>
      </c>
      <c r="G78" s="7">
        <f t="shared" si="2"/>
        <v>520.01</v>
      </c>
      <c r="H78" s="7"/>
      <c r="I78" s="11"/>
    </row>
    <row r="79" spans="1:9" ht="30">
      <c r="A79" s="8"/>
      <c r="B79" s="9" t="s">
        <v>1198</v>
      </c>
      <c r="C79" s="199" t="s">
        <v>1199</v>
      </c>
      <c r="D79" s="10" t="s">
        <v>47</v>
      </c>
      <c r="E79" s="7">
        <v>31.0828</v>
      </c>
      <c r="F79" s="7">
        <f>TRUNC(20.1,2)</f>
        <v>20.1</v>
      </c>
      <c r="G79" s="7">
        <f t="shared" si="2"/>
        <v>624.76</v>
      </c>
      <c r="H79" s="7"/>
      <c r="I79" s="11"/>
    </row>
    <row r="80" spans="1:9" ht="30">
      <c r="A80" s="8"/>
      <c r="B80" s="9" t="s">
        <v>1200</v>
      </c>
      <c r="C80" s="199" t="s">
        <v>1201</v>
      </c>
      <c r="D80" s="10" t="s">
        <v>47</v>
      </c>
      <c r="E80" s="7">
        <v>41.3865</v>
      </c>
      <c r="F80" s="7">
        <f>TRUNC(1.2067,2)</f>
        <v>1.2</v>
      </c>
      <c r="G80" s="7">
        <f t="shared" si="2"/>
        <v>49.66</v>
      </c>
      <c r="H80" s="7"/>
      <c r="I80" s="11"/>
    </row>
    <row r="81" spans="1:9" ht="30">
      <c r="A81" s="8"/>
      <c r="B81" s="9" t="s">
        <v>1202</v>
      </c>
      <c r="C81" s="199" t="s">
        <v>1203</v>
      </c>
      <c r="D81" s="10" t="s">
        <v>47</v>
      </c>
      <c r="E81" s="7">
        <v>12.9337</v>
      </c>
      <c r="F81" s="7">
        <f>TRUNC(107.5844,2)</f>
        <v>107.58</v>
      </c>
      <c r="G81" s="7">
        <f t="shared" si="2"/>
        <v>1391.4</v>
      </c>
      <c r="H81" s="7"/>
      <c r="I81" s="11"/>
    </row>
    <row r="82" spans="1:9" ht="15">
      <c r="A82" s="8"/>
      <c r="B82" s="9"/>
      <c r="C82" s="199"/>
      <c r="D82" s="10"/>
      <c r="E82" s="7" t="s">
        <v>33</v>
      </c>
      <c r="F82" s="7"/>
      <c r="G82" s="7">
        <f>TRUNC(SUM(G74:G81),2)</f>
        <v>5235.06</v>
      </c>
      <c r="H82" s="7"/>
      <c r="I82" s="11"/>
    </row>
    <row r="83" spans="1:9" ht="45">
      <c r="A83" s="103" t="s">
        <v>67</v>
      </c>
      <c r="B83" s="104" t="s">
        <v>1204</v>
      </c>
      <c r="C83" s="197" t="s">
        <v>1205</v>
      </c>
      <c r="D83" s="105" t="s">
        <v>23</v>
      </c>
      <c r="E83" s="102">
        <v>80</v>
      </c>
      <c r="F83" s="101">
        <f>TRUNC(F84,2)</f>
        <v>112.75</v>
      </c>
      <c r="G83" s="101">
        <f>TRUNC(F83*1.2882,2)</f>
        <v>145.24</v>
      </c>
      <c r="H83" s="101">
        <f>TRUNC(F83*E83,2)</f>
        <v>9020</v>
      </c>
      <c r="I83" s="102">
        <f>TRUNC(E83*G83,2)</f>
        <v>11619.2</v>
      </c>
    </row>
    <row r="84" spans="1:9" ht="45">
      <c r="A84" s="8"/>
      <c r="B84" s="9" t="s">
        <v>1204</v>
      </c>
      <c r="C84" s="199" t="s">
        <v>1205</v>
      </c>
      <c r="D84" s="10" t="s">
        <v>23</v>
      </c>
      <c r="E84" s="7">
        <v>1</v>
      </c>
      <c r="F84" s="7">
        <f>TRUNC(112.75705917,2)</f>
        <v>112.75</v>
      </c>
      <c r="G84" s="7">
        <f>TRUNC(E84*F84,2)</f>
        <v>112.75</v>
      </c>
      <c r="H84" s="7"/>
      <c r="I84" s="11"/>
    </row>
    <row r="85" spans="1:9" ht="30">
      <c r="A85" s="8"/>
      <c r="B85" s="9" t="s">
        <v>1206</v>
      </c>
      <c r="C85" s="199" t="s">
        <v>1207</v>
      </c>
      <c r="D85" s="10" t="s">
        <v>47</v>
      </c>
      <c r="E85" s="7">
        <v>0.2709</v>
      </c>
      <c r="F85" s="7">
        <f>TRUNC(107.6174,2)</f>
        <v>107.61</v>
      </c>
      <c r="G85" s="7">
        <f>TRUNC(E85*F85,2)</f>
        <v>29.15</v>
      </c>
      <c r="H85" s="7"/>
      <c r="I85" s="11"/>
    </row>
    <row r="86" spans="1:9" ht="15">
      <c r="A86" s="8"/>
      <c r="B86" s="9" t="s">
        <v>1208</v>
      </c>
      <c r="C86" s="199" t="s">
        <v>1209</v>
      </c>
      <c r="D86" s="10" t="s">
        <v>47</v>
      </c>
      <c r="E86" s="7">
        <v>0.6321</v>
      </c>
      <c r="F86" s="7">
        <f>TRUNC(132.2631,2)</f>
        <v>132.26</v>
      </c>
      <c r="G86" s="7">
        <f>TRUNC(E86*F86,2)</f>
        <v>83.6</v>
      </c>
      <c r="H86" s="7"/>
      <c r="I86" s="11"/>
    </row>
    <row r="87" spans="1:9" ht="15">
      <c r="A87" s="8"/>
      <c r="B87" s="9"/>
      <c r="C87" s="199"/>
      <c r="D87" s="10"/>
      <c r="E87" s="7" t="s">
        <v>33</v>
      </c>
      <c r="F87" s="7"/>
      <c r="G87" s="7">
        <f>TRUNC(SUM(G85:G86),2)</f>
        <v>112.75</v>
      </c>
      <c r="H87" s="7"/>
      <c r="I87" s="11"/>
    </row>
    <row r="88" spans="1:9" ht="30">
      <c r="A88" s="400" t="s">
        <v>68</v>
      </c>
      <c r="B88" s="104" t="s">
        <v>1210</v>
      </c>
      <c r="C88" s="197" t="s">
        <v>1211</v>
      </c>
      <c r="D88" s="105" t="s">
        <v>7</v>
      </c>
      <c r="E88" s="102">
        <v>1</v>
      </c>
      <c r="F88" s="101">
        <f>TRUNC(F89,2)</f>
        <v>6863.8</v>
      </c>
      <c r="G88" s="101">
        <f>TRUNC(F88*1.2882,2)</f>
        <v>8841.94</v>
      </c>
      <c r="H88" s="101">
        <f>TRUNC(F88*E88,2)</f>
        <v>6863.8</v>
      </c>
      <c r="I88" s="102">
        <f>TRUNC(E88*G88,2)</f>
        <v>8841.94</v>
      </c>
    </row>
    <row r="89" spans="1:9" ht="30">
      <c r="A89" s="8"/>
      <c r="B89" s="9" t="s">
        <v>1210</v>
      </c>
      <c r="C89" s="199" t="s">
        <v>1211</v>
      </c>
      <c r="D89" s="10" t="s">
        <v>7</v>
      </c>
      <c r="E89" s="7">
        <v>1</v>
      </c>
      <c r="F89" s="7">
        <f>TRUNC(6863.80055,2)</f>
        <v>6863.8</v>
      </c>
      <c r="G89" s="7">
        <f aca="true" t="shared" si="3" ref="G89:G97">TRUNC(E89*F89,2)</f>
        <v>6863.8</v>
      </c>
      <c r="H89" s="7"/>
      <c r="I89" s="11"/>
    </row>
    <row r="90" spans="1:9" ht="15">
      <c r="A90" s="8"/>
      <c r="B90" s="9" t="s">
        <v>1212</v>
      </c>
      <c r="C90" s="199" t="s">
        <v>1213</v>
      </c>
      <c r="D90" s="10" t="s">
        <v>47</v>
      </c>
      <c r="E90" s="7">
        <v>23.450000000000003</v>
      </c>
      <c r="F90" s="7">
        <f>TRUNC(36.52,2)</f>
        <v>36.52</v>
      </c>
      <c r="G90" s="7">
        <f t="shared" si="3"/>
        <v>856.39</v>
      </c>
      <c r="H90" s="7"/>
      <c r="I90" s="11"/>
    </row>
    <row r="91" spans="1:9" ht="30">
      <c r="A91" s="8"/>
      <c r="B91" s="9" t="s">
        <v>1214</v>
      </c>
      <c r="C91" s="199" t="s">
        <v>1215</v>
      </c>
      <c r="D91" s="10" t="s">
        <v>47</v>
      </c>
      <c r="E91" s="7">
        <v>46.900000000000006</v>
      </c>
      <c r="F91" s="7">
        <f>TRUNC(21.96,2)</f>
        <v>21.96</v>
      </c>
      <c r="G91" s="7">
        <f t="shared" si="3"/>
        <v>1029.92</v>
      </c>
      <c r="H91" s="7"/>
      <c r="I91" s="11"/>
    </row>
    <row r="92" spans="1:9" ht="30">
      <c r="A92" s="8"/>
      <c r="B92" s="9" t="s">
        <v>1216</v>
      </c>
      <c r="C92" s="199" t="s">
        <v>1217</v>
      </c>
      <c r="D92" s="10" t="s">
        <v>47</v>
      </c>
      <c r="E92" s="7">
        <v>46.900000000000006</v>
      </c>
      <c r="F92" s="7">
        <f>TRUNC(23.62,2)</f>
        <v>23.62</v>
      </c>
      <c r="G92" s="7">
        <f t="shared" si="3"/>
        <v>1107.77</v>
      </c>
      <c r="H92" s="7"/>
      <c r="I92" s="11"/>
    </row>
    <row r="93" spans="1:9" ht="30">
      <c r="A93" s="8"/>
      <c r="B93" s="9" t="s">
        <v>45</v>
      </c>
      <c r="C93" s="199" t="s">
        <v>46</v>
      </c>
      <c r="D93" s="10" t="s">
        <v>47</v>
      </c>
      <c r="E93" s="7">
        <v>93.80000000000001</v>
      </c>
      <c r="F93" s="7">
        <f>TRUNC(15.87,2)</f>
        <v>15.87</v>
      </c>
      <c r="G93" s="7">
        <f t="shared" si="3"/>
        <v>1488.6</v>
      </c>
      <c r="H93" s="7"/>
      <c r="I93" s="11"/>
    </row>
    <row r="94" spans="1:9" ht="30">
      <c r="A94" s="8"/>
      <c r="B94" s="9" t="s">
        <v>1218</v>
      </c>
      <c r="C94" s="199" t="s">
        <v>1219</v>
      </c>
      <c r="D94" s="10" t="s">
        <v>7</v>
      </c>
      <c r="E94" s="7">
        <v>0.000704</v>
      </c>
      <c r="F94" s="7">
        <f>TRUNC(58000,2)</f>
        <v>58000</v>
      </c>
      <c r="G94" s="7">
        <f t="shared" si="3"/>
        <v>40.83</v>
      </c>
      <c r="H94" s="7"/>
      <c r="I94" s="11"/>
    </row>
    <row r="95" spans="1:9" ht="15">
      <c r="A95" s="8"/>
      <c r="B95" s="9" t="s">
        <v>1220</v>
      </c>
      <c r="C95" s="199" t="s">
        <v>1221</v>
      </c>
      <c r="D95" s="10" t="s">
        <v>7</v>
      </c>
      <c r="E95" s="7">
        <v>0.000572</v>
      </c>
      <c r="F95" s="7">
        <f>TRUNC(8900,2)</f>
        <v>8900</v>
      </c>
      <c r="G95" s="7">
        <f t="shared" si="3"/>
        <v>5.09</v>
      </c>
      <c r="H95" s="7"/>
      <c r="I95" s="11"/>
    </row>
    <row r="96" spans="1:9" ht="15">
      <c r="A96" s="8"/>
      <c r="B96" s="9" t="s">
        <v>155</v>
      </c>
      <c r="C96" s="199" t="s">
        <v>156</v>
      </c>
      <c r="D96" s="10" t="s">
        <v>47</v>
      </c>
      <c r="E96" s="7">
        <v>35</v>
      </c>
      <c r="F96" s="7">
        <f>TRUNC(59.7105,2)</f>
        <v>59.71</v>
      </c>
      <c r="G96" s="7">
        <f t="shared" si="3"/>
        <v>2089.85</v>
      </c>
      <c r="H96" s="7"/>
      <c r="I96" s="11"/>
    </row>
    <row r="97" spans="1:9" ht="15">
      <c r="A97" s="8"/>
      <c r="B97" s="9" t="s">
        <v>157</v>
      </c>
      <c r="C97" s="199" t="s">
        <v>158</v>
      </c>
      <c r="D97" s="10" t="s">
        <v>47</v>
      </c>
      <c r="E97" s="7">
        <v>1.25</v>
      </c>
      <c r="F97" s="7">
        <f>TRUNC(196.2466,2)</f>
        <v>196.24</v>
      </c>
      <c r="G97" s="7">
        <f t="shared" si="3"/>
        <v>245.3</v>
      </c>
      <c r="H97" s="7"/>
      <c r="I97" s="11"/>
    </row>
    <row r="98" spans="1:9" ht="15">
      <c r="A98" s="8"/>
      <c r="B98" s="9"/>
      <c r="C98" s="199"/>
      <c r="D98" s="10"/>
      <c r="E98" s="7" t="s">
        <v>33</v>
      </c>
      <c r="F98" s="7"/>
      <c r="G98" s="7">
        <f>TRUNC(SUM(G90:G97),2)</f>
        <v>6863.75</v>
      </c>
      <c r="H98" s="7"/>
      <c r="I98" s="11"/>
    </row>
    <row r="99" spans="1:9" ht="45">
      <c r="A99" s="400" t="s">
        <v>1546</v>
      </c>
      <c r="B99" s="104" t="s">
        <v>1547</v>
      </c>
      <c r="C99" s="197" t="s">
        <v>1548</v>
      </c>
      <c r="D99" s="105" t="s">
        <v>17</v>
      </c>
      <c r="E99" s="102">
        <v>355.26</v>
      </c>
      <c r="F99" s="101">
        <f>TRUNC(F100,2)</f>
        <v>14.21</v>
      </c>
      <c r="G99" s="101">
        <f>TRUNC(F99*1.2882,2)</f>
        <v>18.3</v>
      </c>
      <c r="H99" s="101">
        <f>TRUNC(F99*E99,2)</f>
        <v>5048.24</v>
      </c>
      <c r="I99" s="102">
        <f>TRUNC(E99*G99,2)</f>
        <v>6501.25</v>
      </c>
    </row>
    <row r="100" spans="1:9" ht="45">
      <c r="A100" s="8"/>
      <c r="B100" s="9" t="s">
        <v>1547</v>
      </c>
      <c r="C100" s="199" t="s">
        <v>1548</v>
      </c>
      <c r="D100" s="10" t="s">
        <v>17</v>
      </c>
      <c r="E100" s="7">
        <v>1</v>
      </c>
      <c r="F100" s="7">
        <f>G103</f>
        <v>14.21</v>
      </c>
      <c r="G100" s="7">
        <f>TRUNC(E100*F100,2)</f>
        <v>14.21</v>
      </c>
      <c r="H100" s="7"/>
      <c r="I100" s="11"/>
    </row>
    <row r="101" spans="1:9" ht="30">
      <c r="A101" s="8"/>
      <c r="B101" s="9" t="s">
        <v>45</v>
      </c>
      <c r="C101" s="199" t="s">
        <v>46</v>
      </c>
      <c r="D101" s="10" t="s">
        <v>47</v>
      </c>
      <c r="E101" s="7">
        <v>0.37595</v>
      </c>
      <c r="F101" s="7">
        <f>TRUNC(15.87,2)</f>
        <v>15.87</v>
      </c>
      <c r="G101" s="7">
        <f>TRUNC(E101*F101,2)</f>
        <v>5.96</v>
      </c>
      <c r="H101" s="7"/>
      <c r="I101" s="11"/>
    </row>
    <row r="102" spans="1:9" ht="30">
      <c r="A102" s="8"/>
      <c r="B102" s="9" t="s">
        <v>69</v>
      </c>
      <c r="C102" s="199" t="s">
        <v>70</v>
      </c>
      <c r="D102" s="10" t="s">
        <v>47</v>
      </c>
      <c r="E102" s="7">
        <v>0.37595</v>
      </c>
      <c r="F102" s="7">
        <f>TRUNC(21.96,2)</f>
        <v>21.96</v>
      </c>
      <c r="G102" s="7">
        <f>TRUNC(E102*F102,2)</f>
        <v>8.25</v>
      </c>
      <c r="H102" s="7"/>
      <c r="I102" s="11"/>
    </row>
    <row r="103" spans="1:9" ht="15">
      <c r="A103" s="8"/>
      <c r="B103" s="9"/>
      <c r="C103" s="199"/>
      <c r="D103" s="10"/>
      <c r="E103" s="7" t="s">
        <v>33</v>
      </c>
      <c r="F103" s="7"/>
      <c r="G103" s="7">
        <f>TRUNC(SUM(G101:G102),2)</f>
        <v>14.21</v>
      </c>
      <c r="H103" s="7"/>
      <c r="I103" s="11"/>
    </row>
    <row r="104" spans="1:9" s="203" customFormat="1" ht="15.75">
      <c r="A104" s="45" t="s">
        <v>18</v>
      </c>
      <c r="B104" s="27"/>
      <c r="C104" s="202"/>
      <c r="D104" s="45"/>
      <c r="E104" s="28"/>
      <c r="F104" s="29"/>
      <c r="G104" s="480" t="s">
        <v>74</v>
      </c>
      <c r="H104" s="481"/>
      <c r="I104" s="29"/>
    </row>
    <row r="105" spans="1:9" ht="14.25" customHeight="1">
      <c r="A105" s="99" t="s">
        <v>19</v>
      </c>
      <c r="B105" s="100"/>
      <c r="C105" s="178" t="s">
        <v>73</v>
      </c>
      <c r="D105" s="179"/>
      <c r="E105" s="179"/>
      <c r="F105" s="179"/>
      <c r="G105" s="179"/>
      <c r="H105" s="179"/>
      <c r="I105" s="179"/>
    </row>
    <row r="106" spans="1:9" ht="14.25" customHeight="1">
      <c r="A106" s="99"/>
      <c r="B106" s="100"/>
      <c r="C106" s="178" t="s">
        <v>825</v>
      </c>
      <c r="D106" s="178"/>
      <c r="E106" s="178"/>
      <c r="F106" s="178"/>
      <c r="G106" s="178"/>
      <c r="H106" s="178"/>
      <c r="I106" s="178"/>
    </row>
    <row r="107" spans="1:9" s="195" customFormat="1" ht="45">
      <c r="A107" s="106" t="s">
        <v>75</v>
      </c>
      <c r="B107" s="107" t="s">
        <v>826</v>
      </c>
      <c r="C107" s="204" t="s">
        <v>827</v>
      </c>
      <c r="D107" s="113" t="s">
        <v>17</v>
      </c>
      <c r="E107" s="113">
        <v>369.7</v>
      </c>
      <c r="F107" s="108">
        <f>TRUNC(F108,2)</f>
        <v>72.22</v>
      </c>
      <c r="G107" s="108">
        <f>TRUNC(F107*1.2882,2)</f>
        <v>93.03</v>
      </c>
      <c r="H107" s="108">
        <f>TRUNC(F107*E107,2)</f>
        <v>26699.73</v>
      </c>
      <c r="I107" s="109">
        <f>TRUNC(E107*G107,2)</f>
        <v>34393.19</v>
      </c>
    </row>
    <row r="108" spans="1:9" ht="45">
      <c r="A108" s="23"/>
      <c r="B108" s="24" t="s">
        <v>826</v>
      </c>
      <c r="C108" s="205" t="s">
        <v>827</v>
      </c>
      <c r="D108" s="25" t="s">
        <v>17</v>
      </c>
      <c r="E108" s="25">
        <v>1</v>
      </c>
      <c r="F108" s="25">
        <f>G116</f>
        <v>72.22</v>
      </c>
      <c r="G108" s="25">
        <f aca="true" t="shared" si="4" ref="G108:G115">TRUNC(E108*F108,2)</f>
        <v>72.22</v>
      </c>
      <c r="H108" s="25"/>
      <c r="I108" s="26"/>
    </row>
    <row r="109" spans="1:9" ht="30">
      <c r="A109" s="121"/>
      <c r="B109" s="119" t="s">
        <v>410</v>
      </c>
      <c r="C109" s="206" t="s">
        <v>411</v>
      </c>
      <c r="D109" s="120" t="s">
        <v>44</v>
      </c>
      <c r="E109" s="120">
        <v>0.1</v>
      </c>
      <c r="F109" s="120">
        <f>TRUNC(18.29,2)</f>
        <v>18.29</v>
      </c>
      <c r="G109" s="120">
        <f t="shared" si="4"/>
        <v>1.82</v>
      </c>
      <c r="H109" s="120"/>
      <c r="I109" s="122"/>
    </row>
    <row r="110" spans="1:9" ht="15">
      <c r="A110" s="121"/>
      <c r="B110" s="119" t="s">
        <v>828</v>
      </c>
      <c r="C110" s="206" t="s">
        <v>829</v>
      </c>
      <c r="D110" s="120" t="s">
        <v>23</v>
      </c>
      <c r="E110" s="120">
        <v>0.4</v>
      </c>
      <c r="F110" s="120">
        <f>TRUNC(7.16,2)</f>
        <v>7.16</v>
      </c>
      <c r="G110" s="120">
        <f t="shared" si="4"/>
        <v>2.86</v>
      </c>
      <c r="H110" s="120"/>
      <c r="I110" s="122"/>
    </row>
    <row r="111" spans="1:9" ht="15">
      <c r="A111" s="121"/>
      <c r="B111" s="119" t="s">
        <v>830</v>
      </c>
      <c r="C111" s="206" t="s">
        <v>831</v>
      </c>
      <c r="D111" s="120" t="s">
        <v>23</v>
      </c>
      <c r="E111" s="120">
        <v>0.93</v>
      </c>
      <c r="F111" s="120">
        <f>TRUNC(8.5166,2)</f>
        <v>8.51</v>
      </c>
      <c r="G111" s="120">
        <f t="shared" si="4"/>
        <v>7.91</v>
      </c>
      <c r="H111" s="120"/>
      <c r="I111" s="122"/>
    </row>
    <row r="112" spans="1:9" ht="15">
      <c r="A112" s="121"/>
      <c r="B112" s="119" t="s">
        <v>832</v>
      </c>
      <c r="C112" s="206" t="s">
        <v>833</v>
      </c>
      <c r="D112" s="120" t="s">
        <v>23</v>
      </c>
      <c r="E112" s="120">
        <v>0.7</v>
      </c>
      <c r="F112" s="120">
        <f>TRUNC(12.53,2)</f>
        <v>12.53</v>
      </c>
      <c r="G112" s="120">
        <f t="shared" si="4"/>
        <v>8.77</v>
      </c>
      <c r="H112" s="120"/>
      <c r="I112" s="122"/>
    </row>
    <row r="113" spans="1:9" ht="15">
      <c r="A113" s="121"/>
      <c r="B113" s="119" t="s">
        <v>807</v>
      </c>
      <c r="C113" s="206" t="s">
        <v>808</v>
      </c>
      <c r="D113" s="120" t="s">
        <v>47</v>
      </c>
      <c r="E113" s="120">
        <v>1.0815000000000001</v>
      </c>
      <c r="F113" s="120">
        <f>TRUNC(18.31,2)</f>
        <v>18.31</v>
      </c>
      <c r="G113" s="120">
        <f t="shared" si="4"/>
        <v>19.8</v>
      </c>
      <c r="H113" s="120"/>
      <c r="I113" s="122"/>
    </row>
    <row r="114" spans="1:9" ht="15">
      <c r="A114" s="121"/>
      <c r="B114" s="119" t="s">
        <v>834</v>
      </c>
      <c r="C114" s="206" t="s">
        <v>835</v>
      </c>
      <c r="D114" s="120" t="s">
        <v>47</v>
      </c>
      <c r="E114" s="120">
        <v>1.0815000000000001</v>
      </c>
      <c r="F114" s="120">
        <f>TRUNC(25.34,2)</f>
        <v>25.34</v>
      </c>
      <c r="G114" s="120">
        <f t="shared" si="4"/>
        <v>27.4</v>
      </c>
      <c r="H114" s="120"/>
      <c r="I114" s="122"/>
    </row>
    <row r="115" spans="1:9" ht="15">
      <c r="A115" s="121"/>
      <c r="B115" s="119" t="s">
        <v>836</v>
      </c>
      <c r="C115" s="206" t="s">
        <v>837</v>
      </c>
      <c r="D115" s="120" t="s">
        <v>17</v>
      </c>
      <c r="E115" s="120">
        <v>1</v>
      </c>
      <c r="F115" s="120">
        <f>TRUNC(3.6611,2)</f>
        <v>3.66</v>
      </c>
      <c r="G115" s="120">
        <f t="shared" si="4"/>
        <v>3.66</v>
      </c>
      <c r="H115" s="120"/>
      <c r="I115" s="122"/>
    </row>
    <row r="116" spans="1:9" ht="15">
      <c r="A116" s="123"/>
      <c r="B116" s="124"/>
      <c r="C116" s="207"/>
      <c r="D116" s="125"/>
      <c r="E116" s="125" t="s">
        <v>33</v>
      </c>
      <c r="F116" s="125"/>
      <c r="G116" s="125">
        <f>TRUNC(SUM(G109:G115),2)</f>
        <v>72.22</v>
      </c>
      <c r="H116" s="125"/>
      <c r="I116" s="126"/>
    </row>
    <row r="117" spans="1:9" ht="45">
      <c r="A117" s="114" t="s">
        <v>245</v>
      </c>
      <c r="B117" s="115" t="s">
        <v>838</v>
      </c>
      <c r="C117" s="208" t="s">
        <v>839</v>
      </c>
      <c r="D117" s="116" t="s">
        <v>48</v>
      </c>
      <c r="E117" s="117">
        <v>25.67</v>
      </c>
      <c r="F117" s="118">
        <f>TRUNC(F118,2)</f>
        <v>614.09</v>
      </c>
      <c r="G117" s="118">
        <f>TRUNC(F117*1.2882,2)</f>
        <v>791.07</v>
      </c>
      <c r="H117" s="118">
        <f>TRUNC(F117*E117,2)</f>
        <v>15763.69</v>
      </c>
      <c r="I117" s="117">
        <f>TRUNC(E117*G117,2)</f>
        <v>20306.76</v>
      </c>
    </row>
    <row r="118" spans="1:9" ht="45">
      <c r="A118" s="8"/>
      <c r="B118" s="12" t="s">
        <v>838</v>
      </c>
      <c r="C118" s="200" t="s">
        <v>839</v>
      </c>
      <c r="D118" s="8" t="s">
        <v>48</v>
      </c>
      <c r="E118" s="11">
        <v>1</v>
      </c>
      <c r="F118" s="7">
        <f>G124</f>
        <v>614.09</v>
      </c>
      <c r="G118" s="6">
        <f aca="true" t="shared" si="5" ref="G118:G123">TRUNC(E118*F118,2)</f>
        <v>614.09</v>
      </c>
      <c r="H118" s="6"/>
      <c r="I118" s="7"/>
    </row>
    <row r="119" spans="1:9" ht="15">
      <c r="A119" s="8"/>
      <c r="B119" s="12" t="s">
        <v>840</v>
      </c>
      <c r="C119" s="200" t="s">
        <v>841</v>
      </c>
      <c r="D119" s="8" t="s">
        <v>136</v>
      </c>
      <c r="E119" s="11">
        <v>1.208865</v>
      </c>
      <c r="F119" s="7">
        <f>TRUNC(90.4,2)</f>
        <v>90.4</v>
      </c>
      <c r="G119" s="6">
        <f t="shared" si="5"/>
        <v>109.28</v>
      </c>
      <c r="H119" s="6"/>
      <c r="I119" s="7"/>
    </row>
    <row r="120" spans="1:9" ht="15">
      <c r="A120" s="8"/>
      <c r="B120" s="12" t="s">
        <v>842</v>
      </c>
      <c r="C120" s="200" t="s">
        <v>843</v>
      </c>
      <c r="D120" s="8" t="s">
        <v>44</v>
      </c>
      <c r="E120" s="11">
        <v>409.5</v>
      </c>
      <c r="F120" s="7">
        <f>TRUNC(0.57,2)</f>
        <v>0.57</v>
      </c>
      <c r="G120" s="6">
        <f t="shared" si="5"/>
        <v>233.41</v>
      </c>
      <c r="H120" s="6"/>
      <c r="I120" s="7"/>
    </row>
    <row r="121" spans="1:9" ht="15">
      <c r="A121" s="8"/>
      <c r="B121" s="12" t="s">
        <v>844</v>
      </c>
      <c r="C121" s="200" t="s">
        <v>845</v>
      </c>
      <c r="D121" s="8" t="s">
        <v>48</v>
      </c>
      <c r="E121" s="11">
        <v>0.6194999999999999</v>
      </c>
      <c r="F121" s="7">
        <f>TRUNC(118.5,2)</f>
        <v>118.5</v>
      </c>
      <c r="G121" s="6">
        <f t="shared" si="5"/>
        <v>73.41</v>
      </c>
      <c r="H121" s="6"/>
      <c r="I121" s="7"/>
    </row>
    <row r="122" spans="1:9" ht="15">
      <c r="A122" s="8"/>
      <c r="B122" s="12" t="s">
        <v>846</v>
      </c>
      <c r="C122" s="200" t="s">
        <v>847</v>
      </c>
      <c r="D122" s="8" t="s">
        <v>48</v>
      </c>
      <c r="E122" s="11">
        <v>1</v>
      </c>
      <c r="F122" s="7">
        <f>TRUNC(119.0063,2)</f>
        <v>119</v>
      </c>
      <c r="G122" s="6">
        <f t="shared" si="5"/>
        <v>119</v>
      </c>
      <c r="H122" s="6"/>
      <c r="I122" s="7"/>
    </row>
    <row r="123" spans="1:9" ht="15">
      <c r="A123" s="8"/>
      <c r="B123" s="12" t="s">
        <v>848</v>
      </c>
      <c r="C123" s="200" t="s">
        <v>849</v>
      </c>
      <c r="D123" s="8" t="s">
        <v>48</v>
      </c>
      <c r="E123" s="11">
        <v>1</v>
      </c>
      <c r="F123" s="7">
        <f>TRUNC(78.9957,2)</f>
        <v>78.99</v>
      </c>
      <c r="G123" s="6">
        <f t="shared" si="5"/>
        <v>78.99</v>
      </c>
      <c r="H123" s="6"/>
      <c r="I123" s="7"/>
    </row>
    <row r="124" spans="1:9" ht="15">
      <c r="A124" s="8"/>
      <c r="B124" s="12"/>
      <c r="C124" s="200"/>
      <c r="D124" s="8"/>
      <c r="E124" s="11" t="s">
        <v>33</v>
      </c>
      <c r="F124" s="7"/>
      <c r="G124" s="6">
        <f>TRUNC(SUM(G119:G123),2)</f>
        <v>614.09</v>
      </c>
      <c r="H124" s="6"/>
      <c r="I124" s="7"/>
    </row>
    <row r="125" spans="1:9" ht="30">
      <c r="A125" s="103" t="s">
        <v>850</v>
      </c>
      <c r="B125" s="104" t="s">
        <v>851</v>
      </c>
      <c r="C125" s="197" t="s">
        <v>852</v>
      </c>
      <c r="D125" s="105" t="s">
        <v>17</v>
      </c>
      <c r="E125" s="102">
        <v>25.34</v>
      </c>
      <c r="F125" s="101">
        <f>TRUNC(F126,2)</f>
        <v>126.42</v>
      </c>
      <c r="G125" s="101">
        <f>TRUNC(F125*1.2882,2)</f>
        <v>162.85</v>
      </c>
      <c r="H125" s="101">
        <f>TRUNC(F125*E125,2)</f>
        <v>3203.48</v>
      </c>
      <c r="I125" s="102">
        <f>TRUNC(E125*G125,2)</f>
        <v>4126.61</v>
      </c>
    </row>
    <row r="126" spans="1:9" ht="30">
      <c r="A126" s="13"/>
      <c r="B126" s="14" t="s">
        <v>851</v>
      </c>
      <c r="C126" s="201" t="s">
        <v>852</v>
      </c>
      <c r="D126" s="13" t="s">
        <v>17</v>
      </c>
      <c r="E126" s="15">
        <v>1</v>
      </c>
      <c r="F126" s="16">
        <f>G130</f>
        <v>126.42</v>
      </c>
      <c r="G126" s="17">
        <f>TRUNC(E126*F126,2)</f>
        <v>126.42</v>
      </c>
      <c r="H126" s="17"/>
      <c r="I126" s="16"/>
    </row>
    <row r="127" spans="1:9" ht="15">
      <c r="A127" s="13"/>
      <c r="B127" s="14" t="s">
        <v>853</v>
      </c>
      <c r="C127" s="201" t="s">
        <v>854</v>
      </c>
      <c r="D127" s="13" t="s">
        <v>44</v>
      </c>
      <c r="E127" s="15">
        <v>2</v>
      </c>
      <c r="F127" s="16">
        <f>TRUNC(54.9,2)</f>
        <v>54.9</v>
      </c>
      <c r="G127" s="17">
        <f>TRUNC(E127*F127,2)</f>
        <v>109.8</v>
      </c>
      <c r="H127" s="17"/>
      <c r="I127" s="16"/>
    </row>
    <row r="128" spans="1:9" ht="15">
      <c r="A128" s="13"/>
      <c r="B128" s="14" t="s">
        <v>855</v>
      </c>
      <c r="C128" s="201" t="s">
        <v>856</v>
      </c>
      <c r="D128" s="13" t="s">
        <v>47</v>
      </c>
      <c r="E128" s="15">
        <v>0.476</v>
      </c>
      <c r="F128" s="16">
        <f>TRUNC(30.04,2)</f>
        <v>30.04</v>
      </c>
      <c r="G128" s="17">
        <f>TRUNC(E128*F128,2)</f>
        <v>14.29</v>
      </c>
      <c r="H128" s="17"/>
      <c r="I128" s="16"/>
    </row>
    <row r="129" spans="1:9" ht="15">
      <c r="A129" s="13"/>
      <c r="B129" s="14" t="s">
        <v>857</v>
      </c>
      <c r="C129" s="201" t="s">
        <v>858</v>
      </c>
      <c r="D129" s="13" t="s">
        <v>47</v>
      </c>
      <c r="E129" s="15">
        <v>0.096</v>
      </c>
      <c r="F129" s="16">
        <f>TRUNC(24.32,2)</f>
        <v>24.32</v>
      </c>
      <c r="G129" s="17">
        <f>TRUNC(E129*F129,2)</f>
        <v>2.33</v>
      </c>
      <c r="H129" s="17"/>
      <c r="I129" s="16"/>
    </row>
    <row r="130" spans="1:9" ht="15">
      <c r="A130" s="13"/>
      <c r="B130" s="14"/>
      <c r="C130" s="201"/>
      <c r="D130" s="13"/>
      <c r="E130" s="15" t="s">
        <v>33</v>
      </c>
      <c r="F130" s="16"/>
      <c r="G130" s="17">
        <f>TRUNC(SUM(G127:G129),2)</f>
        <v>126.42</v>
      </c>
      <c r="H130" s="17"/>
      <c r="I130" s="16"/>
    </row>
    <row r="131" spans="1:9" s="195" customFormat="1" ht="30">
      <c r="A131" s="106" t="s">
        <v>859</v>
      </c>
      <c r="B131" s="107" t="s">
        <v>860</v>
      </c>
      <c r="C131" s="204" t="s">
        <v>861</v>
      </c>
      <c r="D131" s="113" t="s">
        <v>44</v>
      </c>
      <c r="E131" s="113">
        <v>527</v>
      </c>
      <c r="F131" s="108">
        <f>TRUNC(F132,2)</f>
        <v>16.23</v>
      </c>
      <c r="G131" s="108">
        <f>TRUNC(F131*1.2882,2)</f>
        <v>20.9</v>
      </c>
      <c r="H131" s="108">
        <f>TRUNC(F131*E131,2)</f>
        <v>8553.21</v>
      </c>
      <c r="I131" s="109">
        <f>TRUNC(E131*G131,2)</f>
        <v>11014.3</v>
      </c>
    </row>
    <row r="132" spans="1:9" ht="30">
      <c r="A132" s="23"/>
      <c r="B132" s="24" t="s">
        <v>860</v>
      </c>
      <c r="C132" s="205" t="s">
        <v>861</v>
      </c>
      <c r="D132" s="25" t="s">
        <v>44</v>
      </c>
      <c r="E132" s="25">
        <v>1</v>
      </c>
      <c r="F132" s="25">
        <f>G138</f>
        <v>16.23</v>
      </c>
      <c r="G132" s="25">
        <f aca="true" t="shared" si="6" ref="G132:G137">TRUNC(E132*F132,2)</f>
        <v>16.23</v>
      </c>
      <c r="H132" s="25"/>
      <c r="I132" s="26"/>
    </row>
    <row r="133" spans="1:9" ht="15">
      <c r="A133" s="121"/>
      <c r="B133" s="119" t="s">
        <v>598</v>
      </c>
      <c r="C133" s="206" t="s">
        <v>599</v>
      </c>
      <c r="D133" s="120" t="s">
        <v>44</v>
      </c>
      <c r="E133" s="120">
        <v>0.025</v>
      </c>
      <c r="F133" s="120">
        <f>TRUNC(27.9,2)</f>
        <v>27.9</v>
      </c>
      <c r="G133" s="120">
        <f t="shared" si="6"/>
        <v>0.69</v>
      </c>
      <c r="H133" s="120"/>
      <c r="I133" s="122"/>
    </row>
    <row r="134" spans="1:9" ht="30">
      <c r="A134" s="121"/>
      <c r="B134" s="119" t="s">
        <v>862</v>
      </c>
      <c r="C134" s="206" t="s">
        <v>863</v>
      </c>
      <c r="D134" s="120" t="s">
        <v>7</v>
      </c>
      <c r="E134" s="120">
        <v>1.19</v>
      </c>
      <c r="F134" s="120">
        <f>TRUNC(0.22,2)</f>
        <v>0.22</v>
      </c>
      <c r="G134" s="120">
        <f t="shared" si="6"/>
        <v>0.26</v>
      </c>
      <c r="H134" s="120"/>
      <c r="I134" s="122"/>
    </row>
    <row r="135" spans="1:9" ht="15">
      <c r="A135" s="121"/>
      <c r="B135" s="119" t="s">
        <v>864</v>
      </c>
      <c r="C135" s="206" t="s">
        <v>865</v>
      </c>
      <c r="D135" s="120" t="s">
        <v>47</v>
      </c>
      <c r="E135" s="120">
        <v>0.1069</v>
      </c>
      <c r="F135" s="120">
        <f>TRUNC(29.12,2)</f>
        <v>29.12</v>
      </c>
      <c r="G135" s="120">
        <f t="shared" si="6"/>
        <v>3.11</v>
      </c>
      <c r="H135" s="120"/>
      <c r="I135" s="122"/>
    </row>
    <row r="136" spans="1:9" ht="15">
      <c r="A136" s="121"/>
      <c r="B136" s="119" t="s">
        <v>866</v>
      </c>
      <c r="C136" s="206" t="s">
        <v>867</v>
      </c>
      <c r="D136" s="120" t="s">
        <v>47</v>
      </c>
      <c r="E136" s="120">
        <v>0.0175</v>
      </c>
      <c r="F136" s="120">
        <f>TRUNC(23.42,2)</f>
        <v>23.42</v>
      </c>
      <c r="G136" s="120">
        <f t="shared" si="6"/>
        <v>0.4</v>
      </c>
      <c r="H136" s="120"/>
      <c r="I136" s="122"/>
    </row>
    <row r="137" spans="1:9" ht="15">
      <c r="A137" s="121"/>
      <c r="B137" s="119" t="s">
        <v>868</v>
      </c>
      <c r="C137" s="206" t="s">
        <v>869</v>
      </c>
      <c r="D137" s="120" t="s">
        <v>44</v>
      </c>
      <c r="E137" s="120">
        <v>1</v>
      </c>
      <c r="F137" s="120">
        <f>TRUNC(11.77,2)</f>
        <v>11.77</v>
      </c>
      <c r="G137" s="120">
        <f t="shared" si="6"/>
        <v>11.77</v>
      </c>
      <c r="H137" s="120"/>
      <c r="I137" s="122"/>
    </row>
    <row r="138" spans="1:9" ht="15">
      <c r="A138" s="123"/>
      <c r="B138" s="124"/>
      <c r="C138" s="207"/>
      <c r="D138" s="125"/>
      <c r="E138" s="125" t="s">
        <v>33</v>
      </c>
      <c r="F138" s="125"/>
      <c r="G138" s="125">
        <f>TRUNC(SUM(G133:G137),2)</f>
        <v>16.23</v>
      </c>
      <c r="H138" s="125"/>
      <c r="I138" s="126"/>
    </row>
    <row r="139" spans="1:9" ht="60">
      <c r="A139" s="114" t="s">
        <v>882</v>
      </c>
      <c r="B139" s="127" t="s">
        <v>870</v>
      </c>
      <c r="C139" s="209" t="s">
        <v>871</v>
      </c>
      <c r="D139" s="114" t="s">
        <v>44</v>
      </c>
      <c r="E139" s="128">
        <v>1252</v>
      </c>
      <c r="F139" s="118">
        <f>TRUNC(G140,2)</f>
        <v>7.84</v>
      </c>
      <c r="G139" s="118">
        <f>TRUNC(F139*1.2882,2)</f>
        <v>10.09</v>
      </c>
      <c r="H139" s="118">
        <f>TRUNC(F139*E139,2)</f>
        <v>9815.68</v>
      </c>
      <c r="I139" s="117">
        <f>TRUNC(E139*G139,2)</f>
        <v>12632.68</v>
      </c>
    </row>
    <row r="140" spans="1:9" ht="60">
      <c r="A140" s="8"/>
      <c r="B140" s="12" t="s">
        <v>870</v>
      </c>
      <c r="C140" s="200" t="s">
        <v>871</v>
      </c>
      <c r="D140" s="8" t="s">
        <v>44</v>
      </c>
      <c r="E140" s="11">
        <v>1</v>
      </c>
      <c r="F140" s="7">
        <f>G145</f>
        <v>7.84</v>
      </c>
      <c r="G140" s="7">
        <f>TRUNC(E140*F140,2)</f>
        <v>7.84</v>
      </c>
      <c r="H140" s="7"/>
      <c r="I140" s="11"/>
    </row>
    <row r="141" spans="1:9" ht="15">
      <c r="A141" s="8"/>
      <c r="B141" s="12" t="s">
        <v>872</v>
      </c>
      <c r="C141" s="200" t="s">
        <v>873</v>
      </c>
      <c r="D141" s="8" t="s">
        <v>44</v>
      </c>
      <c r="E141" s="11">
        <v>0.37</v>
      </c>
      <c r="F141" s="7">
        <f>TRUNC(6.2193,2)</f>
        <v>6.21</v>
      </c>
      <c r="G141" s="7">
        <f>TRUNC(E141*F141,2)</f>
        <v>2.29</v>
      </c>
      <c r="H141" s="7"/>
      <c r="I141" s="11"/>
    </row>
    <row r="142" spans="1:9" ht="15">
      <c r="A142" s="8"/>
      <c r="B142" s="12" t="s">
        <v>874</v>
      </c>
      <c r="C142" s="200" t="s">
        <v>875</v>
      </c>
      <c r="D142" s="8" t="s">
        <v>44</v>
      </c>
      <c r="E142" s="11">
        <v>0.37</v>
      </c>
      <c r="F142" s="7">
        <f>TRUNC(6.8509,2)</f>
        <v>6.85</v>
      </c>
      <c r="G142" s="7">
        <f>TRUNC(E142*F142,2)</f>
        <v>2.53</v>
      </c>
      <c r="H142" s="7"/>
      <c r="I142" s="11"/>
    </row>
    <row r="143" spans="1:9" ht="15">
      <c r="A143" s="8"/>
      <c r="B143" s="12" t="s">
        <v>876</v>
      </c>
      <c r="C143" s="200" t="s">
        <v>877</v>
      </c>
      <c r="D143" s="8" t="s">
        <v>44</v>
      </c>
      <c r="E143" s="11">
        <v>0.37</v>
      </c>
      <c r="F143" s="7">
        <f>TRUNC(7.1772,2)</f>
        <v>7.17</v>
      </c>
      <c r="G143" s="7">
        <f>TRUNC(E143*F143,2)</f>
        <v>2.65</v>
      </c>
      <c r="H143" s="7"/>
      <c r="I143" s="11"/>
    </row>
    <row r="144" spans="1:9" ht="15">
      <c r="A144" s="8"/>
      <c r="B144" s="12" t="s">
        <v>347</v>
      </c>
      <c r="C144" s="200" t="s">
        <v>348</v>
      </c>
      <c r="D144" s="8" t="s">
        <v>44</v>
      </c>
      <c r="E144" s="11">
        <v>0.03</v>
      </c>
      <c r="F144" s="7">
        <f>TRUNC(12.3723,2)</f>
        <v>12.37</v>
      </c>
      <c r="G144" s="7">
        <f>TRUNC(E144*F144,2)</f>
        <v>0.37</v>
      </c>
      <c r="H144" s="7"/>
      <c r="I144" s="11"/>
    </row>
    <row r="145" spans="1:9" ht="15">
      <c r="A145" s="8"/>
      <c r="B145" s="12"/>
      <c r="C145" s="200"/>
      <c r="D145" s="8"/>
      <c r="E145" s="11" t="s">
        <v>33</v>
      </c>
      <c r="F145" s="7"/>
      <c r="G145" s="7">
        <f>TRUNC(SUM(G141:G144),2)</f>
        <v>7.84</v>
      </c>
      <c r="H145" s="7"/>
      <c r="I145" s="11"/>
    </row>
    <row r="146" spans="1:9" ht="30">
      <c r="A146" s="103" t="s">
        <v>883</v>
      </c>
      <c r="B146" s="110" t="s">
        <v>878</v>
      </c>
      <c r="C146" s="210" t="s">
        <v>879</v>
      </c>
      <c r="D146" s="103" t="s">
        <v>44</v>
      </c>
      <c r="E146" s="111">
        <v>1252</v>
      </c>
      <c r="F146" s="101">
        <f>TRUNC(F147,2)</f>
        <v>4.08</v>
      </c>
      <c r="G146" s="101">
        <f>TRUNC(F146*1.2882,2)</f>
        <v>5.25</v>
      </c>
      <c r="H146" s="101">
        <f>TRUNC(F146*E146,2)</f>
        <v>5108.16</v>
      </c>
      <c r="I146" s="102">
        <f>TRUNC(E146*G146,2)</f>
        <v>6573</v>
      </c>
    </row>
    <row r="147" spans="1:9" ht="30">
      <c r="A147" s="8"/>
      <c r="B147" s="12" t="s">
        <v>878</v>
      </c>
      <c r="C147" s="200" t="s">
        <v>879</v>
      </c>
      <c r="D147" s="8" t="s">
        <v>44</v>
      </c>
      <c r="E147" s="11">
        <v>1</v>
      </c>
      <c r="F147" s="7">
        <f>G150</f>
        <v>4.08</v>
      </c>
      <c r="G147" s="7">
        <f>TRUNC(E147*F147,2)</f>
        <v>4.08</v>
      </c>
      <c r="H147" s="7"/>
      <c r="I147" s="11"/>
    </row>
    <row r="148" spans="1:9" ht="30">
      <c r="A148" s="8"/>
      <c r="B148" s="12" t="s">
        <v>45</v>
      </c>
      <c r="C148" s="200" t="s">
        <v>46</v>
      </c>
      <c r="D148" s="8" t="s">
        <v>47</v>
      </c>
      <c r="E148" s="11">
        <v>0.10815</v>
      </c>
      <c r="F148" s="7">
        <f>TRUNC(15.87,2)</f>
        <v>15.87</v>
      </c>
      <c r="G148" s="7">
        <f>TRUNC(E148*F148,2)</f>
        <v>1.71</v>
      </c>
      <c r="H148" s="7"/>
      <c r="I148" s="11"/>
    </row>
    <row r="149" spans="1:9" ht="30">
      <c r="A149" s="8"/>
      <c r="B149" s="12" t="s">
        <v>880</v>
      </c>
      <c r="C149" s="200" t="s">
        <v>881</v>
      </c>
      <c r="D149" s="8" t="s">
        <v>47</v>
      </c>
      <c r="E149" s="11">
        <v>0.10815</v>
      </c>
      <c r="F149" s="7">
        <f>TRUNC(21.96,2)</f>
        <v>21.96</v>
      </c>
      <c r="G149" s="7">
        <f>TRUNC(E149*F149,2)</f>
        <v>2.37</v>
      </c>
      <c r="H149" s="7"/>
      <c r="I149" s="11"/>
    </row>
    <row r="150" spans="1:9" ht="15">
      <c r="A150" s="8"/>
      <c r="B150" s="12"/>
      <c r="C150" s="200"/>
      <c r="D150" s="8"/>
      <c r="E150" s="11" t="s">
        <v>33</v>
      </c>
      <c r="F150" s="7"/>
      <c r="G150" s="7">
        <f>TRUNC(SUM(G148:G149),2)</f>
        <v>4.08</v>
      </c>
      <c r="H150" s="7"/>
      <c r="I150" s="11"/>
    </row>
    <row r="151" spans="1:9" ht="14.25" customHeight="1">
      <c r="A151" s="99" t="s">
        <v>943</v>
      </c>
      <c r="B151" s="100"/>
      <c r="C151" s="178" t="s">
        <v>884</v>
      </c>
      <c r="D151" s="112"/>
      <c r="E151" s="112"/>
      <c r="F151" s="112"/>
      <c r="G151" s="112"/>
      <c r="H151" s="112"/>
      <c r="I151" s="112"/>
    </row>
    <row r="152" spans="1:9" s="195" customFormat="1" ht="45">
      <c r="A152" s="106" t="s">
        <v>1330</v>
      </c>
      <c r="B152" s="107" t="s">
        <v>826</v>
      </c>
      <c r="C152" s="204" t="s">
        <v>827</v>
      </c>
      <c r="D152" s="113" t="s">
        <v>17</v>
      </c>
      <c r="E152" s="113">
        <v>47.28</v>
      </c>
      <c r="F152" s="108">
        <f>TRUNC(F153,2)</f>
        <v>72.22</v>
      </c>
      <c r="G152" s="108">
        <f>TRUNC(F152*1.2882,2)</f>
        <v>93.03</v>
      </c>
      <c r="H152" s="108">
        <f>TRUNC(F152*E152,2)</f>
        <v>3414.56</v>
      </c>
      <c r="I152" s="109">
        <f>TRUNC(E152*G152,2)</f>
        <v>4398.45</v>
      </c>
    </row>
    <row r="153" spans="1:9" ht="45">
      <c r="A153" s="23"/>
      <c r="B153" s="24" t="s">
        <v>826</v>
      </c>
      <c r="C153" s="205" t="s">
        <v>827</v>
      </c>
      <c r="D153" s="25" t="s">
        <v>17</v>
      </c>
      <c r="E153" s="25">
        <v>1</v>
      </c>
      <c r="F153" s="25">
        <f>G161</f>
        <v>72.22</v>
      </c>
      <c r="G153" s="25">
        <f aca="true" t="shared" si="7" ref="G153:G160">TRUNC(E153*F153,2)</f>
        <v>72.22</v>
      </c>
      <c r="H153" s="25"/>
      <c r="I153" s="26"/>
    </row>
    <row r="154" spans="1:9" ht="30">
      <c r="A154" s="121"/>
      <c r="B154" s="119" t="s">
        <v>410</v>
      </c>
      <c r="C154" s="206" t="s">
        <v>411</v>
      </c>
      <c r="D154" s="120" t="s">
        <v>44</v>
      </c>
      <c r="E154" s="120">
        <v>0.1</v>
      </c>
      <c r="F154" s="120">
        <f>TRUNC(18.29,2)</f>
        <v>18.29</v>
      </c>
      <c r="G154" s="120">
        <f t="shared" si="7"/>
        <v>1.82</v>
      </c>
      <c r="H154" s="120"/>
      <c r="I154" s="122"/>
    </row>
    <row r="155" spans="1:9" ht="15">
      <c r="A155" s="121"/>
      <c r="B155" s="119" t="s">
        <v>828</v>
      </c>
      <c r="C155" s="206" t="s">
        <v>829</v>
      </c>
      <c r="D155" s="120" t="s">
        <v>23</v>
      </c>
      <c r="E155" s="120">
        <v>0.4</v>
      </c>
      <c r="F155" s="120">
        <f>TRUNC(7.16,2)</f>
        <v>7.16</v>
      </c>
      <c r="G155" s="120">
        <f t="shared" si="7"/>
        <v>2.86</v>
      </c>
      <c r="H155" s="120"/>
      <c r="I155" s="122"/>
    </row>
    <row r="156" spans="1:9" ht="15">
      <c r="A156" s="121"/>
      <c r="B156" s="119" t="s">
        <v>830</v>
      </c>
      <c r="C156" s="206" t="s">
        <v>831</v>
      </c>
      <c r="D156" s="120" t="s">
        <v>23</v>
      </c>
      <c r="E156" s="120">
        <v>0.93</v>
      </c>
      <c r="F156" s="120">
        <f>TRUNC(8.5166,2)</f>
        <v>8.51</v>
      </c>
      <c r="G156" s="120">
        <f t="shared" si="7"/>
        <v>7.91</v>
      </c>
      <c r="H156" s="120"/>
      <c r="I156" s="122"/>
    </row>
    <row r="157" spans="1:9" ht="15">
      <c r="A157" s="121"/>
      <c r="B157" s="119" t="s">
        <v>832</v>
      </c>
      <c r="C157" s="206" t="s">
        <v>833</v>
      </c>
      <c r="D157" s="120" t="s">
        <v>23</v>
      </c>
      <c r="E157" s="120">
        <v>0.7</v>
      </c>
      <c r="F157" s="120">
        <f>TRUNC(12.53,2)</f>
        <v>12.53</v>
      </c>
      <c r="G157" s="120">
        <f t="shared" si="7"/>
        <v>8.77</v>
      </c>
      <c r="H157" s="120"/>
      <c r="I157" s="122"/>
    </row>
    <row r="158" spans="1:9" ht="15">
      <c r="A158" s="121"/>
      <c r="B158" s="119" t="s">
        <v>807</v>
      </c>
      <c r="C158" s="206" t="s">
        <v>808</v>
      </c>
      <c r="D158" s="120" t="s">
        <v>47</v>
      </c>
      <c r="E158" s="120">
        <v>1.0815000000000001</v>
      </c>
      <c r="F158" s="120">
        <f>TRUNC(18.31,2)</f>
        <v>18.31</v>
      </c>
      <c r="G158" s="120">
        <f t="shared" si="7"/>
        <v>19.8</v>
      </c>
      <c r="H158" s="120"/>
      <c r="I158" s="122"/>
    </row>
    <row r="159" spans="1:9" ht="15">
      <c r="A159" s="121"/>
      <c r="B159" s="119" t="s">
        <v>834</v>
      </c>
      <c r="C159" s="206" t="s">
        <v>835</v>
      </c>
      <c r="D159" s="120" t="s">
        <v>47</v>
      </c>
      <c r="E159" s="120">
        <v>1.0815000000000001</v>
      </c>
      <c r="F159" s="120">
        <f>TRUNC(25.34,2)</f>
        <v>25.34</v>
      </c>
      <c r="G159" s="120">
        <f t="shared" si="7"/>
        <v>27.4</v>
      </c>
      <c r="H159" s="120"/>
      <c r="I159" s="122"/>
    </row>
    <row r="160" spans="1:9" ht="15">
      <c r="A160" s="121"/>
      <c r="B160" s="119" t="s">
        <v>836</v>
      </c>
      <c r="C160" s="206" t="s">
        <v>837</v>
      </c>
      <c r="D160" s="120" t="s">
        <v>17</v>
      </c>
      <c r="E160" s="120">
        <v>1</v>
      </c>
      <c r="F160" s="120">
        <f>TRUNC(3.6611,2)</f>
        <v>3.66</v>
      </c>
      <c r="G160" s="120">
        <f t="shared" si="7"/>
        <v>3.66</v>
      </c>
      <c r="H160" s="120"/>
      <c r="I160" s="122"/>
    </row>
    <row r="161" spans="1:9" ht="15">
      <c r="A161" s="123"/>
      <c r="B161" s="124"/>
      <c r="C161" s="207"/>
      <c r="D161" s="125"/>
      <c r="E161" s="125" t="s">
        <v>33</v>
      </c>
      <c r="F161" s="125"/>
      <c r="G161" s="125">
        <f>TRUNC(SUM(G154:G160),2)</f>
        <v>72.22</v>
      </c>
      <c r="H161" s="125"/>
      <c r="I161" s="126"/>
    </row>
    <row r="162" spans="1:9" ht="45">
      <c r="A162" s="114" t="s">
        <v>1331</v>
      </c>
      <c r="B162" s="115" t="s">
        <v>838</v>
      </c>
      <c r="C162" s="208" t="s">
        <v>839</v>
      </c>
      <c r="D162" s="116" t="s">
        <v>48</v>
      </c>
      <c r="E162" s="117">
        <v>10.84</v>
      </c>
      <c r="F162" s="118">
        <f>TRUNC(F163,2)</f>
        <v>614.09</v>
      </c>
      <c r="G162" s="118">
        <f>TRUNC(F162*1.2882,2)</f>
        <v>791.07</v>
      </c>
      <c r="H162" s="118">
        <f>TRUNC(F162*E162,2)</f>
        <v>6656.73</v>
      </c>
      <c r="I162" s="117">
        <f>TRUNC(E162*G162,2)</f>
        <v>8575.19</v>
      </c>
    </row>
    <row r="163" spans="1:9" ht="45">
      <c r="A163" s="8"/>
      <c r="B163" s="12" t="s">
        <v>838</v>
      </c>
      <c r="C163" s="200" t="s">
        <v>839</v>
      </c>
      <c r="D163" s="8" t="s">
        <v>48</v>
      </c>
      <c r="E163" s="11">
        <v>1</v>
      </c>
      <c r="F163" s="7">
        <f>G169</f>
        <v>614.09</v>
      </c>
      <c r="G163" s="6">
        <f aca="true" t="shared" si="8" ref="G163:G168">TRUNC(E163*F163,2)</f>
        <v>614.09</v>
      </c>
      <c r="H163" s="6"/>
      <c r="I163" s="7"/>
    </row>
    <row r="164" spans="1:9" ht="15">
      <c r="A164" s="8"/>
      <c r="B164" s="12" t="s">
        <v>840</v>
      </c>
      <c r="C164" s="200" t="s">
        <v>841</v>
      </c>
      <c r="D164" s="8" t="s">
        <v>136</v>
      </c>
      <c r="E164" s="11">
        <v>1.208865</v>
      </c>
      <c r="F164" s="7">
        <f>TRUNC(90.4,2)</f>
        <v>90.4</v>
      </c>
      <c r="G164" s="6">
        <f t="shared" si="8"/>
        <v>109.28</v>
      </c>
      <c r="H164" s="6"/>
      <c r="I164" s="7"/>
    </row>
    <row r="165" spans="1:9" ht="15">
      <c r="A165" s="8"/>
      <c r="B165" s="12" t="s">
        <v>842</v>
      </c>
      <c r="C165" s="200" t="s">
        <v>843</v>
      </c>
      <c r="D165" s="8" t="s">
        <v>44</v>
      </c>
      <c r="E165" s="11">
        <v>409.5</v>
      </c>
      <c r="F165" s="7">
        <f>TRUNC(0.57,2)</f>
        <v>0.57</v>
      </c>
      <c r="G165" s="6">
        <f t="shared" si="8"/>
        <v>233.41</v>
      </c>
      <c r="H165" s="6"/>
      <c r="I165" s="7"/>
    </row>
    <row r="166" spans="1:9" ht="15">
      <c r="A166" s="8"/>
      <c r="B166" s="12" t="s">
        <v>844</v>
      </c>
      <c r="C166" s="200" t="s">
        <v>845</v>
      </c>
      <c r="D166" s="8" t="s">
        <v>48</v>
      </c>
      <c r="E166" s="11">
        <v>0.6194999999999999</v>
      </c>
      <c r="F166" s="7">
        <f>TRUNC(118.5,2)</f>
        <v>118.5</v>
      </c>
      <c r="G166" s="6">
        <f t="shared" si="8"/>
        <v>73.41</v>
      </c>
      <c r="H166" s="6"/>
      <c r="I166" s="7"/>
    </row>
    <row r="167" spans="1:9" ht="15">
      <c r="A167" s="8"/>
      <c r="B167" s="12" t="s">
        <v>846</v>
      </c>
      <c r="C167" s="200" t="s">
        <v>847</v>
      </c>
      <c r="D167" s="8" t="s">
        <v>48</v>
      </c>
      <c r="E167" s="11">
        <v>1</v>
      </c>
      <c r="F167" s="7">
        <f>TRUNC(119.0063,2)</f>
        <v>119</v>
      </c>
      <c r="G167" s="6">
        <f t="shared" si="8"/>
        <v>119</v>
      </c>
      <c r="H167" s="6"/>
      <c r="I167" s="7"/>
    </row>
    <row r="168" spans="1:9" ht="15">
      <c r="A168" s="8"/>
      <c r="B168" s="12" t="s">
        <v>848</v>
      </c>
      <c r="C168" s="200" t="s">
        <v>849</v>
      </c>
      <c r="D168" s="8" t="s">
        <v>48</v>
      </c>
      <c r="E168" s="11">
        <v>1</v>
      </c>
      <c r="F168" s="7">
        <f>TRUNC(78.9957,2)</f>
        <v>78.99</v>
      </c>
      <c r="G168" s="6">
        <f t="shared" si="8"/>
        <v>78.99</v>
      </c>
      <c r="H168" s="6"/>
      <c r="I168" s="7"/>
    </row>
    <row r="169" spans="1:9" ht="15">
      <c r="A169" s="8"/>
      <c r="B169" s="12"/>
      <c r="C169" s="200"/>
      <c r="D169" s="8"/>
      <c r="E169" s="11" t="s">
        <v>33</v>
      </c>
      <c r="F169" s="7"/>
      <c r="G169" s="6">
        <f>TRUNC(SUM(G164:G168),2)</f>
        <v>614.09</v>
      </c>
      <c r="H169" s="6"/>
      <c r="I169" s="7"/>
    </row>
    <row r="170" spans="1:9" s="195" customFormat="1" ht="30">
      <c r="A170" s="106" t="s">
        <v>1332</v>
      </c>
      <c r="B170" s="107" t="s">
        <v>860</v>
      </c>
      <c r="C170" s="204" t="s">
        <v>861</v>
      </c>
      <c r="D170" s="113" t="s">
        <v>44</v>
      </c>
      <c r="E170" s="113">
        <v>28.41</v>
      </c>
      <c r="F170" s="108">
        <f>TRUNC(F171,2)</f>
        <v>16.23</v>
      </c>
      <c r="G170" s="108">
        <f>TRUNC(F170*1.2882,2)</f>
        <v>20.9</v>
      </c>
      <c r="H170" s="108">
        <f>TRUNC(F170*E170,2)</f>
        <v>461.09</v>
      </c>
      <c r="I170" s="109">
        <f>TRUNC(E170*G170,2)</f>
        <v>593.76</v>
      </c>
    </row>
    <row r="171" spans="1:9" ht="30">
      <c r="A171" s="23"/>
      <c r="B171" s="24" t="s">
        <v>860</v>
      </c>
      <c r="C171" s="205" t="s">
        <v>861</v>
      </c>
      <c r="D171" s="25" t="s">
        <v>44</v>
      </c>
      <c r="E171" s="25">
        <v>1</v>
      </c>
      <c r="F171" s="25">
        <f>G177</f>
        <v>16.23</v>
      </c>
      <c r="G171" s="25">
        <f aca="true" t="shared" si="9" ref="G171:G176">TRUNC(E171*F171,2)</f>
        <v>16.23</v>
      </c>
      <c r="H171" s="25"/>
      <c r="I171" s="26"/>
    </row>
    <row r="172" spans="1:9" ht="15">
      <c r="A172" s="121"/>
      <c r="B172" s="119" t="s">
        <v>598</v>
      </c>
      <c r="C172" s="206" t="s">
        <v>599</v>
      </c>
      <c r="D172" s="120" t="s">
        <v>44</v>
      </c>
      <c r="E172" s="120">
        <v>0.025</v>
      </c>
      <c r="F172" s="120">
        <f>TRUNC(27.9,2)</f>
        <v>27.9</v>
      </c>
      <c r="G172" s="120">
        <f t="shared" si="9"/>
        <v>0.69</v>
      </c>
      <c r="H172" s="120"/>
      <c r="I172" s="122"/>
    </row>
    <row r="173" spans="1:9" ht="30">
      <c r="A173" s="121"/>
      <c r="B173" s="119" t="s">
        <v>862</v>
      </c>
      <c r="C173" s="206" t="s">
        <v>863</v>
      </c>
      <c r="D173" s="120" t="s">
        <v>7</v>
      </c>
      <c r="E173" s="120">
        <v>1.19</v>
      </c>
      <c r="F173" s="120">
        <f>TRUNC(0.22,2)</f>
        <v>0.22</v>
      </c>
      <c r="G173" s="120">
        <f t="shared" si="9"/>
        <v>0.26</v>
      </c>
      <c r="H173" s="120"/>
      <c r="I173" s="122"/>
    </row>
    <row r="174" spans="1:9" ht="15">
      <c r="A174" s="121"/>
      <c r="B174" s="119" t="s">
        <v>864</v>
      </c>
      <c r="C174" s="206" t="s">
        <v>865</v>
      </c>
      <c r="D174" s="120" t="s">
        <v>47</v>
      </c>
      <c r="E174" s="120">
        <v>0.1069</v>
      </c>
      <c r="F174" s="120">
        <f>TRUNC(29.12,2)</f>
        <v>29.12</v>
      </c>
      <c r="G174" s="120">
        <f t="shared" si="9"/>
        <v>3.11</v>
      </c>
      <c r="H174" s="120"/>
      <c r="I174" s="122"/>
    </row>
    <row r="175" spans="1:9" ht="15">
      <c r="A175" s="121"/>
      <c r="B175" s="119" t="s">
        <v>866</v>
      </c>
      <c r="C175" s="206" t="s">
        <v>867</v>
      </c>
      <c r="D175" s="120" t="s">
        <v>47</v>
      </c>
      <c r="E175" s="120">
        <v>0.0175</v>
      </c>
      <c r="F175" s="120">
        <f>TRUNC(23.42,2)</f>
        <v>23.42</v>
      </c>
      <c r="G175" s="120">
        <f t="shared" si="9"/>
        <v>0.4</v>
      </c>
      <c r="H175" s="120"/>
      <c r="I175" s="122"/>
    </row>
    <row r="176" spans="1:9" ht="15">
      <c r="A176" s="121"/>
      <c r="B176" s="119" t="s">
        <v>868</v>
      </c>
      <c r="C176" s="206" t="s">
        <v>869</v>
      </c>
      <c r="D176" s="120" t="s">
        <v>44</v>
      </c>
      <c r="E176" s="120">
        <v>1</v>
      </c>
      <c r="F176" s="120">
        <f>TRUNC(11.77,2)</f>
        <v>11.77</v>
      </c>
      <c r="G176" s="120">
        <f t="shared" si="9"/>
        <v>11.77</v>
      </c>
      <c r="H176" s="120"/>
      <c r="I176" s="122"/>
    </row>
    <row r="177" spans="1:9" ht="15">
      <c r="A177" s="123"/>
      <c r="B177" s="124"/>
      <c r="C177" s="207"/>
      <c r="D177" s="125"/>
      <c r="E177" s="125" t="s">
        <v>33</v>
      </c>
      <c r="F177" s="125"/>
      <c r="G177" s="125">
        <f>TRUNC(SUM(G172:G176),2)</f>
        <v>16.23</v>
      </c>
      <c r="H177" s="125"/>
      <c r="I177" s="126"/>
    </row>
    <row r="178" spans="1:9" ht="60">
      <c r="A178" s="114" t="s">
        <v>1333</v>
      </c>
      <c r="B178" s="127" t="s">
        <v>870</v>
      </c>
      <c r="C178" s="209" t="s">
        <v>871</v>
      </c>
      <c r="D178" s="114" t="s">
        <v>44</v>
      </c>
      <c r="E178" s="128">
        <v>615.43</v>
      </c>
      <c r="F178" s="118">
        <f>TRUNC(G179,2)</f>
        <v>7.84</v>
      </c>
      <c r="G178" s="118">
        <f>TRUNC(F178*1.2882,2)</f>
        <v>10.09</v>
      </c>
      <c r="H178" s="118">
        <f>TRUNC(F178*E178,2)</f>
        <v>4824.97</v>
      </c>
      <c r="I178" s="117">
        <f>TRUNC(E178*G178,2)</f>
        <v>6209.68</v>
      </c>
    </row>
    <row r="179" spans="1:9" ht="60">
      <c r="A179" s="8"/>
      <c r="B179" s="12" t="s">
        <v>870</v>
      </c>
      <c r="C179" s="200" t="s">
        <v>871</v>
      </c>
      <c r="D179" s="8" t="s">
        <v>44</v>
      </c>
      <c r="E179" s="11">
        <v>1</v>
      </c>
      <c r="F179" s="7">
        <f>G184</f>
        <v>7.84</v>
      </c>
      <c r="G179" s="7">
        <f>TRUNC(E179*F179,2)</f>
        <v>7.84</v>
      </c>
      <c r="H179" s="7"/>
      <c r="I179" s="11"/>
    </row>
    <row r="180" spans="1:9" ht="15">
      <c r="A180" s="8"/>
      <c r="B180" s="12" t="s">
        <v>872</v>
      </c>
      <c r="C180" s="200" t="s">
        <v>873</v>
      </c>
      <c r="D180" s="8" t="s">
        <v>44</v>
      </c>
      <c r="E180" s="11">
        <v>0.37</v>
      </c>
      <c r="F180" s="7">
        <f>TRUNC(6.2193,2)</f>
        <v>6.21</v>
      </c>
      <c r="G180" s="7">
        <f>TRUNC(E180*F180,2)</f>
        <v>2.29</v>
      </c>
      <c r="H180" s="7"/>
      <c r="I180" s="11"/>
    </row>
    <row r="181" spans="1:9" ht="15">
      <c r="A181" s="8"/>
      <c r="B181" s="12" t="s">
        <v>874</v>
      </c>
      <c r="C181" s="200" t="s">
        <v>875</v>
      </c>
      <c r="D181" s="8" t="s">
        <v>44</v>
      </c>
      <c r="E181" s="11">
        <v>0.37</v>
      </c>
      <c r="F181" s="7">
        <f>TRUNC(6.8509,2)</f>
        <v>6.85</v>
      </c>
      <c r="G181" s="7">
        <f>TRUNC(E181*F181,2)</f>
        <v>2.53</v>
      </c>
      <c r="H181" s="7"/>
      <c r="I181" s="11"/>
    </row>
    <row r="182" spans="1:9" ht="15">
      <c r="A182" s="8"/>
      <c r="B182" s="12" t="s">
        <v>876</v>
      </c>
      <c r="C182" s="200" t="s">
        <v>877</v>
      </c>
      <c r="D182" s="8" t="s">
        <v>44</v>
      </c>
      <c r="E182" s="11">
        <v>0.37</v>
      </c>
      <c r="F182" s="7">
        <f>TRUNC(7.1772,2)</f>
        <v>7.17</v>
      </c>
      <c r="G182" s="7">
        <f>TRUNC(E182*F182,2)</f>
        <v>2.65</v>
      </c>
      <c r="H182" s="7"/>
      <c r="I182" s="11"/>
    </row>
    <row r="183" spans="1:9" ht="15">
      <c r="A183" s="8"/>
      <c r="B183" s="12" t="s">
        <v>347</v>
      </c>
      <c r="C183" s="200" t="s">
        <v>348</v>
      </c>
      <c r="D183" s="8" t="s">
        <v>44</v>
      </c>
      <c r="E183" s="11">
        <v>0.03</v>
      </c>
      <c r="F183" s="7">
        <f>TRUNC(12.3723,2)</f>
        <v>12.37</v>
      </c>
      <c r="G183" s="7">
        <f>TRUNC(E183*F183,2)</f>
        <v>0.37</v>
      </c>
      <c r="H183" s="7"/>
      <c r="I183" s="11"/>
    </row>
    <row r="184" spans="1:9" ht="15">
      <c r="A184" s="8"/>
      <c r="B184" s="12"/>
      <c r="C184" s="200"/>
      <c r="D184" s="8"/>
      <c r="E184" s="11" t="s">
        <v>33</v>
      </c>
      <c r="F184" s="7"/>
      <c r="G184" s="7">
        <f>TRUNC(SUM(G180:G183),2)</f>
        <v>7.84</v>
      </c>
      <c r="H184" s="7"/>
      <c r="I184" s="11"/>
    </row>
    <row r="185" spans="1:9" ht="30">
      <c r="A185" s="103" t="s">
        <v>1334</v>
      </c>
      <c r="B185" s="110" t="s">
        <v>878</v>
      </c>
      <c r="C185" s="210" t="s">
        <v>879</v>
      </c>
      <c r="D185" s="103" t="s">
        <v>44</v>
      </c>
      <c r="E185" s="111">
        <v>615.43</v>
      </c>
      <c r="F185" s="101">
        <f>TRUNC(F186,2)</f>
        <v>4.08</v>
      </c>
      <c r="G185" s="101">
        <f>TRUNC(F185*1.2882,2)</f>
        <v>5.25</v>
      </c>
      <c r="H185" s="101">
        <f>TRUNC(F185*E185,2)</f>
        <v>2510.95</v>
      </c>
      <c r="I185" s="102">
        <f>TRUNC(E185*G185,2)</f>
        <v>3231</v>
      </c>
    </row>
    <row r="186" spans="1:9" ht="30">
      <c r="A186" s="8"/>
      <c r="B186" s="12" t="s">
        <v>878</v>
      </c>
      <c r="C186" s="200" t="s">
        <v>879</v>
      </c>
      <c r="D186" s="8" t="s">
        <v>44</v>
      </c>
      <c r="E186" s="11">
        <v>1</v>
      </c>
      <c r="F186" s="7">
        <f>G189</f>
        <v>4.08</v>
      </c>
      <c r="G186" s="7">
        <f>TRUNC(E186*F186,2)</f>
        <v>4.08</v>
      </c>
      <c r="H186" s="7"/>
      <c r="I186" s="11"/>
    </row>
    <row r="187" spans="1:9" ht="30">
      <c r="A187" s="8"/>
      <c r="B187" s="12" t="s">
        <v>45</v>
      </c>
      <c r="C187" s="200" t="s">
        <v>46</v>
      </c>
      <c r="D187" s="8" t="s">
        <v>47</v>
      </c>
      <c r="E187" s="11">
        <v>0.10815</v>
      </c>
      <c r="F187" s="7">
        <f>TRUNC(15.87,2)</f>
        <v>15.87</v>
      </c>
      <c r="G187" s="7">
        <f>TRUNC(E187*F187,2)</f>
        <v>1.71</v>
      </c>
      <c r="H187" s="7"/>
      <c r="I187" s="11"/>
    </row>
    <row r="188" spans="1:9" ht="30">
      <c r="A188" s="8"/>
      <c r="B188" s="12" t="s">
        <v>880</v>
      </c>
      <c r="C188" s="200" t="s">
        <v>881</v>
      </c>
      <c r="D188" s="8" t="s">
        <v>47</v>
      </c>
      <c r="E188" s="11">
        <v>0.10815</v>
      </c>
      <c r="F188" s="7">
        <f>TRUNC(21.96,2)</f>
        <v>21.96</v>
      </c>
      <c r="G188" s="7">
        <f>TRUNC(E188*F188,2)</f>
        <v>2.37</v>
      </c>
      <c r="H188" s="7"/>
      <c r="I188" s="11"/>
    </row>
    <row r="189" spans="1:9" ht="15">
      <c r="A189" s="8"/>
      <c r="B189" s="12"/>
      <c r="C189" s="200"/>
      <c r="D189" s="8"/>
      <c r="E189" s="11" t="s">
        <v>33</v>
      </c>
      <c r="F189" s="7"/>
      <c r="G189" s="7">
        <f>TRUNC(SUM(G187:G188),2)</f>
        <v>4.08</v>
      </c>
      <c r="H189" s="7"/>
      <c r="I189" s="11"/>
    </row>
    <row r="190" spans="1:9" ht="30">
      <c r="A190" s="114" t="s">
        <v>1335</v>
      </c>
      <c r="B190" s="127" t="s">
        <v>1098</v>
      </c>
      <c r="C190" s="209" t="s">
        <v>1099</v>
      </c>
      <c r="D190" s="114" t="s">
        <v>17</v>
      </c>
      <c r="E190" s="128">
        <v>210.5</v>
      </c>
      <c r="F190" s="118">
        <f>TRUNC(G191,2)</f>
        <v>196.57</v>
      </c>
      <c r="G190" s="118">
        <f>TRUNC(F190*1.2882,2)</f>
        <v>253.22</v>
      </c>
      <c r="H190" s="118">
        <f>TRUNC(F190*E190,2)</f>
        <v>41377.98</v>
      </c>
      <c r="I190" s="117">
        <f>TRUNC(E190*G190,2)</f>
        <v>53302.81</v>
      </c>
    </row>
    <row r="191" spans="1:9" ht="30">
      <c r="A191" s="8"/>
      <c r="B191" s="12" t="s">
        <v>1098</v>
      </c>
      <c r="C191" s="200" t="s">
        <v>1099</v>
      </c>
      <c r="D191" s="8" t="s">
        <v>17</v>
      </c>
      <c r="E191" s="11">
        <v>1</v>
      </c>
      <c r="F191" s="7">
        <f>G200</f>
        <v>196.57</v>
      </c>
      <c r="G191" s="7">
        <f aca="true" t="shared" si="10" ref="G191:G199">TRUNC(E191*F191,2)</f>
        <v>196.57</v>
      </c>
      <c r="H191" s="7"/>
      <c r="I191" s="11"/>
    </row>
    <row r="192" spans="1:9" ht="15">
      <c r="A192" s="8"/>
      <c r="B192" s="12" t="s">
        <v>1100</v>
      </c>
      <c r="C192" s="200" t="s">
        <v>1101</v>
      </c>
      <c r="D192" s="8" t="s">
        <v>44</v>
      </c>
      <c r="E192" s="11">
        <v>0.04</v>
      </c>
      <c r="F192" s="7">
        <f>TRUNC(33.52,2)</f>
        <v>33.52</v>
      </c>
      <c r="G192" s="7">
        <f t="shared" si="10"/>
        <v>1.34</v>
      </c>
      <c r="H192" s="7"/>
      <c r="I192" s="11"/>
    </row>
    <row r="193" spans="1:9" ht="30">
      <c r="A193" s="8"/>
      <c r="B193" s="12" t="s">
        <v>217</v>
      </c>
      <c r="C193" s="200" t="s">
        <v>218</v>
      </c>
      <c r="D193" s="8" t="s">
        <v>23</v>
      </c>
      <c r="E193" s="11">
        <v>1.87</v>
      </c>
      <c r="F193" s="7">
        <f>TRUNC(24.37,2)</f>
        <v>24.37</v>
      </c>
      <c r="G193" s="7">
        <f t="shared" si="10"/>
        <v>45.57</v>
      </c>
      <c r="H193" s="7"/>
      <c r="I193" s="11"/>
    </row>
    <row r="194" spans="1:9" ht="30">
      <c r="A194" s="8"/>
      <c r="B194" s="12" t="s">
        <v>1102</v>
      </c>
      <c r="C194" s="200" t="s">
        <v>1103</v>
      </c>
      <c r="D194" s="8" t="s">
        <v>17</v>
      </c>
      <c r="E194" s="11">
        <v>1</v>
      </c>
      <c r="F194" s="7">
        <f>TRUNC(59.72,2)</f>
        <v>59.72</v>
      </c>
      <c r="G194" s="7">
        <f t="shared" si="10"/>
        <v>59.72</v>
      </c>
      <c r="H194" s="7"/>
      <c r="I194" s="11"/>
    </row>
    <row r="195" spans="1:9" ht="15">
      <c r="A195" s="8"/>
      <c r="B195" s="12" t="s">
        <v>49</v>
      </c>
      <c r="C195" s="200" t="s">
        <v>50</v>
      </c>
      <c r="D195" s="8" t="s">
        <v>47</v>
      </c>
      <c r="E195" s="11">
        <v>0.354</v>
      </c>
      <c r="F195" s="7">
        <f>TRUNC(23.64,2)</f>
        <v>23.64</v>
      </c>
      <c r="G195" s="7">
        <f t="shared" si="10"/>
        <v>8.36</v>
      </c>
      <c r="H195" s="7"/>
      <c r="I195" s="11"/>
    </row>
    <row r="196" spans="1:9" ht="15">
      <c r="A196" s="8"/>
      <c r="B196" s="12" t="s">
        <v>1104</v>
      </c>
      <c r="C196" s="200" t="s">
        <v>1105</v>
      </c>
      <c r="D196" s="8" t="s">
        <v>47</v>
      </c>
      <c r="E196" s="11">
        <v>0.501</v>
      </c>
      <c r="F196" s="7">
        <f>TRUNC(29.55,2)</f>
        <v>29.55</v>
      </c>
      <c r="G196" s="7">
        <f t="shared" si="10"/>
        <v>14.8</v>
      </c>
      <c r="H196" s="7"/>
      <c r="I196" s="11"/>
    </row>
    <row r="197" spans="1:9" ht="30">
      <c r="A197" s="8"/>
      <c r="B197" s="12" t="s">
        <v>1106</v>
      </c>
      <c r="C197" s="200" t="s">
        <v>1107</v>
      </c>
      <c r="D197" s="8" t="s">
        <v>48</v>
      </c>
      <c r="E197" s="11">
        <v>0.054</v>
      </c>
      <c r="F197" s="7">
        <f>TRUNC(545.42,2)</f>
        <v>545.42</v>
      </c>
      <c r="G197" s="7">
        <f t="shared" si="10"/>
        <v>29.45</v>
      </c>
      <c r="H197" s="7"/>
      <c r="I197" s="11"/>
    </row>
    <row r="198" spans="1:9" ht="30">
      <c r="A198" s="8"/>
      <c r="B198" s="12" t="s">
        <v>1108</v>
      </c>
      <c r="C198" s="200" t="s">
        <v>1109</v>
      </c>
      <c r="D198" s="8" t="s">
        <v>44</v>
      </c>
      <c r="E198" s="11">
        <v>1.211</v>
      </c>
      <c r="F198" s="7">
        <f>TRUNC(17.69,2)</f>
        <v>17.69</v>
      </c>
      <c r="G198" s="7">
        <f t="shared" si="10"/>
        <v>21.42</v>
      </c>
      <c r="H198" s="7"/>
      <c r="I198" s="11"/>
    </row>
    <row r="199" spans="1:9" ht="30">
      <c r="A199" s="8"/>
      <c r="B199" s="12" t="s">
        <v>1110</v>
      </c>
      <c r="C199" s="200" t="s">
        <v>1111</v>
      </c>
      <c r="D199" s="8" t="s">
        <v>23</v>
      </c>
      <c r="E199" s="11">
        <v>0.97</v>
      </c>
      <c r="F199" s="7">
        <f>TRUNC(16.41,2)</f>
        <v>16.41</v>
      </c>
      <c r="G199" s="7">
        <f t="shared" si="10"/>
        <v>15.91</v>
      </c>
      <c r="H199" s="7"/>
      <c r="I199" s="11"/>
    </row>
    <row r="200" spans="1:9" ht="15">
      <c r="A200" s="8"/>
      <c r="B200" s="12"/>
      <c r="C200" s="200"/>
      <c r="D200" s="8"/>
      <c r="E200" s="11" t="s">
        <v>33</v>
      </c>
      <c r="F200" s="7"/>
      <c r="G200" s="7">
        <f>TRUNC(SUM(G192:G199),2)</f>
        <v>196.57</v>
      </c>
      <c r="H200" s="7"/>
      <c r="I200" s="11"/>
    </row>
    <row r="201" spans="1:9" ht="30">
      <c r="A201" s="103" t="s">
        <v>1336</v>
      </c>
      <c r="B201" s="110" t="s">
        <v>1112</v>
      </c>
      <c r="C201" s="210" t="s">
        <v>1113</v>
      </c>
      <c r="D201" s="103" t="s">
        <v>17</v>
      </c>
      <c r="E201" s="111">
        <v>210.5</v>
      </c>
      <c r="F201" s="101">
        <f>TRUNC(F202,2)</f>
        <v>193.14</v>
      </c>
      <c r="G201" s="101">
        <f>TRUNC(F201*1.2882,2)</f>
        <v>248.8</v>
      </c>
      <c r="H201" s="101">
        <f>TRUNC(F201*E201,2)</f>
        <v>40655.97</v>
      </c>
      <c r="I201" s="102">
        <f>TRUNC(E201*G201,2)</f>
        <v>52372.4</v>
      </c>
    </row>
    <row r="202" spans="1:9" ht="30">
      <c r="A202" s="8"/>
      <c r="B202" s="12" t="s">
        <v>1112</v>
      </c>
      <c r="C202" s="200" t="s">
        <v>1113</v>
      </c>
      <c r="D202" s="8" t="s">
        <v>17</v>
      </c>
      <c r="E202" s="11">
        <v>1</v>
      </c>
      <c r="F202" s="7">
        <f>G209</f>
        <v>193.14</v>
      </c>
      <c r="G202" s="7">
        <f aca="true" t="shared" si="11" ref="G202:G208">TRUNC(E202*F202,2)</f>
        <v>193.14</v>
      </c>
      <c r="H202" s="7"/>
      <c r="I202" s="11"/>
    </row>
    <row r="203" spans="1:9" ht="15">
      <c r="A203" s="8"/>
      <c r="B203" s="12" t="s">
        <v>1114</v>
      </c>
      <c r="C203" s="200" t="s">
        <v>1115</v>
      </c>
      <c r="D203" s="8" t="s">
        <v>44</v>
      </c>
      <c r="E203" s="11">
        <v>0.52</v>
      </c>
      <c r="F203" s="7">
        <f>TRUNC(7.43,2)</f>
        <v>7.43</v>
      </c>
      <c r="G203" s="7">
        <f t="shared" si="11"/>
        <v>3.86</v>
      </c>
      <c r="H203" s="7"/>
      <c r="I203" s="11"/>
    </row>
    <row r="204" spans="1:9" ht="30">
      <c r="A204" s="8"/>
      <c r="B204" s="12" t="s">
        <v>1116</v>
      </c>
      <c r="C204" s="200" t="s">
        <v>1117</v>
      </c>
      <c r="D204" s="8" t="s">
        <v>17</v>
      </c>
      <c r="E204" s="11">
        <v>1.125</v>
      </c>
      <c r="F204" s="7">
        <f>TRUNC(63.07,2)</f>
        <v>63.07</v>
      </c>
      <c r="G204" s="7">
        <f t="shared" si="11"/>
        <v>70.95</v>
      </c>
      <c r="H204" s="7"/>
      <c r="I204" s="11"/>
    </row>
    <row r="205" spans="1:9" ht="30">
      <c r="A205" s="8"/>
      <c r="B205" s="12" t="s">
        <v>1118</v>
      </c>
      <c r="C205" s="200" t="s">
        <v>1119</v>
      </c>
      <c r="D205" s="8" t="s">
        <v>17</v>
      </c>
      <c r="E205" s="11">
        <v>1.125</v>
      </c>
      <c r="F205" s="7">
        <f>TRUNC(51.36,2)</f>
        <v>51.36</v>
      </c>
      <c r="G205" s="7">
        <f t="shared" si="11"/>
        <v>57.78</v>
      </c>
      <c r="H205" s="7"/>
      <c r="I205" s="11"/>
    </row>
    <row r="206" spans="1:9" ht="30">
      <c r="A206" s="8"/>
      <c r="B206" s="12" t="s">
        <v>1120</v>
      </c>
      <c r="C206" s="200" t="s">
        <v>1121</v>
      </c>
      <c r="D206" s="8" t="s">
        <v>127</v>
      </c>
      <c r="E206" s="11">
        <v>0.615</v>
      </c>
      <c r="F206" s="7">
        <f>TRUNC(20.31,2)</f>
        <v>20.31</v>
      </c>
      <c r="G206" s="7">
        <f t="shared" si="11"/>
        <v>12.49</v>
      </c>
      <c r="H206" s="7"/>
      <c r="I206" s="11"/>
    </row>
    <row r="207" spans="1:9" ht="15">
      <c r="A207" s="8"/>
      <c r="B207" s="12" t="s">
        <v>855</v>
      </c>
      <c r="C207" s="200" t="s">
        <v>856</v>
      </c>
      <c r="D207" s="8" t="s">
        <v>47</v>
      </c>
      <c r="E207" s="11">
        <v>1.375</v>
      </c>
      <c r="F207" s="7">
        <f>TRUNC(30.04,2)</f>
        <v>30.04</v>
      </c>
      <c r="G207" s="7">
        <f t="shared" si="11"/>
        <v>41.3</v>
      </c>
      <c r="H207" s="7"/>
      <c r="I207" s="11"/>
    </row>
    <row r="208" spans="1:9" ht="15">
      <c r="A208" s="8"/>
      <c r="B208" s="12" t="s">
        <v>857</v>
      </c>
      <c r="C208" s="200" t="s">
        <v>858</v>
      </c>
      <c r="D208" s="8" t="s">
        <v>47</v>
      </c>
      <c r="E208" s="11">
        <v>0.278</v>
      </c>
      <c r="F208" s="7">
        <f>TRUNC(24.32,2)</f>
        <v>24.32</v>
      </c>
      <c r="G208" s="7">
        <f t="shared" si="11"/>
        <v>6.76</v>
      </c>
      <c r="H208" s="7"/>
      <c r="I208" s="11"/>
    </row>
    <row r="209" spans="1:9" ht="15">
      <c r="A209" s="8"/>
      <c r="B209" s="12"/>
      <c r="C209" s="200"/>
      <c r="D209" s="8"/>
      <c r="E209" s="11" t="s">
        <v>33</v>
      </c>
      <c r="F209" s="7"/>
      <c r="G209" s="7">
        <f>TRUNC(SUM(G203:G208),2)</f>
        <v>193.14</v>
      </c>
      <c r="H209" s="7"/>
      <c r="I209" s="11"/>
    </row>
    <row r="210" spans="1:9" s="240" customFormat="1" ht="15.75">
      <c r="A210" s="165" t="s">
        <v>943</v>
      </c>
      <c r="B210" s="166"/>
      <c r="C210" s="165" t="s">
        <v>982</v>
      </c>
      <c r="D210" s="167"/>
      <c r="E210" s="168"/>
      <c r="F210" s="169"/>
      <c r="G210" s="239"/>
      <c r="H210" s="239"/>
      <c r="I210" s="239"/>
    </row>
    <row r="211" spans="1:13" s="241" customFormat="1" ht="30">
      <c r="A211" s="170" t="s">
        <v>1337</v>
      </c>
      <c r="B211" s="170" t="s">
        <v>904</v>
      </c>
      <c r="C211" s="171" t="s">
        <v>885</v>
      </c>
      <c r="D211" s="170" t="s">
        <v>48</v>
      </c>
      <c r="E211" s="170">
        <v>190.13</v>
      </c>
      <c r="F211" s="172">
        <f>TRUNC(F212,2)</f>
        <v>6.82</v>
      </c>
      <c r="G211" s="172">
        <f>TRUNC(F211*1.2247,2)</f>
        <v>8.35</v>
      </c>
      <c r="H211" s="172">
        <f>E211*F211</f>
        <v>1296.6866</v>
      </c>
      <c r="I211" s="172">
        <f>TRUNC((E211*G211),2)</f>
        <v>1587.58</v>
      </c>
      <c r="J211" s="129"/>
      <c r="K211" s="129"/>
      <c r="L211" s="129"/>
      <c r="M211" s="129"/>
    </row>
    <row r="212" spans="1:9" s="240" customFormat="1" ht="30">
      <c r="A212" s="211"/>
      <c r="B212" s="212" t="s">
        <v>904</v>
      </c>
      <c r="C212" s="213" t="s">
        <v>885</v>
      </c>
      <c r="D212" s="212" t="s">
        <v>48</v>
      </c>
      <c r="E212" s="214">
        <v>1</v>
      </c>
      <c r="F212" s="215">
        <f>G216</f>
        <v>6.82</v>
      </c>
      <c r="G212" s="242">
        <f>TRUNC(E212*F212,2)</f>
        <v>6.82</v>
      </c>
      <c r="H212" s="242"/>
      <c r="I212" s="243"/>
    </row>
    <row r="213" spans="1:9" s="240" customFormat="1" ht="30">
      <c r="A213" s="211"/>
      <c r="B213" s="212" t="s">
        <v>45</v>
      </c>
      <c r="C213" s="213" t="s">
        <v>46</v>
      </c>
      <c r="D213" s="212" t="s">
        <v>47</v>
      </c>
      <c r="E213" s="214">
        <v>0.071428</v>
      </c>
      <c r="F213" s="215">
        <f>TRUNC(15.87,2)</f>
        <v>15.87</v>
      </c>
      <c r="G213" s="242">
        <f>TRUNC(E213*F213,2)</f>
        <v>1.13</v>
      </c>
      <c r="H213" s="242"/>
      <c r="I213" s="243"/>
    </row>
    <row r="214" spans="1:9" s="240" customFormat="1" ht="15">
      <c r="A214" s="211"/>
      <c r="B214" s="212" t="s">
        <v>905</v>
      </c>
      <c r="C214" s="213" t="s">
        <v>906</v>
      </c>
      <c r="D214" s="212" t="s">
        <v>47</v>
      </c>
      <c r="E214" s="214">
        <v>0.00476</v>
      </c>
      <c r="F214" s="215">
        <f>TRUNC(91.45,2)</f>
        <v>91.45</v>
      </c>
      <c r="G214" s="242">
        <f>TRUNC(E214*F214,2)</f>
        <v>0.43</v>
      </c>
      <c r="H214" s="242"/>
      <c r="I214" s="243"/>
    </row>
    <row r="215" spans="1:9" s="240" customFormat="1" ht="15">
      <c r="A215" s="211"/>
      <c r="B215" s="212" t="s">
        <v>907</v>
      </c>
      <c r="C215" s="213" t="s">
        <v>908</v>
      </c>
      <c r="D215" s="212" t="s">
        <v>47</v>
      </c>
      <c r="E215" s="214">
        <v>0.019</v>
      </c>
      <c r="F215" s="215">
        <f>TRUNC(277.3587,2)</f>
        <v>277.35</v>
      </c>
      <c r="G215" s="242">
        <f>TRUNC(E215*F215,2)</f>
        <v>5.26</v>
      </c>
      <c r="H215" s="242"/>
      <c r="I215" s="243"/>
    </row>
    <row r="216" spans="1:9" s="240" customFormat="1" ht="15">
      <c r="A216" s="211"/>
      <c r="B216" s="212"/>
      <c r="C216" s="213"/>
      <c r="D216" s="212"/>
      <c r="E216" s="214" t="s">
        <v>33</v>
      </c>
      <c r="F216" s="215"/>
      <c r="G216" s="242">
        <f>TRUNC(SUM(G213:G215),2)</f>
        <v>6.82</v>
      </c>
      <c r="H216" s="242"/>
      <c r="I216" s="243"/>
    </row>
    <row r="217" spans="1:13" s="241" customFormat="1" ht="30">
      <c r="A217" s="170" t="s">
        <v>1338</v>
      </c>
      <c r="B217" s="170" t="s">
        <v>976</v>
      </c>
      <c r="C217" s="171" t="s">
        <v>977</v>
      </c>
      <c r="D217" s="170" t="s">
        <v>23</v>
      </c>
      <c r="E217" s="173">
        <v>22</v>
      </c>
      <c r="F217" s="172">
        <f>TRUNC(F218,2)</f>
        <v>154.05</v>
      </c>
      <c r="G217" s="172">
        <f>TRUNC(F217*1.2247,2)</f>
        <v>188.66</v>
      </c>
      <c r="H217" s="172">
        <f>E217*F217</f>
        <v>3389.1000000000004</v>
      </c>
      <c r="I217" s="172">
        <f>TRUNC((E217*G217),2)</f>
        <v>4150.52</v>
      </c>
      <c r="J217" s="129"/>
      <c r="K217" s="129"/>
      <c r="L217" s="129"/>
      <c r="M217" s="129"/>
    </row>
    <row r="218" spans="1:9" s="256" customFormat="1" ht="30">
      <c r="A218" s="257"/>
      <c r="B218" s="212" t="s">
        <v>976</v>
      </c>
      <c r="C218" s="213" t="s">
        <v>977</v>
      </c>
      <c r="D218" s="212" t="s">
        <v>23</v>
      </c>
      <c r="E218" s="259">
        <v>1</v>
      </c>
      <c r="F218" s="260">
        <f>G224</f>
        <v>154.05</v>
      </c>
      <c r="G218" s="254">
        <f aca="true" t="shared" si="12" ref="G218:G223">TRUNC(E218*F218,2)</f>
        <v>154.05</v>
      </c>
      <c r="H218" s="254"/>
      <c r="I218" s="255"/>
    </row>
    <row r="219" spans="1:9" s="256" customFormat="1" ht="15">
      <c r="A219" s="257"/>
      <c r="B219" s="212" t="s">
        <v>49</v>
      </c>
      <c r="C219" s="213" t="s">
        <v>50</v>
      </c>
      <c r="D219" s="212" t="s">
        <v>47</v>
      </c>
      <c r="E219" s="259">
        <v>1.33</v>
      </c>
      <c r="F219" s="260">
        <f>TRUNC(23.64,2)</f>
        <v>23.64</v>
      </c>
      <c r="G219" s="254">
        <f t="shared" si="12"/>
        <v>31.44</v>
      </c>
      <c r="H219" s="254"/>
      <c r="I219" s="255"/>
    </row>
    <row r="220" spans="1:9" s="256" customFormat="1" ht="15">
      <c r="A220" s="257"/>
      <c r="B220" s="212" t="s">
        <v>51</v>
      </c>
      <c r="C220" s="213" t="s">
        <v>52</v>
      </c>
      <c r="D220" s="212" t="s">
        <v>47</v>
      </c>
      <c r="E220" s="259">
        <v>1.103</v>
      </c>
      <c r="F220" s="260">
        <f>TRUNC(29.95,2)</f>
        <v>29.95</v>
      </c>
      <c r="G220" s="254">
        <f t="shared" si="12"/>
        <v>33.03</v>
      </c>
      <c r="H220" s="254"/>
      <c r="I220" s="255"/>
    </row>
    <row r="221" spans="1:9" s="256" customFormat="1" ht="30">
      <c r="A221" s="257"/>
      <c r="B221" s="212" t="s">
        <v>978</v>
      </c>
      <c r="C221" s="213" t="s">
        <v>979</v>
      </c>
      <c r="D221" s="212" t="s">
        <v>44</v>
      </c>
      <c r="E221" s="259">
        <v>0.633</v>
      </c>
      <c r="F221" s="260">
        <f>TRUNC(18.16,2)</f>
        <v>18.16</v>
      </c>
      <c r="G221" s="254">
        <f t="shared" si="12"/>
        <v>11.49</v>
      </c>
      <c r="H221" s="254"/>
      <c r="I221" s="255"/>
    </row>
    <row r="222" spans="1:9" s="256" customFormat="1" ht="30">
      <c r="A222" s="257"/>
      <c r="B222" s="212" t="s">
        <v>980</v>
      </c>
      <c r="C222" s="213" t="s">
        <v>981</v>
      </c>
      <c r="D222" s="212" t="s">
        <v>44</v>
      </c>
      <c r="E222" s="259">
        <v>3.852</v>
      </c>
      <c r="F222" s="260">
        <f>TRUNC(10.68,2)</f>
        <v>10.68</v>
      </c>
      <c r="G222" s="254">
        <f t="shared" si="12"/>
        <v>41.13</v>
      </c>
      <c r="H222" s="254"/>
      <c r="I222" s="255"/>
    </row>
    <row r="223" spans="1:9" s="256" customFormat="1" ht="30">
      <c r="A223" s="257"/>
      <c r="B223" s="212" t="s">
        <v>231</v>
      </c>
      <c r="C223" s="213" t="s">
        <v>232</v>
      </c>
      <c r="D223" s="212" t="s">
        <v>48</v>
      </c>
      <c r="E223" s="259">
        <v>0.086</v>
      </c>
      <c r="F223" s="260">
        <f>TRUNC(429.84,2)</f>
        <v>429.84</v>
      </c>
      <c r="G223" s="254">
        <f t="shared" si="12"/>
        <v>36.96</v>
      </c>
      <c r="H223" s="254"/>
      <c r="I223" s="255"/>
    </row>
    <row r="224" spans="1:9" s="256" customFormat="1" ht="15">
      <c r="A224" s="257"/>
      <c r="B224" s="212"/>
      <c r="C224" s="213"/>
      <c r="D224" s="212"/>
      <c r="E224" s="259" t="s">
        <v>33</v>
      </c>
      <c r="F224" s="260"/>
      <c r="G224" s="254">
        <f>TRUNC(SUM(G219:G223),2)</f>
        <v>154.05</v>
      </c>
      <c r="H224" s="254"/>
      <c r="I224" s="255"/>
    </row>
    <row r="225" spans="1:13" s="246" customFormat="1" ht="45">
      <c r="A225" s="173" t="s">
        <v>1340</v>
      </c>
      <c r="B225" s="173" t="s">
        <v>1126</v>
      </c>
      <c r="C225" s="245" t="s">
        <v>1136</v>
      </c>
      <c r="D225" s="173" t="s">
        <v>17</v>
      </c>
      <c r="E225" s="173">
        <v>78</v>
      </c>
      <c r="F225" s="172">
        <f>TRUNC(G226,2)</f>
        <v>158.32</v>
      </c>
      <c r="G225" s="172">
        <f>TRUNC(F225*1.2247,2)</f>
        <v>193.89</v>
      </c>
      <c r="H225" s="172">
        <f>E225*F225</f>
        <v>12348.96</v>
      </c>
      <c r="I225" s="172">
        <f>TRUNC((E225*G225),2)</f>
        <v>15123.42</v>
      </c>
      <c r="J225" s="129"/>
      <c r="K225" s="129"/>
      <c r="L225" s="129"/>
      <c r="M225" s="129"/>
    </row>
    <row r="226" spans="1:9" s="256" customFormat="1" ht="30">
      <c r="A226" s="257"/>
      <c r="B226" s="212" t="s">
        <v>1126</v>
      </c>
      <c r="C226" s="213" t="s">
        <v>1127</v>
      </c>
      <c r="D226" s="212" t="s">
        <v>17</v>
      </c>
      <c r="E226" s="259">
        <f>15/8</f>
        <v>1.875</v>
      </c>
      <c r="F226" s="260">
        <f>TRUNC(84.449235,2)</f>
        <v>84.44</v>
      </c>
      <c r="G226" s="254">
        <f aca="true" t="shared" si="13" ref="G226:G235">TRUNC(E226*F226,2)</f>
        <v>158.32</v>
      </c>
      <c r="H226" s="254"/>
      <c r="I226" s="255"/>
    </row>
    <row r="227" spans="1:9" s="318" customFormat="1" ht="31.5">
      <c r="A227" s="311"/>
      <c r="B227" s="312" t="s">
        <v>1137</v>
      </c>
      <c r="C227" s="313" t="s">
        <v>1138</v>
      </c>
      <c r="D227" s="312" t="s">
        <v>48</v>
      </c>
      <c r="E227" s="314">
        <v>0.0985</v>
      </c>
      <c r="F227" s="315">
        <v>413.29</v>
      </c>
      <c r="G227" s="316">
        <f t="shared" si="13"/>
        <v>40.7</v>
      </c>
      <c r="H227" s="316"/>
      <c r="I227" s="317"/>
    </row>
    <row r="228" spans="1:9" s="256" customFormat="1" ht="30">
      <c r="A228" s="257"/>
      <c r="B228" s="212" t="s">
        <v>1128</v>
      </c>
      <c r="C228" s="213" t="s">
        <v>1129</v>
      </c>
      <c r="D228" s="212" t="s">
        <v>17</v>
      </c>
      <c r="E228" s="259">
        <v>1.0816</v>
      </c>
      <c r="F228" s="260">
        <f>TRUNC(29.73,2)</f>
        <v>29.73</v>
      </c>
      <c r="G228" s="254">
        <f t="shared" si="13"/>
        <v>32.15</v>
      </c>
      <c r="H228" s="254"/>
      <c r="I228" s="255"/>
    </row>
    <row r="229" spans="1:9" s="256" customFormat="1" ht="15">
      <c r="A229" s="257"/>
      <c r="B229" s="212" t="s">
        <v>1130</v>
      </c>
      <c r="C229" s="213" t="s">
        <v>1131</v>
      </c>
      <c r="D229" s="212" t="s">
        <v>44</v>
      </c>
      <c r="E229" s="259">
        <v>0.024</v>
      </c>
      <c r="F229" s="260">
        <f>TRUNC(27.16,2)</f>
        <v>27.16</v>
      </c>
      <c r="G229" s="254">
        <f t="shared" si="13"/>
        <v>0.65</v>
      </c>
      <c r="H229" s="254"/>
      <c r="I229" s="255"/>
    </row>
    <row r="230" spans="1:9" s="256" customFormat="1" ht="15">
      <c r="A230" s="257"/>
      <c r="B230" s="212" t="s">
        <v>84</v>
      </c>
      <c r="C230" s="213" t="s">
        <v>85</v>
      </c>
      <c r="D230" s="212" t="s">
        <v>23</v>
      </c>
      <c r="E230" s="259">
        <v>0.2</v>
      </c>
      <c r="F230" s="260">
        <f>TRUNC(3.04,2)</f>
        <v>3.04</v>
      </c>
      <c r="G230" s="254">
        <f t="shared" si="13"/>
        <v>0.6</v>
      </c>
      <c r="H230" s="254"/>
      <c r="I230" s="255"/>
    </row>
    <row r="231" spans="1:9" s="256" customFormat="1" ht="15">
      <c r="A231" s="257"/>
      <c r="B231" s="212" t="s">
        <v>1132</v>
      </c>
      <c r="C231" s="213" t="s">
        <v>1133</v>
      </c>
      <c r="D231" s="212" t="s">
        <v>23</v>
      </c>
      <c r="E231" s="259">
        <v>0.25</v>
      </c>
      <c r="F231" s="260">
        <f>TRUNC(4.4,2)</f>
        <v>4.4</v>
      </c>
      <c r="G231" s="254">
        <f t="shared" si="13"/>
        <v>1.1</v>
      </c>
      <c r="H231" s="254"/>
      <c r="I231" s="255"/>
    </row>
    <row r="232" spans="1:9" s="256" customFormat="1" ht="30">
      <c r="A232" s="257"/>
      <c r="B232" s="212" t="s">
        <v>223</v>
      </c>
      <c r="C232" s="213" t="s">
        <v>224</v>
      </c>
      <c r="D232" s="212" t="s">
        <v>127</v>
      </c>
      <c r="E232" s="259">
        <v>0.0017</v>
      </c>
      <c r="F232" s="260">
        <f>TRUNC(6.34,2)</f>
        <v>6.34</v>
      </c>
      <c r="G232" s="254">
        <f t="shared" si="13"/>
        <v>0.01</v>
      </c>
      <c r="H232" s="254"/>
      <c r="I232" s="255"/>
    </row>
    <row r="233" spans="1:9" s="256" customFormat="1" ht="15">
      <c r="A233" s="257"/>
      <c r="B233" s="212" t="s">
        <v>49</v>
      </c>
      <c r="C233" s="213" t="s">
        <v>50</v>
      </c>
      <c r="D233" s="212" t="s">
        <v>47</v>
      </c>
      <c r="E233" s="259">
        <v>0.2176</v>
      </c>
      <c r="F233" s="260">
        <f>TRUNC(23.64,2)</f>
        <v>23.64</v>
      </c>
      <c r="G233" s="254">
        <f t="shared" si="13"/>
        <v>5.14</v>
      </c>
      <c r="H233" s="254"/>
      <c r="I233" s="255"/>
    </row>
    <row r="234" spans="1:9" s="256" customFormat="1" ht="15">
      <c r="A234" s="257"/>
      <c r="B234" s="212" t="s">
        <v>51</v>
      </c>
      <c r="C234" s="213" t="s">
        <v>52</v>
      </c>
      <c r="D234" s="212" t="s">
        <v>47</v>
      </c>
      <c r="E234" s="259">
        <v>0.0874</v>
      </c>
      <c r="F234" s="260">
        <f>TRUNC(29.95,2)</f>
        <v>29.95</v>
      </c>
      <c r="G234" s="254">
        <f t="shared" si="13"/>
        <v>2.61</v>
      </c>
      <c r="H234" s="254"/>
      <c r="I234" s="255"/>
    </row>
    <row r="235" spans="1:9" s="256" customFormat="1" ht="15">
      <c r="A235" s="257"/>
      <c r="B235" s="212" t="s">
        <v>1104</v>
      </c>
      <c r="C235" s="213" t="s">
        <v>1105</v>
      </c>
      <c r="D235" s="212" t="s">
        <v>47</v>
      </c>
      <c r="E235" s="259">
        <v>0.1301</v>
      </c>
      <c r="F235" s="260">
        <f>TRUNC(29.55,2)</f>
        <v>29.55</v>
      </c>
      <c r="G235" s="254">
        <f t="shared" si="13"/>
        <v>3.84</v>
      </c>
      <c r="H235" s="254"/>
      <c r="I235" s="255"/>
    </row>
    <row r="236" spans="1:9" s="256" customFormat="1" ht="15">
      <c r="A236" s="257"/>
      <c r="B236" s="212"/>
      <c r="C236" s="213"/>
      <c r="D236" s="212"/>
      <c r="E236" s="259" t="s">
        <v>33</v>
      </c>
      <c r="F236" s="260"/>
      <c r="G236" s="254">
        <f>TRUNC(SUM(G227:G235),2)</f>
        <v>86.8</v>
      </c>
      <c r="H236" s="254"/>
      <c r="I236" s="255"/>
    </row>
    <row r="237" spans="1:13" s="246" customFormat="1" ht="45">
      <c r="A237" s="173" t="s">
        <v>1341</v>
      </c>
      <c r="B237" s="173" t="s">
        <v>1126</v>
      </c>
      <c r="C237" s="245" t="s">
        <v>1139</v>
      </c>
      <c r="D237" s="173" t="s">
        <v>17</v>
      </c>
      <c r="E237" s="173">
        <v>19.5</v>
      </c>
      <c r="F237" s="172">
        <f>TRUNC(G238,2)</f>
        <v>105.55</v>
      </c>
      <c r="G237" s="172">
        <f>TRUNC(F237*1.2247,2)</f>
        <v>129.26</v>
      </c>
      <c r="H237" s="172">
        <f>E237*F237</f>
        <v>2058.225</v>
      </c>
      <c r="I237" s="172">
        <f>TRUNC((E237*G237),2)</f>
        <v>2520.57</v>
      </c>
      <c r="J237" s="129"/>
      <c r="K237" s="129"/>
      <c r="L237" s="129"/>
      <c r="M237" s="129"/>
    </row>
    <row r="238" spans="1:9" s="256" customFormat="1" ht="30">
      <c r="A238" s="257"/>
      <c r="B238" s="212" t="s">
        <v>1126</v>
      </c>
      <c r="C238" s="213" t="s">
        <v>1127</v>
      </c>
      <c r="D238" s="212" t="s">
        <v>17</v>
      </c>
      <c r="E238" s="259">
        <f>10/8</f>
        <v>1.25</v>
      </c>
      <c r="F238" s="260">
        <f>TRUNC(84.449235,2)</f>
        <v>84.44</v>
      </c>
      <c r="G238" s="254">
        <f aca="true" t="shared" si="14" ref="G238:G247">TRUNC(E238*F238,2)</f>
        <v>105.55</v>
      </c>
      <c r="H238" s="254"/>
      <c r="I238" s="255"/>
    </row>
    <row r="239" spans="1:9" s="318" customFormat="1" ht="31.5">
      <c r="A239" s="311"/>
      <c r="B239" s="312" t="s">
        <v>1134</v>
      </c>
      <c r="C239" s="313" t="s">
        <v>1135</v>
      </c>
      <c r="D239" s="312" t="s">
        <v>48</v>
      </c>
      <c r="E239" s="314">
        <v>0.0985</v>
      </c>
      <c r="F239" s="315">
        <v>399.96</v>
      </c>
      <c r="G239" s="316">
        <f t="shared" si="14"/>
        <v>39.39</v>
      </c>
      <c r="H239" s="316"/>
      <c r="I239" s="317"/>
    </row>
    <row r="240" spans="1:9" s="256" customFormat="1" ht="30">
      <c r="A240" s="257"/>
      <c r="B240" s="212" t="s">
        <v>1128</v>
      </c>
      <c r="C240" s="213" t="s">
        <v>1129</v>
      </c>
      <c r="D240" s="212" t="s">
        <v>17</v>
      </c>
      <c r="E240" s="259">
        <v>1.0816</v>
      </c>
      <c r="F240" s="260">
        <f>TRUNC(29.73,2)</f>
        <v>29.73</v>
      </c>
      <c r="G240" s="254">
        <f t="shared" si="14"/>
        <v>32.15</v>
      </c>
      <c r="H240" s="254"/>
      <c r="I240" s="255"/>
    </row>
    <row r="241" spans="1:9" s="256" customFormat="1" ht="15">
      <c r="A241" s="257"/>
      <c r="B241" s="212" t="s">
        <v>1130</v>
      </c>
      <c r="C241" s="213" t="s">
        <v>1131</v>
      </c>
      <c r="D241" s="212" t="s">
        <v>44</v>
      </c>
      <c r="E241" s="259">
        <v>0.024</v>
      </c>
      <c r="F241" s="260">
        <f>TRUNC(27.16,2)</f>
        <v>27.16</v>
      </c>
      <c r="G241" s="254">
        <f t="shared" si="14"/>
        <v>0.65</v>
      </c>
      <c r="H241" s="254"/>
      <c r="I241" s="255"/>
    </row>
    <row r="242" spans="1:9" s="256" customFormat="1" ht="15">
      <c r="A242" s="257"/>
      <c r="B242" s="212" t="s">
        <v>84</v>
      </c>
      <c r="C242" s="213" t="s">
        <v>85</v>
      </c>
      <c r="D242" s="212" t="s">
        <v>23</v>
      </c>
      <c r="E242" s="259">
        <v>0.2</v>
      </c>
      <c r="F242" s="260">
        <f>TRUNC(3.04,2)</f>
        <v>3.04</v>
      </c>
      <c r="G242" s="254">
        <f t="shared" si="14"/>
        <v>0.6</v>
      </c>
      <c r="H242" s="254"/>
      <c r="I242" s="255"/>
    </row>
    <row r="243" spans="1:9" s="256" customFormat="1" ht="15">
      <c r="A243" s="257"/>
      <c r="B243" s="212" t="s">
        <v>1132</v>
      </c>
      <c r="C243" s="213" t="s">
        <v>1133</v>
      </c>
      <c r="D243" s="212" t="s">
        <v>23</v>
      </c>
      <c r="E243" s="259">
        <v>0.25</v>
      </c>
      <c r="F243" s="260">
        <f>TRUNC(4.4,2)</f>
        <v>4.4</v>
      </c>
      <c r="G243" s="254">
        <f t="shared" si="14"/>
        <v>1.1</v>
      </c>
      <c r="H243" s="254"/>
      <c r="I243" s="255"/>
    </row>
    <row r="244" spans="1:9" s="256" customFormat="1" ht="30">
      <c r="A244" s="257"/>
      <c r="B244" s="212" t="s">
        <v>223</v>
      </c>
      <c r="C244" s="213" t="s">
        <v>224</v>
      </c>
      <c r="D244" s="212" t="s">
        <v>127</v>
      </c>
      <c r="E244" s="259">
        <v>0.0017</v>
      </c>
      <c r="F244" s="260">
        <f>TRUNC(6.34,2)</f>
        <v>6.34</v>
      </c>
      <c r="G244" s="254">
        <f t="shared" si="14"/>
        <v>0.01</v>
      </c>
      <c r="H244" s="254"/>
      <c r="I244" s="255"/>
    </row>
    <row r="245" spans="1:9" s="256" customFormat="1" ht="15">
      <c r="A245" s="257"/>
      <c r="B245" s="212" t="s">
        <v>49</v>
      </c>
      <c r="C245" s="213" t="s">
        <v>50</v>
      </c>
      <c r="D245" s="212" t="s">
        <v>47</v>
      </c>
      <c r="E245" s="259">
        <v>0.2176</v>
      </c>
      <c r="F245" s="260">
        <f>TRUNC(23.64,2)</f>
        <v>23.64</v>
      </c>
      <c r="G245" s="254">
        <f t="shared" si="14"/>
        <v>5.14</v>
      </c>
      <c r="H245" s="254"/>
      <c r="I245" s="255"/>
    </row>
    <row r="246" spans="1:9" s="256" customFormat="1" ht="15">
      <c r="A246" s="257"/>
      <c r="B246" s="212" t="s">
        <v>51</v>
      </c>
      <c r="C246" s="213" t="s">
        <v>52</v>
      </c>
      <c r="D246" s="212" t="s">
        <v>47</v>
      </c>
      <c r="E246" s="259">
        <v>0.0874</v>
      </c>
      <c r="F246" s="260">
        <f>TRUNC(29.95,2)</f>
        <v>29.95</v>
      </c>
      <c r="G246" s="254">
        <f t="shared" si="14"/>
        <v>2.61</v>
      </c>
      <c r="H246" s="254"/>
      <c r="I246" s="255"/>
    </row>
    <row r="247" spans="1:9" s="256" customFormat="1" ht="15">
      <c r="A247" s="257"/>
      <c r="B247" s="212" t="s">
        <v>1104</v>
      </c>
      <c r="C247" s="213" t="s">
        <v>1105</v>
      </c>
      <c r="D247" s="212" t="s">
        <v>47</v>
      </c>
      <c r="E247" s="259">
        <v>0.1301</v>
      </c>
      <c r="F247" s="260">
        <f>TRUNC(29.55,2)</f>
        <v>29.55</v>
      </c>
      <c r="G247" s="254">
        <f t="shared" si="14"/>
        <v>3.84</v>
      </c>
      <c r="H247" s="254"/>
      <c r="I247" s="255"/>
    </row>
    <row r="248" spans="1:9" s="256" customFormat="1" ht="15">
      <c r="A248" s="257"/>
      <c r="B248" s="212"/>
      <c r="C248" s="213"/>
      <c r="D248" s="212"/>
      <c r="E248" s="259" t="s">
        <v>33</v>
      </c>
      <c r="F248" s="260"/>
      <c r="G248" s="254">
        <f>TRUNC(SUM(G239:G247),2)</f>
        <v>85.49</v>
      </c>
      <c r="H248" s="254"/>
      <c r="I248" s="255"/>
    </row>
    <row r="249" spans="1:13" s="246" customFormat="1" ht="15">
      <c r="A249" s="173" t="s">
        <v>1342</v>
      </c>
      <c r="B249" s="173" t="s">
        <v>1146</v>
      </c>
      <c r="C249" s="245" t="s">
        <v>1145</v>
      </c>
      <c r="D249" s="173" t="s">
        <v>17</v>
      </c>
      <c r="E249" s="173">
        <v>19.5</v>
      </c>
      <c r="F249" s="172">
        <f>TRUNC(G250,2)</f>
        <v>19.61</v>
      </c>
      <c r="G249" s="172">
        <f>TRUNC(F249*1.2247,2)</f>
        <v>24.01</v>
      </c>
      <c r="H249" s="172">
        <f>E249*F249</f>
        <v>382.395</v>
      </c>
      <c r="I249" s="172">
        <f>TRUNC((E249*G249),2)</f>
        <v>468.19</v>
      </c>
      <c r="J249" s="129"/>
      <c r="K249" s="129"/>
      <c r="L249" s="129"/>
      <c r="M249" s="129"/>
    </row>
    <row r="250" spans="1:9" s="256" customFormat="1" ht="15.75">
      <c r="A250" s="257"/>
      <c r="B250" s="212" t="s">
        <v>1141</v>
      </c>
      <c r="C250" s="213" t="s">
        <v>1142</v>
      </c>
      <c r="D250" s="212" t="s">
        <v>17</v>
      </c>
      <c r="E250" s="259">
        <f>5/3</f>
        <v>1.6666666666666667</v>
      </c>
      <c r="F250" s="260">
        <f>TRUNC(11.7761025,2)</f>
        <v>11.77</v>
      </c>
      <c r="G250" s="316">
        <f>TRUNC(E250*F250,2)</f>
        <v>19.61</v>
      </c>
      <c r="H250" s="254"/>
      <c r="I250" s="255"/>
    </row>
    <row r="251" spans="1:9" s="256" customFormat="1" ht="15">
      <c r="A251" s="257"/>
      <c r="B251" s="212" t="s">
        <v>1143</v>
      </c>
      <c r="C251" s="213" t="s">
        <v>1144</v>
      </c>
      <c r="D251" s="212" t="s">
        <v>136</v>
      </c>
      <c r="E251" s="259">
        <v>0.05808</v>
      </c>
      <c r="F251" s="260">
        <f>TRUNC(55,2)</f>
        <v>55</v>
      </c>
      <c r="G251" s="254">
        <f>TRUNC(E251*F251,2)</f>
        <v>3.19</v>
      </c>
      <c r="H251" s="254"/>
      <c r="I251" s="255"/>
    </row>
    <row r="252" spans="1:9" s="256" customFormat="1" ht="30">
      <c r="A252" s="257"/>
      <c r="B252" s="212" t="s">
        <v>45</v>
      </c>
      <c r="C252" s="213" t="s">
        <v>46</v>
      </c>
      <c r="D252" s="212" t="s">
        <v>47</v>
      </c>
      <c r="E252" s="259">
        <v>0.5407500000000001</v>
      </c>
      <c r="F252" s="260">
        <f>TRUNC(15.87,2)</f>
        <v>15.87</v>
      </c>
      <c r="G252" s="254">
        <f>TRUNC(E252*F252,2)</f>
        <v>8.58</v>
      </c>
      <c r="H252" s="254"/>
      <c r="I252" s="255"/>
    </row>
    <row r="253" spans="1:9" s="256" customFormat="1" ht="15">
      <c r="A253" s="257"/>
      <c r="B253" s="212"/>
      <c r="C253" s="213"/>
      <c r="D253" s="212"/>
      <c r="E253" s="259" t="s">
        <v>33</v>
      </c>
      <c r="F253" s="260"/>
      <c r="G253" s="254">
        <f>TRUNC(SUM(G251:G252),2)</f>
        <v>11.77</v>
      </c>
      <c r="H253" s="254"/>
      <c r="I253" s="255"/>
    </row>
    <row r="254" spans="1:13" s="246" customFormat="1" ht="45">
      <c r="A254" s="173" t="s">
        <v>1343</v>
      </c>
      <c r="B254" s="173" t="s">
        <v>1126</v>
      </c>
      <c r="C254" s="245" t="s">
        <v>1140</v>
      </c>
      <c r="D254" s="173" t="s">
        <v>17</v>
      </c>
      <c r="E254" s="173">
        <v>19.5</v>
      </c>
      <c r="F254" s="172">
        <f>TRUNC(G255,2)</f>
        <v>84.44</v>
      </c>
      <c r="G254" s="172">
        <f>TRUNC(F254*1.2247,2)</f>
        <v>103.41</v>
      </c>
      <c r="H254" s="172">
        <f>E254*F254</f>
        <v>1646.58</v>
      </c>
      <c r="I254" s="172">
        <f>TRUNC((E254*G254),2)</f>
        <v>2016.49</v>
      </c>
      <c r="J254" s="129"/>
      <c r="K254" s="129"/>
      <c r="L254" s="129"/>
      <c r="M254" s="129"/>
    </row>
    <row r="255" spans="1:9" s="256" customFormat="1" ht="30">
      <c r="A255" s="257"/>
      <c r="B255" s="212" t="s">
        <v>1126</v>
      </c>
      <c r="C255" s="213" t="s">
        <v>1127</v>
      </c>
      <c r="D255" s="212" t="s">
        <v>17</v>
      </c>
      <c r="E255" s="259">
        <v>1</v>
      </c>
      <c r="F255" s="260">
        <f>TRUNC(84.449235,2)</f>
        <v>84.44</v>
      </c>
      <c r="G255" s="254">
        <f aca="true" t="shared" si="15" ref="G255:G264">TRUNC(E255*F255,2)</f>
        <v>84.44</v>
      </c>
      <c r="H255" s="254"/>
      <c r="I255" s="255"/>
    </row>
    <row r="256" spans="1:9" s="256" customFormat="1" ht="30">
      <c r="A256" s="257"/>
      <c r="B256" s="212" t="s">
        <v>918</v>
      </c>
      <c r="C256" s="213" t="s">
        <v>901</v>
      </c>
      <c r="D256" s="212" t="s">
        <v>48</v>
      </c>
      <c r="E256" s="259">
        <v>0.0985</v>
      </c>
      <c r="F256" s="260">
        <f>TRUNC(389,2)</f>
        <v>389</v>
      </c>
      <c r="G256" s="254">
        <f t="shared" si="15"/>
        <v>38.31</v>
      </c>
      <c r="H256" s="254"/>
      <c r="I256" s="255"/>
    </row>
    <row r="257" spans="1:9" s="256" customFormat="1" ht="30">
      <c r="A257" s="257"/>
      <c r="B257" s="212" t="s">
        <v>1128</v>
      </c>
      <c r="C257" s="213" t="s">
        <v>1129</v>
      </c>
      <c r="D257" s="212" t="s">
        <v>17</v>
      </c>
      <c r="E257" s="259">
        <v>1.0816</v>
      </c>
      <c r="F257" s="260">
        <f>TRUNC(29.73,2)</f>
        <v>29.73</v>
      </c>
      <c r="G257" s="254">
        <f t="shared" si="15"/>
        <v>32.15</v>
      </c>
      <c r="H257" s="254"/>
      <c r="I257" s="255"/>
    </row>
    <row r="258" spans="1:9" s="256" customFormat="1" ht="15">
      <c r="A258" s="257"/>
      <c r="B258" s="212" t="s">
        <v>1130</v>
      </c>
      <c r="C258" s="213" t="s">
        <v>1131</v>
      </c>
      <c r="D258" s="212" t="s">
        <v>44</v>
      </c>
      <c r="E258" s="259">
        <v>0.024</v>
      </c>
      <c r="F258" s="260">
        <f>TRUNC(27.16,2)</f>
        <v>27.16</v>
      </c>
      <c r="G258" s="254">
        <f t="shared" si="15"/>
        <v>0.65</v>
      </c>
      <c r="H258" s="254"/>
      <c r="I258" s="255"/>
    </row>
    <row r="259" spans="1:9" s="256" customFormat="1" ht="15">
      <c r="A259" s="257"/>
      <c r="B259" s="212" t="s">
        <v>84</v>
      </c>
      <c r="C259" s="213" t="s">
        <v>85</v>
      </c>
      <c r="D259" s="212" t="s">
        <v>23</v>
      </c>
      <c r="E259" s="259">
        <v>0.2</v>
      </c>
      <c r="F259" s="260">
        <f>TRUNC(3.04,2)</f>
        <v>3.04</v>
      </c>
      <c r="G259" s="254">
        <f t="shared" si="15"/>
        <v>0.6</v>
      </c>
      <c r="H259" s="254"/>
      <c r="I259" s="255"/>
    </row>
    <row r="260" spans="1:9" s="256" customFormat="1" ht="15">
      <c r="A260" s="257"/>
      <c r="B260" s="212" t="s">
        <v>1132</v>
      </c>
      <c r="C260" s="213" t="s">
        <v>1133</v>
      </c>
      <c r="D260" s="212" t="s">
        <v>23</v>
      </c>
      <c r="E260" s="259">
        <v>0.25</v>
      </c>
      <c r="F260" s="260">
        <f>TRUNC(4.4,2)</f>
        <v>4.4</v>
      </c>
      <c r="G260" s="254">
        <f t="shared" si="15"/>
        <v>1.1</v>
      </c>
      <c r="H260" s="254"/>
      <c r="I260" s="255"/>
    </row>
    <row r="261" spans="1:9" s="256" customFormat="1" ht="30">
      <c r="A261" s="257"/>
      <c r="B261" s="212" t="s">
        <v>223</v>
      </c>
      <c r="C261" s="213" t="s">
        <v>224</v>
      </c>
      <c r="D261" s="212" t="s">
        <v>127</v>
      </c>
      <c r="E261" s="259">
        <v>0.0017</v>
      </c>
      <c r="F261" s="260">
        <f>TRUNC(6.34,2)</f>
        <v>6.34</v>
      </c>
      <c r="G261" s="254">
        <f t="shared" si="15"/>
        <v>0.01</v>
      </c>
      <c r="H261" s="254"/>
      <c r="I261" s="255"/>
    </row>
    <row r="262" spans="1:9" s="256" customFormat="1" ht="15">
      <c r="A262" s="257"/>
      <c r="B262" s="212" t="s">
        <v>49</v>
      </c>
      <c r="C262" s="213" t="s">
        <v>50</v>
      </c>
      <c r="D262" s="212" t="s">
        <v>47</v>
      </c>
      <c r="E262" s="259">
        <v>0.2176</v>
      </c>
      <c r="F262" s="260">
        <f>TRUNC(23.64,2)</f>
        <v>23.64</v>
      </c>
      <c r="G262" s="254">
        <f t="shared" si="15"/>
        <v>5.14</v>
      </c>
      <c r="H262" s="254"/>
      <c r="I262" s="255"/>
    </row>
    <row r="263" spans="1:9" s="256" customFormat="1" ht="15">
      <c r="A263" s="257"/>
      <c r="B263" s="212" t="s">
        <v>51</v>
      </c>
      <c r="C263" s="213" t="s">
        <v>52</v>
      </c>
      <c r="D263" s="212" t="s">
        <v>47</v>
      </c>
      <c r="E263" s="259">
        <v>0.0874</v>
      </c>
      <c r="F263" s="260">
        <f>TRUNC(29.95,2)</f>
        <v>29.95</v>
      </c>
      <c r="G263" s="254">
        <f t="shared" si="15"/>
        <v>2.61</v>
      </c>
      <c r="H263" s="254"/>
      <c r="I263" s="255"/>
    </row>
    <row r="264" spans="1:9" s="256" customFormat="1" ht="15">
      <c r="A264" s="257"/>
      <c r="B264" s="212" t="s">
        <v>1104</v>
      </c>
      <c r="C264" s="213" t="s">
        <v>1105</v>
      </c>
      <c r="D264" s="212" t="s">
        <v>47</v>
      </c>
      <c r="E264" s="259">
        <v>0.1301</v>
      </c>
      <c r="F264" s="260">
        <f>TRUNC(29.55,2)</f>
        <v>29.55</v>
      </c>
      <c r="G264" s="254">
        <f t="shared" si="15"/>
        <v>3.84</v>
      </c>
      <c r="H264" s="254"/>
      <c r="I264" s="255"/>
    </row>
    <row r="265" spans="1:9" s="256" customFormat="1" ht="15">
      <c r="A265" s="257"/>
      <c r="B265" s="212"/>
      <c r="C265" s="213"/>
      <c r="D265" s="212"/>
      <c r="E265" s="259" t="s">
        <v>33</v>
      </c>
      <c r="F265" s="260"/>
      <c r="G265" s="254">
        <f>TRUNC(SUM(G256:G264),2)</f>
        <v>84.41</v>
      </c>
      <c r="H265" s="254"/>
      <c r="I265" s="255"/>
    </row>
    <row r="266" spans="1:9" ht="30">
      <c r="A266" s="103" t="s">
        <v>1344</v>
      </c>
      <c r="B266" s="110" t="s">
        <v>1112</v>
      </c>
      <c r="C266" s="210" t="s">
        <v>1113</v>
      </c>
      <c r="D266" s="103" t="s">
        <v>17</v>
      </c>
      <c r="E266" s="111">
        <v>78</v>
      </c>
      <c r="F266" s="101">
        <f>TRUNC(F267,2)</f>
        <v>193.14</v>
      </c>
      <c r="G266" s="101">
        <f>TRUNC(F266*1.2882,2)</f>
        <v>248.8</v>
      </c>
      <c r="H266" s="101">
        <f>TRUNC(F266*E266,2)</f>
        <v>15064.92</v>
      </c>
      <c r="I266" s="102">
        <f>TRUNC(E266*G266,2)</f>
        <v>19406.4</v>
      </c>
    </row>
    <row r="267" spans="1:9" ht="30">
      <c r="A267" s="8"/>
      <c r="B267" s="12" t="s">
        <v>1112</v>
      </c>
      <c r="C267" s="200" t="s">
        <v>1113</v>
      </c>
      <c r="D267" s="8" t="s">
        <v>17</v>
      </c>
      <c r="E267" s="11">
        <v>1</v>
      </c>
      <c r="F267" s="7">
        <f>G274</f>
        <v>193.14</v>
      </c>
      <c r="G267" s="7">
        <f aca="true" t="shared" si="16" ref="G267:G273">TRUNC(E267*F267,2)</f>
        <v>193.14</v>
      </c>
      <c r="H267" s="7"/>
      <c r="I267" s="11"/>
    </row>
    <row r="268" spans="1:9" ht="15">
      <c r="A268" s="8"/>
      <c r="B268" s="12" t="s">
        <v>1114</v>
      </c>
      <c r="C268" s="200" t="s">
        <v>1115</v>
      </c>
      <c r="D268" s="8" t="s">
        <v>44</v>
      </c>
      <c r="E268" s="11">
        <v>0.52</v>
      </c>
      <c r="F268" s="7">
        <f>TRUNC(7.43,2)</f>
        <v>7.43</v>
      </c>
      <c r="G268" s="7">
        <f t="shared" si="16"/>
        <v>3.86</v>
      </c>
      <c r="H268" s="7"/>
      <c r="I268" s="11"/>
    </row>
    <row r="269" spans="1:9" ht="30">
      <c r="A269" s="8"/>
      <c r="B269" s="12" t="s">
        <v>1116</v>
      </c>
      <c r="C269" s="200" t="s">
        <v>1117</v>
      </c>
      <c r="D269" s="8" t="s">
        <v>17</v>
      </c>
      <c r="E269" s="11">
        <v>1.125</v>
      </c>
      <c r="F269" s="7">
        <f>TRUNC(63.07,2)</f>
        <v>63.07</v>
      </c>
      <c r="G269" s="7">
        <f t="shared" si="16"/>
        <v>70.95</v>
      </c>
      <c r="H269" s="7"/>
      <c r="I269" s="11"/>
    </row>
    <row r="270" spans="1:9" ht="30">
      <c r="A270" s="8"/>
      <c r="B270" s="12" t="s">
        <v>1118</v>
      </c>
      <c r="C270" s="200" t="s">
        <v>1119</v>
      </c>
      <c r="D270" s="8" t="s">
        <v>17</v>
      </c>
      <c r="E270" s="11">
        <v>1.125</v>
      </c>
      <c r="F270" s="7">
        <f>TRUNC(51.36,2)</f>
        <v>51.36</v>
      </c>
      <c r="G270" s="7">
        <f t="shared" si="16"/>
        <v>57.78</v>
      </c>
      <c r="H270" s="7"/>
      <c r="I270" s="11"/>
    </row>
    <row r="271" spans="1:9" ht="30">
      <c r="A271" s="8"/>
      <c r="B271" s="12" t="s">
        <v>1120</v>
      </c>
      <c r="C271" s="200" t="s">
        <v>1121</v>
      </c>
      <c r="D271" s="8" t="s">
        <v>127</v>
      </c>
      <c r="E271" s="11">
        <v>0.615</v>
      </c>
      <c r="F271" s="7">
        <f>TRUNC(20.31,2)</f>
        <v>20.31</v>
      </c>
      <c r="G271" s="7">
        <f t="shared" si="16"/>
        <v>12.49</v>
      </c>
      <c r="H271" s="7"/>
      <c r="I271" s="11"/>
    </row>
    <row r="272" spans="1:9" ht="15">
      <c r="A272" s="8"/>
      <c r="B272" s="12" t="s">
        <v>855</v>
      </c>
      <c r="C272" s="200" t="s">
        <v>856</v>
      </c>
      <c r="D272" s="8" t="s">
        <v>47</v>
      </c>
      <c r="E272" s="11">
        <v>1.375</v>
      </c>
      <c r="F272" s="7">
        <f>TRUNC(30.04,2)</f>
        <v>30.04</v>
      </c>
      <c r="G272" s="7">
        <f t="shared" si="16"/>
        <v>41.3</v>
      </c>
      <c r="H272" s="7"/>
      <c r="I272" s="11"/>
    </row>
    <row r="273" spans="1:9" ht="15">
      <c r="A273" s="8"/>
      <c r="B273" s="12" t="s">
        <v>857</v>
      </c>
      <c r="C273" s="200" t="s">
        <v>858</v>
      </c>
      <c r="D273" s="8" t="s">
        <v>47</v>
      </c>
      <c r="E273" s="11">
        <v>0.278</v>
      </c>
      <c r="F273" s="7">
        <f>TRUNC(24.32,2)</f>
        <v>24.32</v>
      </c>
      <c r="G273" s="7">
        <f t="shared" si="16"/>
        <v>6.76</v>
      </c>
      <c r="H273" s="7"/>
      <c r="I273" s="11"/>
    </row>
    <row r="274" spans="1:9" ht="15">
      <c r="A274" s="8"/>
      <c r="B274" s="12"/>
      <c r="C274" s="200"/>
      <c r="D274" s="8"/>
      <c r="E274" s="11" t="s">
        <v>33</v>
      </c>
      <c r="F274" s="7"/>
      <c r="G274" s="7">
        <f>TRUNC(SUM(G268:G273),2)</f>
        <v>193.14</v>
      </c>
      <c r="H274" s="7"/>
      <c r="I274" s="11"/>
    </row>
    <row r="275" spans="1:13" s="246" customFormat="1" ht="90">
      <c r="A275" s="173" t="s">
        <v>1345</v>
      </c>
      <c r="B275" s="244" t="s">
        <v>887</v>
      </c>
      <c r="C275" s="245" t="s">
        <v>888</v>
      </c>
      <c r="D275" s="173" t="s">
        <v>48</v>
      </c>
      <c r="E275" s="173">
        <v>117</v>
      </c>
      <c r="F275" s="172">
        <f>TRUNC(F276,2)</f>
        <v>260.16</v>
      </c>
      <c r="G275" s="172">
        <f>TRUNC(F275*1.2247,2)</f>
        <v>318.61</v>
      </c>
      <c r="H275" s="172">
        <f>E275*F275</f>
        <v>30438.72</v>
      </c>
      <c r="I275" s="172">
        <f>TRUNC((E275*G275),2)</f>
        <v>37277.37</v>
      </c>
      <c r="J275" s="129"/>
      <c r="K275" s="129"/>
      <c r="L275" s="129"/>
      <c r="M275" s="129"/>
    </row>
    <row r="276" spans="1:9" s="256" customFormat="1" ht="15.75">
      <c r="A276" s="247"/>
      <c r="B276" s="248"/>
      <c r="C276" s="249" t="s">
        <v>889</v>
      </c>
      <c r="D276" s="250"/>
      <c r="E276" s="251"/>
      <c r="F276" s="252">
        <f>'RIP-RAP'!S49</f>
        <v>260.165</v>
      </c>
      <c r="G276" s="253"/>
      <c r="H276" s="254"/>
      <c r="I276" s="255"/>
    </row>
    <row r="277" spans="1:9" s="256" customFormat="1" ht="15">
      <c r="A277" s="257"/>
      <c r="B277" s="258"/>
      <c r="C277" s="213"/>
      <c r="D277" s="212"/>
      <c r="E277" s="259"/>
      <c r="F277" s="260"/>
      <c r="G277" s="254"/>
      <c r="H277" s="254"/>
      <c r="I277" s="255"/>
    </row>
    <row r="278" spans="1:13" s="241" customFormat="1" ht="30">
      <c r="A278" s="170" t="s">
        <v>1346</v>
      </c>
      <c r="B278" s="170" t="s">
        <v>955</v>
      </c>
      <c r="C278" s="171" t="s">
        <v>890</v>
      </c>
      <c r="D278" s="170" t="s">
        <v>23</v>
      </c>
      <c r="E278" s="173">
        <v>117</v>
      </c>
      <c r="F278" s="172">
        <f>TRUNC(F279,2)</f>
        <v>18.31</v>
      </c>
      <c r="G278" s="172">
        <f>TRUNC(F278*1.2247,2)</f>
        <v>22.42</v>
      </c>
      <c r="H278" s="172">
        <f>E278*F278</f>
        <v>2142.27</v>
      </c>
      <c r="I278" s="172">
        <f>TRUNC((E278*G278),2)</f>
        <v>2623.14</v>
      </c>
      <c r="J278" s="129"/>
      <c r="K278" s="129"/>
      <c r="L278" s="129"/>
      <c r="M278" s="129"/>
    </row>
    <row r="279" spans="1:9" s="240" customFormat="1" ht="30">
      <c r="A279" s="211"/>
      <c r="B279" s="212" t="s">
        <v>956</v>
      </c>
      <c r="C279" s="213" t="s">
        <v>890</v>
      </c>
      <c r="D279" s="212" t="s">
        <v>23</v>
      </c>
      <c r="E279" s="214">
        <v>1</v>
      </c>
      <c r="F279" s="215">
        <f>G283</f>
        <v>18.31</v>
      </c>
      <c r="G279" s="242">
        <f>TRUNC(E279*F279,2)</f>
        <v>18.31</v>
      </c>
      <c r="H279" s="242"/>
      <c r="I279" s="243"/>
    </row>
    <row r="280" spans="1:9" s="240" customFormat="1" ht="15">
      <c r="A280" s="211"/>
      <c r="B280" s="212" t="s">
        <v>891</v>
      </c>
      <c r="C280" s="213" t="s">
        <v>892</v>
      </c>
      <c r="D280" s="212" t="s">
        <v>136</v>
      </c>
      <c r="E280" s="214">
        <v>0.00145</v>
      </c>
      <c r="F280" s="215">
        <f>TRUNC(90.4,2)</f>
        <v>90.4</v>
      </c>
      <c r="G280" s="242">
        <f>TRUNC(E280*F280,2)</f>
        <v>0.13</v>
      </c>
      <c r="H280" s="242"/>
      <c r="I280" s="243"/>
    </row>
    <row r="281" spans="1:9" s="240" customFormat="1" ht="15">
      <c r="A281" s="211"/>
      <c r="B281" s="212" t="s">
        <v>189</v>
      </c>
      <c r="C281" s="213" t="s">
        <v>190</v>
      </c>
      <c r="D281" s="212" t="s">
        <v>7</v>
      </c>
      <c r="E281" s="214">
        <v>0.175</v>
      </c>
      <c r="F281" s="215">
        <f>TRUNC(57.2,2)</f>
        <v>57.2</v>
      </c>
      <c r="G281" s="242">
        <f>TRUNC(E281*F281,2)</f>
        <v>10.01</v>
      </c>
      <c r="H281" s="242"/>
      <c r="I281" s="243"/>
    </row>
    <row r="282" spans="1:9" s="240" customFormat="1" ht="30">
      <c r="A282" s="211"/>
      <c r="B282" s="212" t="s">
        <v>45</v>
      </c>
      <c r="C282" s="213" t="s">
        <v>46</v>
      </c>
      <c r="D282" s="212" t="s">
        <v>47</v>
      </c>
      <c r="E282" s="214">
        <v>0.515</v>
      </c>
      <c r="F282" s="215">
        <f>TRUNC(15.87,2)</f>
        <v>15.87</v>
      </c>
      <c r="G282" s="242">
        <f>TRUNC(E282*F282,2)</f>
        <v>8.17</v>
      </c>
      <c r="H282" s="242"/>
      <c r="I282" s="243"/>
    </row>
    <row r="283" spans="1:9" s="240" customFormat="1" ht="15">
      <c r="A283" s="211"/>
      <c r="B283" s="212"/>
      <c r="C283" s="213"/>
      <c r="D283" s="212"/>
      <c r="E283" s="214" t="s">
        <v>33</v>
      </c>
      <c r="F283" s="215"/>
      <c r="G283" s="242">
        <f>TRUNC(SUM(G280:G282),2)</f>
        <v>18.31</v>
      </c>
      <c r="H283" s="242"/>
      <c r="I283" s="243"/>
    </row>
    <row r="284" spans="1:13" s="241" customFormat="1" ht="30">
      <c r="A284" s="170" t="s">
        <v>1347</v>
      </c>
      <c r="B284" s="170" t="s">
        <v>1147</v>
      </c>
      <c r="C284" s="171" t="s">
        <v>1148</v>
      </c>
      <c r="D284" s="170" t="s">
        <v>48</v>
      </c>
      <c r="E284" s="173">
        <v>73.13</v>
      </c>
      <c r="F284" s="172">
        <f>TRUNC(F285,2)</f>
        <v>43.68</v>
      </c>
      <c r="G284" s="172">
        <f>TRUNC(F284*1.2247,2)</f>
        <v>53.49</v>
      </c>
      <c r="H284" s="172">
        <f>E284*F284</f>
        <v>3194.3183999999997</v>
      </c>
      <c r="I284" s="172">
        <f>TRUNC((E284*G284),2)</f>
        <v>3911.72</v>
      </c>
      <c r="J284" s="129"/>
      <c r="K284" s="129"/>
      <c r="L284" s="129"/>
      <c r="M284" s="129"/>
    </row>
    <row r="285" spans="1:9" s="240" customFormat="1" ht="30">
      <c r="A285" s="211"/>
      <c r="B285" s="212" t="s">
        <v>1147</v>
      </c>
      <c r="C285" s="213" t="s">
        <v>1148</v>
      </c>
      <c r="D285" s="212" t="s">
        <v>48</v>
      </c>
      <c r="E285" s="214">
        <v>1</v>
      </c>
      <c r="F285" s="215">
        <f>G291</f>
        <v>43.68</v>
      </c>
      <c r="G285" s="242">
        <f aca="true" t="shared" si="17" ref="G285:G290">TRUNC(E285*F285,2)</f>
        <v>43.68</v>
      </c>
      <c r="H285" s="242"/>
      <c r="I285" s="243"/>
    </row>
    <row r="286" spans="1:9" s="240" customFormat="1" ht="30">
      <c r="A286" s="211"/>
      <c r="B286" s="212" t="s">
        <v>1149</v>
      </c>
      <c r="C286" s="213" t="s">
        <v>1150</v>
      </c>
      <c r="D286" s="212" t="s">
        <v>47</v>
      </c>
      <c r="E286" s="214">
        <v>0.6695000000000001</v>
      </c>
      <c r="F286" s="215">
        <f>TRUNC(24.65,2)</f>
        <v>24.65</v>
      </c>
      <c r="G286" s="242">
        <f t="shared" si="17"/>
        <v>16.5</v>
      </c>
      <c r="H286" s="242"/>
      <c r="I286" s="243"/>
    </row>
    <row r="287" spans="1:9" s="240" customFormat="1" ht="15">
      <c r="A287" s="211"/>
      <c r="B287" s="212" t="s">
        <v>1151</v>
      </c>
      <c r="C287" s="213" t="s">
        <v>1152</v>
      </c>
      <c r="D287" s="212" t="s">
        <v>47</v>
      </c>
      <c r="E287" s="214">
        <v>0.12</v>
      </c>
      <c r="F287" s="215">
        <f>TRUNC(23.644,2)</f>
        <v>23.64</v>
      </c>
      <c r="G287" s="242">
        <f t="shared" si="17"/>
        <v>2.83</v>
      </c>
      <c r="H287" s="242"/>
      <c r="I287" s="243"/>
    </row>
    <row r="288" spans="1:9" s="240" customFormat="1" ht="15">
      <c r="A288" s="211"/>
      <c r="B288" s="212" t="s">
        <v>1153</v>
      </c>
      <c r="C288" s="213" t="s">
        <v>1154</v>
      </c>
      <c r="D288" s="212" t="s">
        <v>47</v>
      </c>
      <c r="E288" s="214">
        <v>0.2</v>
      </c>
      <c r="F288" s="215">
        <f>TRUNC(113.0149,2)</f>
        <v>113.01</v>
      </c>
      <c r="G288" s="242">
        <f t="shared" si="17"/>
        <v>22.6</v>
      </c>
      <c r="H288" s="242"/>
      <c r="I288" s="243"/>
    </row>
    <row r="289" spans="1:9" s="240" customFormat="1" ht="15">
      <c r="A289" s="211"/>
      <c r="B289" s="212" t="s">
        <v>1155</v>
      </c>
      <c r="C289" s="213" t="s">
        <v>1156</v>
      </c>
      <c r="D289" s="212" t="s">
        <v>47</v>
      </c>
      <c r="E289" s="214">
        <v>0.25</v>
      </c>
      <c r="F289" s="215">
        <f>TRUNC(2.1768,2)</f>
        <v>2.17</v>
      </c>
      <c r="G289" s="242">
        <f t="shared" si="17"/>
        <v>0.54</v>
      </c>
      <c r="H289" s="242"/>
      <c r="I289" s="243"/>
    </row>
    <row r="290" spans="1:9" s="240" customFormat="1" ht="15">
      <c r="A290" s="211"/>
      <c r="B290" s="212" t="s">
        <v>1157</v>
      </c>
      <c r="C290" s="213" t="s">
        <v>1158</v>
      </c>
      <c r="D290" s="212" t="s">
        <v>47</v>
      </c>
      <c r="E290" s="214">
        <v>0.4</v>
      </c>
      <c r="F290" s="215">
        <f>TRUNC(3.0478,2)</f>
        <v>3.04</v>
      </c>
      <c r="G290" s="242">
        <f t="shared" si="17"/>
        <v>1.21</v>
      </c>
      <c r="H290" s="242"/>
      <c r="I290" s="243"/>
    </row>
    <row r="291" spans="1:9" s="240" customFormat="1" ht="15">
      <c r="A291" s="211"/>
      <c r="B291" s="212"/>
      <c r="C291" s="213"/>
      <c r="D291" s="212"/>
      <c r="E291" s="214" t="s">
        <v>33</v>
      </c>
      <c r="F291" s="215"/>
      <c r="G291" s="242">
        <f>TRUNC(SUM(G286:G290),2)</f>
        <v>43.68</v>
      </c>
      <c r="H291" s="242"/>
      <c r="I291" s="243"/>
    </row>
    <row r="292" spans="1:13" s="241" customFormat="1" ht="90">
      <c r="A292" s="170" t="s">
        <v>1348</v>
      </c>
      <c r="B292" s="170" t="s">
        <v>962</v>
      </c>
      <c r="C292" s="171" t="s">
        <v>893</v>
      </c>
      <c r="D292" s="170" t="s">
        <v>17</v>
      </c>
      <c r="E292" s="173">
        <v>58.5</v>
      </c>
      <c r="F292" s="172">
        <f>TRUNC(F293,2)</f>
        <v>143.92</v>
      </c>
      <c r="G292" s="172">
        <f>TRUNC(F292*1.2247,2)</f>
        <v>176.25</v>
      </c>
      <c r="H292" s="172">
        <f>E292*F292</f>
        <v>8419.32</v>
      </c>
      <c r="I292" s="172">
        <f>TRUNC((E292*G292),2)</f>
        <v>10310.62</v>
      </c>
      <c r="J292" s="129"/>
      <c r="K292" s="129"/>
      <c r="L292" s="129"/>
      <c r="M292" s="129"/>
    </row>
    <row r="293" spans="1:9" s="240" customFormat="1" ht="90">
      <c r="A293" s="211"/>
      <c r="B293" s="212" t="s">
        <v>957</v>
      </c>
      <c r="C293" s="213" t="s">
        <v>893</v>
      </c>
      <c r="D293" s="212" t="s">
        <v>17</v>
      </c>
      <c r="E293" s="214">
        <v>1</v>
      </c>
      <c r="F293" s="215">
        <f>G303</f>
        <v>143.92</v>
      </c>
      <c r="G293" s="242">
        <f aca="true" t="shared" si="18" ref="G293:G302">TRUNC(E293*F293,2)</f>
        <v>143.92</v>
      </c>
      <c r="H293" s="242"/>
      <c r="I293" s="243"/>
    </row>
    <row r="294" spans="1:9" s="240" customFormat="1" ht="15">
      <c r="A294" s="211"/>
      <c r="B294" s="212" t="s">
        <v>894</v>
      </c>
      <c r="C294" s="213" t="s">
        <v>895</v>
      </c>
      <c r="D294" s="212" t="s">
        <v>136</v>
      </c>
      <c r="E294" s="214">
        <v>0.0284</v>
      </c>
      <c r="F294" s="215">
        <f>TRUNC(97,2)</f>
        <v>97</v>
      </c>
      <c r="G294" s="242">
        <f t="shared" si="18"/>
        <v>2.75</v>
      </c>
      <c r="H294" s="242"/>
      <c r="I294" s="243"/>
    </row>
    <row r="295" spans="1:9" s="240" customFormat="1" ht="30">
      <c r="A295" s="211"/>
      <c r="B295" s="212" t="s">
        <v>896</v>
      </c>
      <c r="C295" s="213" t="s">
        <v>897</v>
      </c>
      <c r="D295" s="212" t="s">
        <v>7</v>
      </c>
      <c r="E295" s="214">
        <v>0.025</v>
      </c>
      <c r="F295" s="215">
        <f>TRUNC(226.5,2)</f>
        <v>226.5</v>
      </c>
      <c r="G295" s="242">
        <f t="shared" si="18"/>
        <v>5.66</v>
      </c>
      <c r="H295" s="242"/>
      <c r="I295" s="243"/>
    </row>
    <row r="296" spans="1:9" s="240" customFormat="1" ht="15">
      <c r="A296" s="211"/>
      <c r="B296" s="212" t="s">
        <v>898</v>
      </c>
      <c r="C296" s="213" t="s">
        <v>899</v>
      </c>
      <c r="D296" s="212" t="s">
        <v>17</v>
      </c>
      <c r="E296" s="214">
        <v>0.09</v>
      </c>
      <c r="F296" s="215">
        <f>TRUNC(4.7881,2)</f>
        <v>4.78</v>
      </c>
      <c r="G296" s="242">
        <f t="shared" si="18"/>
        <v>0.43</v>
      </c>
      <c r="H296" s="242"/>
      <c r="I296" s="243"/>
    </row>
    <row r="297" spans="1:9" s="240" customFormat="1" ht="15">
      <c r="A297" s="211"/>
      <c r="B297" s="212" t="s">
        <v>844</v>
      </c>
      <c r="C297" s="213" t="s">
        <v>845</v>
      </c>
      <c r="D297" s="212" t="s">
        <v>48</v>
      </c>
      <c r="E297" s="214">
        <v>0.02</v>
      </c>
      <c r="F297" s="215">
        <f>TRUNC(118.5,2)</f>
        <v>118.5</v>
      </c>
      <c r="G297" s="242">
        <f t="shared" si="18"/>
        <v>2.37</v>
      </c>
      <c r="H297" s="242"/>
      <c r="I297" s="243"/>
    </row>
    <row r="298" spans="1:9" s="240" customFormat="1" ht="30">
      <c r="A298" s="211"/>
      <c r="B298" s="212" t="s">
        <v>45</v>
      </c>
      <c r="C298" s="213" t="s">
        <v>46</v>
      </c>
      <c r="D298" s="212" t="s">
        <v>47</v>
      </c>
      <c r="E298" s="214">
        <v>2.6265</v>
      </c>
      <c r="F298" s="215">
        <f>TRUNC(15.87,2)</f>
        <v>15.87</v>
      </c>
      <c r="G298" s="242">
        <f t="shared" si="18"/>
        <v>41.68</v>
      </c>
      <c r="H298" s="242"/>
      <c r="I298" s="243"/>
    </row>
    <row r="299" spans="1:9" s="240" customFormat="1" ht="15">
      <c r="A299" s="211"/>
      <c r="B299" s="212" t="s">
        <v>363</v>
      </c>
      <c r="C299" s="213" t="s">
        <v>364</v>
      </c>
      <c r="D299" s="212" t="s">
        <v>47</v>
      </c>
      <c r="E299" s="214">
        <v>2.6265</v>
      </c>
      <c r="F299" s="215">
        <f>TRUNC(21.96,2)</f>
        <v>21.96</v>
      </c>
      <c r="G299" s="242">
        <f t="shared" si="18"/>
        <v>57.67</v>
      </c>
      <c r="H299" s="242"/>
      <c r="I299" s="243"/>
    </row>
    <row r="300" spans="1:9" s="240" customFormat="1" ht="15">
      <c r="A300" s="211"/>
      <c r="B300" s="212" t="s">
        <v>958</v>
      </c>
      <c r="C300" s="213" t="s">
        <v>959</v>
      </c>
      <c r="D300" s="212" t="s">
        <v>48</v>
      </c>
      <c r="E300" s="214">
        <v>0.07</v>
      </c>
      <c r="F300" s="215">
        <f>TRUNC(328.2463,2)</f>
        <v>328.24</v>
      </c>
      <c r="G300" s="242">
        <f t="shared" si="18"/>
        <v>22.97</v>
      </c>
      <c r="H300" s="242"/>
      <c r="I300" s="243"/>
    </row>
    <row r="301" spans="1:9" s="240" customFormat="1" ht="30">
      <c r="A301" s="211"/>
      <c r="B301" s="212" t="s">
        <v>960</v>
      </c>
      <c r="C301" s="213" t="s">
        <v>961</v>
      </c>
      <c r="D301" s="212" t="s">
        <v>17</v>
      </c>
      <c r="E301" s="214">
        <v>1.05</v>
      </c>
      <c r="F301" s="215">
        <f>TRUNC(6.1676,2)</f>
        <v>6.16</v>
      </c>
      <c r="G301" s="242">
        <f t="shared" si="18"/>
        <v>6.46</v>
      </c>
      <c r="H301" s="242"/>
      <c r="I301" s="243"/>
    </row>
    <row r="302" spans="1:9" s="240" customFormat="1" ht="15">
      <c r="A302" s="211"/>
      <c r="B302" s="212" t="s">
        <v>355</v>
      </c>
      <c r="C302" s="213" t="s">
        <v>356</v>
      </c>
      <c r="D302" s="212" t="s">
        <v>44</v>
      </c>
      <c r="E302" s="214">
        <v>0.5</v>
      </c>
      <c r="F302" s="215">
        <f>TRUNC(7.8625,2)</f>
        <v>7.86</v>
      </c>
      <c r="G302" s="242">
        <f t="shared" si="18"/>
        <v>3.93</v>
      </c>
      <c r="H302" s="242"/>
      <c r="I302" s="243"/>
    </row>
    <row r="303" spans="1:9" s="240" customFormat="1" ht="15">
      <c r="A303" s="211"/>
      <c r="B303" s="212"/>
      <c r="C303" s="213"/>
      <c r="D303" s="212"/>
      <c r="E303" s="214" t="s">
        <v>33</v>
      </c>
      <c r="F303" s="215"/>
      <c r="G303" s="242">
        <f>TRUNC(SUM(G294:G302),2)</f>
        <v>143.92</v>
      </c>
      <c r="H303" s="242"/>
      <c r="I303" s="243"/>
    </row>
    <row r="304" spans="1:13" s="241" customFormat="1" ht="30">
      <c r="A304" s="170" t="s">
        <v>1349</v>
      </c>
      <c r="B304" s="170" t="s">
        <v>963</v>
      </c>
      <c r="C304" s="171" t="s">
        <v>900</v>
      </c>
      <c r="D304" s="170" t="s">
        <v>23</v>
      </c>
      <c r="E304" s="173">
        <v>55.8</v>
      </c>
      <c r="F304" s="172">
        <f>TRUNC(F305,2)</f>
        <v>43.3</v>
      </c>
      <c r="G304" s="172">
        <f>TRUNC(F304*1.2247,2)</f>
        <v>53.02</v>
      </c>
      <c r="H304" s="172">
        <f>E304*F304</f>
        <v>2416.14</v>
      </c>
      <c r="I304" s="172">
        <f>TRUNC((E304*G304),2)</f>
        <v>2958.51</v>
      </c>
      <c r="J304" s="129"/>
      <c r="K304" s="129"/>
      <c r="L304" s="129"/>
      <c r="M304" s="129"/>
    </row>
    <row r="305" spans="1:9" s="240" customFormat="1" ht="30">
      <c r="A305" s="211"/>
      <c r="B305" s="216" t="s">
        <v>917</v>
      </c>
      <c r="C305" s="218" t="s">
        <v>900</v>
      </c>
      <c r="D305" s="219" t="s">
        <v>23</v>
      </c>
      <c r="E305" s="214">
        <v>1</v>
      </c>
      <c r="F305" s="215">
        <f>G312</f>
        <v>43.3</v>
      </c>
      <c r="G305" s="242">
        <f aca="true" t="shared" si="19" ref="G305:G311">TRUNC(E305*F305,2)</f>
        <v>43.3</v>
      </c>
      <c r="H305" s="242"/>
      <c r="I305" s="243"/>
    </row>
    <row r="306" spans="1:9" s="240" customFormat="1" ht="30">
      <c r="A306" s="211"/>
      <c r="B306" s="216" t="s">
        <v>918</v>
      </c>
      <c r="C306" s="218" t="s">
        <v>901</v>
      </c>
      <c r="D306" s="219" t="s">
        <v>48</v>
      </c>
      <c r="E306" s="214">
        <v>0.037</v>
      </c>
      <c r="F306" s="215">
        <f>TRUNC(389,2)</f>
        <v>389</v>
      </c>
      <c r="G306" s="242">
        <f t="shared" si="19"/>
        <v>14.39</v>
      </c>
      <c r="H306" s="242"/>
      <c r="I306" s="243"/>
    </row>
    <row r="307" spans="1:9" s="240" customFormat="1" ht="30">
      <c r="A307" s="211"/>
      <c r="B307" s="216" t="s">
        <v>919</v>
      </c>
      <c r="C307" s="218" t="s">
        <v>902</v>
      </c>
      <c r="D307" s="219" t="s">
        <v>23</v>
      </c>
      <c r="E307" s="214">
        <v>0.083</v>
      </c>
      <c r="F307" s="215">
        <f>TRUNC(35.58,2)</f>
        <v>35.58</v>
      </c>
      <c r="G307" s="242">
        <f t="shared" si="19"/>
        <v>2.95</v>
      </c>
      <c r="H307" s="242"/>
      <c r="I307" s="243"/>
    </row>
    <row r="308" spans="1:9" s="240" customFormat="1" ht="15">
      <c r="A308" s="211"/>
      <c r="B308" s="216" t="s">
        <v>84</v>
      </c>
      <c r="C308" s="218" t="s">
        <v>85</v>
      </c>
      <c r="D308" s="219" t="s">
        <v>23</v>
      </c>
      <c r="E308" s="214">
        <v>0.2</v>
      </c>
      <c r="F308" s="215">
        <f>TRUNC(3.04,2)</f>
        <v>3.04</v>
      </c>
      <c r="G308" s="242">
        <f t="shared" si="19"/>
        <v>0.6</v>
      </c>
      <c r="H308" s="242"/>
      <c r="I308" s="243"/>
    </row>
    <row r="309" spans="1:9" s="240" customFormat="1" ht="15">
      <c r="A309" s="211"/>
      <c r="B309" s="216" t="s">
        <v>920</v>
      </c>
      <c r="C309" s="218" t="s">
        <v>903</v>
      </c>
      <c r="D309" s="219" t="s">
        <v>48</v>
      </c>
      <c r="E309" s="214">
        <v>0.01</v>
      </c>
      <c r="F309" s="215">
        <f>TRUNC(104.45,2)</f>
        <v>104.45</v>
      </c>
      <c r="G309" s="242">
        <f t="shared" si="19"/>
        <v>1.04</v>
      </c>
      <c r="H309" s="242"/>
      <c r="I309" s="243"/>
    </row>
    <row r="310" spans="1:9" s="240" customFormat="1" ht="15">
      <c r="A310" s="211"/>
      <c r="B310" s="216" t="s">
        <v>49</v>
      </c>
      <c r="C310" s="218" t="s">
        <v>50</v>
      </c>
      <c r="D310" s="219" t="s">
        <v>47</v>
      </c>
      <c r="E310" s="214">
        <v>0.454</v>
      </c>
      <c r="F310" s="215">
        <f>TRUNC(23.64,2)</f>
        <v>23.64</v>
      </c>
      <c r="G310" s="242">
        <f t="shared" si="19"/>
        <v>10.73</v>
      </c>
      <c r="H310" s="242"/>
      <c r="I310" s="243"/>
    </row>
    <row r="311" spans="1:9" s="240" customFormat="1" ht="15">
      <c r="A311" s="211"/>
      <c r="B311" s="216" t="s">
        <v>51</v>
      </c>
      <c r="C311" s="218" t="s">
        <v>52</v>
      </c>
      <c r="D311" s="219" t="s">
        <v>47</v>
      </c>
      <c r="E311" s="214">
        <v>0.454</v>
      </c>
      <c r="F311" s="215">
        <f>TRUNC(29.95,2)</f>
        <v>29.95</v>
      </c>
      <c r="G311" s="242">
        <f t="shared" si="19"/>
        <v>13.59</v>
      </c>
      <c r="H311" s="242"/>
      <c r="I311" s="243"/>
    </row>
    <row r="312" spans="1:9" s="240" customFormat="1" ht="15">
      <c r="A312" s="211"/>
      <c r="B312" s="216"/>
      <c r="C312" s="218"/>
      <c r="D312" s="219"/>
      <c r="E312" s="214" t="s">
        <v>33</v>
      </c>
      <c r="F312" s="215"/>
      <c r="G312" s="242">
        <f>TRUNC(SUM(G306:G311),2)</f>
        <v>43.3</v>
      </c>
      <c r="H312" s="242"/>
      <c r="I312" s="243"/>
    </row>
    <row r="313" spans="1:9" s="240" customFormat="1" ht="15.75">
      <c r="A313" s="165" t="s">
        <v>943</v>
      </c>
      <c r="B313" s="166"/>
      <c r="C313" s="165" t="s">
        <v>983</v>
      </c>
      <c r="D313" s="167"/>
      <c r="E313" s="168"/>
      <c r="F313" s="169"/>
      <c r="G313" s="239"/>
      <c r="H313" s="239"/>
      <c r="I313" s="239"/>
    </row>
    <row r="314" spans="1:9" ht="45">
      <c r="A314" s="103" t="s">
        <v>1350</v>
      </c>
      <c r="B314" s="110" t="s">
        <v>984</v>
      </c>
      <c r="C314" s="210" t="s">
        <v>985</v>
      </c>
      <c r="D314" s="103" t="s">
        <v>17</v>
      </c>
      <c r="E314" s="111">
        <v>136.42</v>
      </c>
      <c r="F314" s="101">
        <f>TRUNC(G315,2)</f>
        <v>78.87</v>
      </c>
      <c r="G314" s="101">
        <f>TRUNC(F314*1.2882,2)</f>
        <v>101.6</v>
      </c>
      <c r="H314" s="101">
        <f>TRUNC(F314*E314,2)</f>
        <v>10759.44</v>
      </c>
      <c r="I314" s="102">
        <f>TRUNC(E314*G314,2)</f>
        <v>13860.27</v>
      </c>
    </row>
    <row r="315" spans="1:9" ht="45">
      <c r="A315" s="8"/>
      <c r="B315" s="12" t="s">
        <v>984</v>
      </c>
      <c r="C315" s="200" t="s">
        <v>985</v>
      </c>
      <c r="D315" s="8" t="s">
        <v>17</v>
      </c>
      <c r="E315" s="11">
        <v>1</v>
      </c>
      <c r="F315" s="7">
        <f>G320</f>
        <v>78.87</v>
      </c>
      <c r="G315" s="7">
        <f>TRUNC(E315*F315,2)</f>
        <v>78.87</v>
      </c>
      <c r="H315" s="7"/>
      <c r="I315" s="11"/>
    </row>
    <row r="316" spans="1:9" ht="15">
      <c r="A316" s="8"/>
      <c r="B316" s="12" t="s">
        <v>986</v>
      </c>
      <c r="C316" s="200" t="s">
        <v>987</v>
      </c>
      <c r="D316" s="8" t="s">
        <v>7</v>
      </c>
      <c r="E316" s="11">
        <v>13</v>
      </c>
      <c r="F316" s="7">
        <f>TRUNC(3.0825,2)</f>
        <v>3.08</v>
      </c>
      <c r="G316" s="7">
        <f>TRUNC(E316*F316,2)</f>
        <v>40.04</v>
      </c>
      <c r="H316" s="7"/>
      <c r="I316" s="11"/>
    </row>
    <row r="317" spans="1:9" ht="30">
      <c r="A317" s="8"/>
      <c r="B317" s="12" t="s">
        <v>45</v>
      </c>
      <c r="C317" s="200" t="s">
        <v>46</v>
      </c>
      <c r="D317" s="8" t="s">
        <v>47</v>
      </c>
      <c r="E317" s="11">
        <v>0.8549</v>
      </c>
      <c r="F317" s="7">
        <f>TRUNC(15.87,2)</f>
        <v>15.87</v>
      </c>
      <c r="G317" s="7">
        <f>TRUNC(E317*F317,2)</f>
        <v>13.56</v>
      </c>
      <c r="H317" s="7"/>
      <c r="I317" s="11"/>
    </row>
    <row r="318" spans="1:9" ht="15">
      <c r="A318" s="8"/>
      <c r="B318" s="12" t="s">
        <v>363</v>
      </c>
      <c r="C318" s="200" t="s">
        <v>364</v>
      </c>
      <c r="D318" s="8" t="s">
        <v>47</v>
      </c>
      <c r="E318" s="11">
        <v>0.8549</v>
      </c>
      <c r="F318" s="7">
        <f>TRUNC(21.96,2)</f>
        <v>21.96</v>
      </c>
      <c r="G318" s="7">
        <f>TRUNC(E318*F318,2)</f>
        <v>18.77</v>
      </c>
      <c r="H318" s="7"/>
      <c r="I318" s="11"/>
    </row>
    <row r="319" spans="1:9" ht="30">
      <c r="A319" s="8"/>
      <c r="B319" s="12" t="s">
        <v>988</v>
      </c>
      <c r="C319" s="200" t="s">
        <v>989</v>
      </c>
      <c r="D319" s="8" t="s">
        <v>48</v>
      </c>
      <c r="E319" s="11">
        <v>0.015</v>
      </c>
      <c r="F319" s="7">
        <f>TRUNC(433.606,2)</f>
        <v>433.6</v>
      </c>
      <c r="G319" s="7">
        <f>TRUNC(E319*F319,2)</f>
        <v>6.5</v>
      </c>
      <c r="H319" s="7"/>
      <c r="I319" s="11"/>
    </row>
    <row r="320" spans="1:9" ht="15">
      <c r="A320" s="8"/>
      <c r="B320" s="12"/>
      <c r="C320" s="200"/>
      <c r="D320" s="8"/>
      <c r="E320" s="11" t="s">
        <v>33</v>
      </c>
      <c r="F320" s="7"/>
      <c r="G320" s="7">
        <f>TRUNC(SUM(G316:G319),2)</f>
        <v>78.87</v>
      </c>
      <c r="H320" s="7"/>
      <c r="I320" s="11"/>
    </row>
    <row r="321" spans="1:9" ht="75">
      <c r="A321" s="103" t="s">
        <v>1351</v>
      </c>
      <c r="B321" s="110" t="s">
        <v>990</v>
      </c>
      <c r="C321" s="210" t="s">
        <v>991</v>
      </c>
      <c r="D321" s="103" t="s">
        <v>23</v>
      </c>
      <c r="E321" s="111">
        <v>105.9</v>
      </c>
      <c r="F321" s="101">
        <f>TRUNC(G322,2)</f>
        <v>30.8</v>
      </c>
      <c r="G321" s="101">
        <f>TRUNC(F321*1.2882,2)</f>
        <v>39.67</v>
      </c>
      <c r="H321" s="101">
        <f>TRUNC(F321*E321,2)</f>
        <v>3261.72</v>
      </c>
      <c r="I321" s="102">
        <f>TRUNC(E321*G321,2)</f>
        <v>4201.05</v>
      </c>
    </row>
    <row r="322" spans="1:9" ht="75">
      <c r="A322" s="8"/>
      <c r="B322" s="12" t="s">
        <v>990</v>
      </c>
      <c r="C322" s="200" t="s">
        <v>991</v>
      </c>
      <c r="D322" s="8" t="s">
        <v>23</v>
      </c>
      <c r="E322" s="11">
        <v>1</v>
      </c>
      <c r="F322" s="7">
        <f>G327</f>
        <v>30.8</v>
      </c>
      <c r="G322" s="7">
        <f>TRUNC(E322*F322,2)</f>
        <v>30.8</v>
      </c>
      <c r="H322" s="7"/>
      <c r="I322" s="11"/>
    </row>
    <row r="323" spans="1:9" ht="15">
      <c r="A323" s="8"/>
      <c r="B323" s="12" t="s">
        <v>992</v>
      </c>
      <c r="C323" s="200" t="s">
        <v>993</v>
      </c>
      <c r="D323" s="8" t="s">
        <v>7</v>
      </c>
      <c r="E323" s="11">
        <v>4</v>
      </c>
      <c r="F323" s="7">
        <f>TRUNC(3.01,2)</f>
        <v>3.01</v>
      </c>
      <c r="G323" s="7">
        <f>TRUNC(E323*F323,2)</f>
        <v>12.04</v>
      </c>
      <c r="H323" s="7"/>
      <c r="I323" s="11"/>
    </row>
    <row r="324" spans="1:9" ht="30">
      <c r="A324" s="8"/>
      <c r="B324" s="12" t="s">
        <v>45</v>
      </c>
      <c r="C324" s="200" t="s">
        <v>46</v>
      </c>
      <c r="D324" s="8" t="s">
        <v>47</v>
      </c>
      <c r="E324" s="11">
        <v>0.41200000000000003</v>
      </c>
      <c r="F324" s="7">
        <f>TRUNC(15.87,2)</f>
        <v>15.87</v>
      </c>
      <c r="G324" s="7">
        <f>TRUNC(E324*F324,2)</f>
        <v>6.53</v>
      </c>
      <c r="H324" s="7"/>
      <c r="I324" s="11"/>
    </row>
    <row r="325" spans="1:9" ht="15">
      <c r="A325" s="8"/>
      <c r="B325" s="12" t="s">
        <v>363</v>
      </c>
      <c r="C325" s="200" t="s">
        <v>364</v>
      </c>
      <c r="D325" s="8" t="s">
        <v>47</v>
      </c>
      <c r="E325" s="11">
        <v>0.3502</v>
      </c>
      <c r="F325" s="7">
        <f>TRUNC(21.96,2)</f>
        <v>21.96</v>
      </c>
      <c r="G325" s="7">
        <f>TRUNC(E325*F325,2)</f>
        <v>7.69</v>
      </c>
      <c r="H325" s="7"/>
      <c r="I325" s="11"/>
    </row>
    <row r="326" spans="1:9" ht="15">
      <c r="A326" s="8"/>
      <c r="B326" s="12" t="s">
        <v>743</v>
      </c>
      <c r="C326" s="200" t="s">
        <v>744</v>
      </c>
      <c r="D326" s="8" t="s">
        <v>48</v>
      </c>
      <c r="E326" s="11">
        <v>0.01</v>
      </c>
      <c r="F326" s="7">
        <f>TRUNC(454.2573,2)</f>
        <v>454.25</v>
      </c>
      <c r="G326" s="7">
        <f>TRUNC(E326*F326,2)</f>
        <v>4.54</v>
      </c>
      <c r="H326" s="7"/>
      <c r="I326" s="11"/>
    </row>
    <row r="327" spans="1:9" ht="15">
      <c r="A327" s="8"/>
      <c r="B327" s="12"/>
      <c r="C327" s="200"/>
      <c r="D327" s="8"/>
      <c r="E327" s="11" t="s">
        <v>33</v>
      </c>
      <c r="F327" s="7"/>
      <c r="G327" s="7">
        <f>TRUNC(SUM(G323:G326),2)</f>
        <v>30.8</v>
      </c>
      <c r="H327" s="7"/>
      <c r="I327" s="11"/>
    </row>
    <row r="328" spans="1:9" s="402" customFormat="1" ht="45">
      <c r="A328" s="103" t="s">
        <v>1352</v>
      </c>
      <c r="B328" s="110" t="s">
        <v>1001</v>
      </c>
      <c r="C328" s="210" t="s">
        <v>1004</v>
      </c>
      <c r="D328" s="103" t="s">
        <v>17</v>
      </c>
      <c r="E328" s="111">
        <v>18.77</v>
      </c>
      <c r="F328" s="101">
        <f>TRUNC(F329,2)</f>
        <v>158.13</v>
      </c>
      <c r="G328" s="101">
        <f>TRUNC(F328*1.2882,2)</f>
        <v>203.7</v>
      </c>
      <c r="H328" s="101">
        <f>TRUNC(F328*E328,2)</f>
        <v>2968.1</v>
      </c>
      <c r="I328" s="102">
        <f>TRUNC(E328*G328,2)</f>
        <v>3823.44</v>
      </c>
    </row>
    <row r="329" spans="1:9" ht="45">
      <c r="A329" s="8"/>
      <c r="B329" s="12" t="s">
        <v>1001</v>
      </c>
      <c r="C329" s="200" t="s">
        <v>1002</v>
      </c>
      <c r="D329" s="8" t="s">
        <v>17</v>
      </c>
      <c r="E329" s="11">
        <v>1</v>
      </c>
      <c r="F329" s="7">
        <f>G334</f>
        <v>158.13</v>
      </c>
      <c r="G329" s="7">
        <f>TRUNC(E329*F329,2)</f>
        <v>158.13</v>
      </c>
      <c r="H329" s="7"/>
      <c r="I329" s="11"/>
    </row>
    <row r="330" spans="1:9" s="203" customFormat="1" ht="15.75">
      <c r="A330" s="31"/>
      <c r="B330" s="32" t="s">
        <v>255</v>
      </c>
      <c r="C330" s="221" t="s">
        <v>1003</v>
      </c>
      <c r="D330" s="31" t="s">
        <v>7</v>
      </c>
      <c r="E330" s="33">
        <v>26</v>
      </c>
      <c r="F330" s="34">
        <f>TRUNC(4.1,2)</f>
        <v>4.1</v>
      </c>
      <c r="G330" s="34">
        <f>TRUNC(E330*F330,2)</f>
        <v>106.6</v>
      </c>
      <c r="H330" s="34"/>
      <c r="I330" s="33"/>
    </row>
    <row r="331" spans="1:9" ht="30">
      <c r="A331" s="8"/>
      <c r="B331" s="12" t="s">
        <v>45</v>
      </c>
      <c r="C331" s="200" t="s">
        <v>46</v>
      </c>
      <c r="D331" s="8" t="s">
        <v>47</v>
      </c>
      <c r="E331" s="11">
        <v>1.1330000000000002</v>
      </c>
      <c r="F331" s="7">
        <f>TRUNC(15.87,2)</f>
        <v>15.87</v>
      </c>
      <c r="G331" s="7">
        <f>TRUNC(E331*F331,2)</f>
        <v>17.98</v>
      </c>
      <c r="H331" s="7"/>
      <c r="I331" s="11"/>
    </row>
    <row r="332" spans="1:9" ht="15">
      <c r="A332" s="8"/>
      <c r="B332" s="12" t="s">
        <v>363</v>
      </c>
      <c r="C332" s="200" t="s">
        <v>364</v>
      </c>
      <c r="D332" s="8" t="s">
        <v>47</v>
      </c>
      <c r="E332" s="11">
        <v>1.1330000000000002</v>
      </c>
      <c r="F332" s="7">
        <f>TRUNC(21.96,2)</f>
        <v>21.96</v>
      </c>
      <c r="G332" s="7">
        <f>TRUNC(E332*F332,2)</f>
        <v>24.88</v>
      </c>
      <c r="H332" s="7"/>
      <c r="I332" s="11"/>
    </row>
    <row r="333" spans="1:9" ht="30">
      <c r="A333" s="8"/>
      <c r="B333" s="12" t="s">
        <v>988</v>
      </c>
      <c r="C333" s="200" t="s">
        <v>989</v>
      </c>
      <c r="D333" s="8" t="s">
        <v>48</v>
      </c>
      <c r="E333" s="11">
        <v>0.02</v>
      </c>
      <c r="F333" s="7">
        <f>TRUNC(433.606,2)</f>
        <v>433.6</v>
      </c>
      <c r="G333" s="7">
        <f>TRUNC(E333*F333,2)</f>
        <v>8.67</v>
      </c>
      <c r="H333" s="7"/>
      <c r="I333" s="11"/>
    </row>
    <row r="334" spans="1:9" ht="15">
      <c r="A334" s="8"/>
      <c r="B334" s="12"/>
      <c r="C334" s="200"/>
      <c r="D334" s="8"/>
      <c r="E334" s="11" t="s">
        <v>33</v>
      </c>
      <c r="F334" s="7"/>
      <c r="G334" s="7">
        <f>TRUNC(SUM(G330:G333),2)</f>
        <v>158.13</v>
      </c>
      <c r="H334" s="7"/>
      <c r="I334" s="11"/>
    </row>
    <row r="335" spans="1:13" s="241" customFormat="1" ht="60">
      <c r="A335" s="170" t="s">
        <v>1353</v>
      </c>
      <c r="B335" s="170" t="s">
        <v>910</v>
      </c>
      <c r="C335" s="171" t="s">
        <v>994</v>
      </c>
      <c r="D335" s="170" t="s">
        <v>44</v>
      </c>
      <c r="E335" s="173">
        <v>2104.42</v>
      </c>
      <c r="F335" s="172">
        <f>TRUNC(F336,2)</f>
        <v>7.84</v>
      </c>
      <c r="G335" s="172">
        <f>TRUNC(F335*1.2247,2)</f>
        <v>9.6</v>
      </c>
      <c r="H335" s="172">
        <f>E335*F335</f>
        <v>16498.6528</v>
      </c>
      <c r="I335" s="172">
        <f>TRUNC((E335*G335),2)</f>
        <v>20202.43</v>
      </c>
      <c r="J335" s="129"/>
      <c r="K335" s="129"/>
      <c r="L335" s="129"/>
      <c r="M335" s="129"/>
    </row>
    <row r="336" spans="1:9" s="240" customFormat="1" ht="60">
      <c r="A336" s="211"/>
      <c r="B336" s="212" t="s">
        <v>870</v>
      </c>
      <c r="C336" s="213" t="s">
        <v>871</v>
      </c>
      <c r="D336" s="212" t="s">
        <v>44</v>
      </c>
      <c r="E336" s="214">
        <v>1</v>
      </c>
      <c r="F336" s="217">
        <f>G341</f>
        <v>7.84</v>
      </c>
      <c r="G336" s="242">
        <f>TRUNC(E336*F336,2)</f>
        <v>7.84</v>
      </c>
      <c r="H336" s="242"/>
      <c r="I336" s="243"/>
    </row>
    <row r="337" spans="1:9" s="240" customFormat="1" ht="15">
      <c r="A337" s="211"/>
      <c r="B337" s="212" t="s">
        <v>872</v>
      </c>
      <c r="C337" s="213" t="s">
        <v>873</v>
      </c>
      <c r="D337" s="212" t="s">
        <v>44</v>
      </c>
      <c r="E337" s="214">
        <v>0.37</v>
      </c>
      <c r="F337" s="217">
        <f>TRUNC(6.2193,2)</f>
        <v>6.21</v>
      </c>
      <c r="G337" s="242">
        <f>TRUNC(E337*F337,2)</f>
        <v>2.29</v>
      </c>
      <c r="H337" s="242"/>
      <c r="I337" s="243"/>
    </row>
    <row r="338" spans="1:9" s="240" customFormat="1" ht="15">
      <c r="A338" s="211"/>
      <c r="B338" s="212" t="s">
        <v>874</v>
      </c>
      <c r="C338" s="213" t="s">
        <v>875</v>
      </c>
      <c r="D338" s="212" t="s">
        <v>44</v>
      </c>
      <c r="E338" s="214">
        <v>0.37</v>
      </c>
      <c r="F338" s="217">
        <f>TRUNC(6.8509,2)</f>
        <v>6.85</v>
      </c>
      <c r="G338" s="242">
        <f>TRUNC(E338*F338,2)</f>
        <v>2.53</v>
      </c>
      <c r="H338" s="242"/>
      <c r="I338" s="243"/>
    </row>
    <row r="339" spans="1:9" s="240" customFormat="1" ht="15">
      <c r="A339" s="211"/>
      <c r="B339" s="212" t="s">
        <v>876</v>
      </c>
      <c r="C339" s="213" t="s">
        <v>877</v>
      </c>
      <c r="D339" s="212" t="s">
        <v>44</v>
      </c>
      <c r="E339" s="214">
        <v>0.37</v>
      </c>
      <c r="F339" s="217">
        <f>TRUNC(7.1772,2)</f>
        <v>7.17</v>
      </c>
      <c r="G339" s="242">
        <f>TRUNC(E339*F339,2)</f>
        <v>2.65</v>
      </c>
      <c r="H339" s="242"/>
      <c r="I339" s="243"/>
    </row>
    <row r="340" spans="1:9" s="240" customFormat="1" ht="15">
      <c r="A340" s="211"/>
      <c r="B340" s="212" t="s">
        <v>347</v>
      </c>
      <c r="C340" s="213" t="s">
        <v>348</v>
      </c>
      <c r="D340" s="212" t="s">
        <v>44</v>
      </c>
      <c r="E340" s="214">
        <v>0.03</v>
      </c>
      <c r="F340" s="217">
        <f>TRUNC(12.3723,2)</f>
        <v>12.37</v>
      </c>
      <c r="G340" s="242">
        <f>TRUNC(E340*F340,2)</f>
        <v>0.37</v>
      </c>
      <c r="H340" s="242"/>
      <c r="I340" s="243"/>
    </row>
    <row r="341" spans="1:9" s="240" customFormat="1" ht="15">
      <c r="A341" s="211"/>
      <c r="B341" s="212"/>
      <c r="C341" s="213"/>
      <c r="D341" s="212"/>
      <c r="E341" s="214" t="s">
        <v>33</v>
      </c>
      <c r="F341" s="217"/>
      <c r="G341" s="242">
        <f>TRUNC(SUM(G337:G340),2)</f>
        <v>7.84</v>
      </c>
      <c r="H341" s="242"/>
      <c r="I341" s="243"/>
    </row>
    <row r="342" spans="1:13" s="241" customFormat="1" ht="30">
      <c r="A342" s="170" t="s">
        <v>1354</v>
      </c>
      <c r="B342" s="170" t="s">
        <v>909</v>
      </c>
      <c r="C342" s="171" t="s">
        <v>995</v>
      </c>
      <c r="D342" s="170" t="s">
        <v>44</v>
      </c>
      <c r="E342" s="173">
        <v>2104.42</v>
      </c>
      <c r="F342" s="172">
        <f>TRUNC(F343,2)</f>
        <v>4.08</v>
      </c>
      <c r="G342" s="172">
        <f>TRUNC(F342*1.2247,2)</f>
        <v>4.99</v>
      </c>
      <c r="H342" s="172">
        <f>E342*F342</f>
        <v>8586.0336</v>
      </c>
      <c r="I342" s="172">
        <f>TRUNC((E342*G342),2)</f>
        <v>10501.05</v>
      </c>
      <c r="J342" s="129"/>
      <c r="K342" s="129"/>
      <c r="L342" s="129"/>
      <c r="M342" s="129"/>
    </row>
    <row r="343" spans="1:9" s="240" customFormat="1" ht="30">
      <c r="A343" s="211"/>
      <c r="B343" s="212" t="s">
        <v>878</v>
      </c>
      <c r="C343" s="213" t="s">
        <v>879</v>
      </c>
      <c r="D343" s="212" t="s">
        <v>44</v>
      </c>
      <c r="E343" s="214">
        <v>1</v>
      </c>
      <c r="F343" s="217">
        <f>G346</f>
        <v>4.08</v>
      </c>
      <c r="G343" s="242">
        <f>TRUNC(E343*F343,2)</f>
        <v>4.08</v>
      </c>
      <c r="H343" s="242"/>
      <c r="I343" s="243"/>
    </row>
    <row r="344" spans="1:9" s="240" customFormat="1" ht="30">
      <c r="A344" s="211"/>
      <c r="B344" s="212" t="s">
        <v>45</v>
      </c>
      <c r="C344" s="213" t="s">
        <v>46</v>
      </c>
      <c r="D344" s="212" t="s">
        <v>47</v>
      </c>
      <c r="E344" s="214">
        <v>0.10815</v>
      </c>
      <c r="F344" s="217">
        <f>TRUNC(15.87,2)</f>
        <v>15.87</v>
      </c>
      <c r="G344" s="242">
        <f>TRUNC(E344*F344,2)</f>
        <v>1.71</v>
      </c>
      <c r="H344" s="242"/>
      <c r="I344" s="243"/>
    </row>
    <row r="345" spans="1:9" s="240" customFormat="1" ht="30">
      <c r="A345" s="211"/>
      <c r="B345" s="212" t="s">
        <v>880</v>
      </c>
      <c r="C345" s="213" t="s">
        <v>881</v>
      </c>
      <c r="D345" s="212" t="s">
        <v>47</v>
      </c>
      <c r="E345" s="214">
        <v>0.10815</v>
      </c>
      <c r="F345" s="217">
        <f>TRUNC(21.96,2)</f>
        <v>21.96</v>
      </c>
      <c r="G345" s="242">
        <f>TRUNC(E345*F345,2)</f>
        <v>2.37</v>
      </c>
      <c r="H345" s="242"/>
      <c r="I345" s="243"/>
    </row>
    <row r="346" spans="1:9" s="240" customFormat="1" ht="15">
      <c r="A346" s="211"/>
      <c r="B346" s="212"/>
      <c r="C346" s="213"/>
      <c r="D346" s="212"/>
      <c r="E346" s="214" t="s">
        <v>33</v>
      </c>
      <c r="F346" s="217"/>
      <c r="G346" s="242">
        <f>TRUNC(SUM(G344:G345),2)</f>
        <v>4.08</v>
      </c>
      <c r="H346" s="242"/>
      <c r="I346" s="243"/>
    </row>
    <row r="347" spans="1:13" s="241" customFormat="1" ht="45">
      <c r="A347" s="170" t="s">
        <v>1355</v>
      </c>
      <c r="B347" s="170" t="s">
        <v>1122</v>
      </c>
      <c r="C347" s="171" t="s">
        <v>1123</v>
      </c>
      <c r="D347" s="170" t="s">
        <v>48</v>
      </c>
      <c r="E347" s="173">
        <v>20.09</v>
      </c>
      <c r="F347" s="172">
        <f>TRUNC(F348,2)</f>
        <v>642.73</v>
      </c>
      <c r="G347" s="172">
        <f>TRUNC(F347*1.2247,2)</f>
        <v>787.15</v>
      </c>
      <c r="H347" s="172">
        <f>E347*F347</f>
        <v>12912.4457</v>
      </c>
      <c r="I347" s="172">
        <f>TRUNC((E347*G347),2)</f>
        <v>15813.84</v>
      </c>
      <c r="J347" s="129"/>
      <c r="K347" s="129"/>
      <c r="L347" s="129"/>
      <c r="M347" s="129"/>
    </row>
    <row r="348" spans="1:9" s="240" customFormat="1" ht="45">
      <c r="A348" s="211"/>
      <c r="B348" s="216" t="s">
        <v>1122</v>
      </c>
      <c r="C348" s="213" t="s">
        <v>1123</v>
      </c>
      <c r="D348" s="212" t="s">
        <v>48</v>
      </c>
      <c r="E348" s="214">
        <v>1</v>
      </c>
      <c r="F348" s="215">
        <f>G352</f>
        <v>642.73</v>
      </c>
      <c r="G348" s="242">
        <f>TRUNC(E348*F348,2)</f>
        <v>642.73</v>
      </c>
      <c r="H348" s="242"/>
      <c r="I348" s="243"/>
    </row>
    <row r="349" spans="1:9" s="240" customFormat="1" ht="15">
      <c r="A349" s="211"/>
      <c r="B349" s="216" t="s">
        <v>846</v>
      </c>
      <c r="C349" s="213" t="s">
        <v>847</v>
      </c>
      <c r="D349" s="212" t="s">
        <v>48</v>
      </c>
      <c r="E349" s="214">
        <v>1</v>
      </c>
      <c r="F349" s="215">
        <f>TRUNC(119.0063,2)</f>
        <v>119</v>
      </c>
      <c r="G349" s="242">
        <f>TRUNC(E349*F349,2)</f>
        <v>119</v>
      </c>
      <c r="H349" s="242"/>
      <c r="I349" s="243"/>
    </row>
    <row r="350" spans="1:9" s="240" customFormat="1" ht="15">
      <c r="A350" s="211"/>
      <c r="B350" s="216" t="s">
        <v>848</v>
      </c>
      <c r="C350" s="213" t="s">
        <v>849</v>
      </c>
      <c r="D350" s="212" t="s">
        <v>48</v>
      </c>
      <c r="E350" s="214">
        <v>1</v>
      </c>
      <c r="F350" s="215">
        <f>TRUNC(78.9957,2)</f>
        <v>78.99</v>
      </c>
      <c r="G350" s="242">
        <f>TRUNC(E350*F350,2)</f>
        <v>78.99</v>
      </c>
      <c r="H350" s="242"/>
      <c r="I350" s="243"/>
    </row>
    <row r="351" spans="1:9" s="240" customFormat="1" ht="15">
      <c r="A351" s="211"/>
      <c r="B351" s="216" t="s">
        <v>1124</v>
      </c>
      <c r="C351" s="213" t="s">
        <v>1125</v>
      </c>
      <c r="D351" s="212" t="s">
        <v>48</v>
      </c>
      <c r="E351" s="214">
        <v>1</v>
      </c>
      <c r="F351" s="215">
        <f>TRUNC(444.7468,2)</f>
        <v>444.74</v>
      </c>
      <c r="G351" s="242">
        <f>TRUNC(E351*F351,2)</f>
        <v>444.74</v>
      </c>
      <c r="H351" s="242"/>
      <c r="I351" s="243"/>
    </row>
    <row r="352" spans="1:9" s="240" customFormat="1" ht="15">
      <c r="A352" s="211"/>
      <c r="B352" s="216"/>
      <c r="C352" s="213"/>
      <c r="D352" s="212"/>
      <c r="E352" s="214" t="s">
        <v>33</v>
      </c>
      <c r="F352" s="215"/>
      <c r="G352" s="242">
        <f>TRUNC(SUM(G349:G351),2)</f>
        <v>642.73</v>
      </c>
      <c r="H352" s="242"/>
      <c r="I352" s="243"/>
    </row>
    <row r="353" spans="1:13" s="241" customFormat="1" ht="45">
      <c r="A353" s="170" t="s">
        <v>1356</v>
      </c>
      <c r="B353" s="170" t="s">
        <v>911</v>
      </c>
      <c r="C353" s="171" t="s">
        <v>996</v>
      </c>
      <c r="D353" s="170" t="s">
        <v>17</v>
      </c>
      <c r="E353" s="173">
        <f>112.96+119.7</f>
        <v>232.66</v>
      </c>
      <c r="F353" s="172">
        <f>TRUNC(F354,2)</f>
        <v>35.41</v>
      </c>
      <c r="G353" s="172">
        <f>TRUNC(F353*1.2247,2)</f>
        <v>43.36</v>
      </c>
      <c r="H353" s="172">
        <f>E353*F353</f>
        <v>8238.4906</v>
      </c>
      <c r="I353" s="172">
        <f>TRUNC((E353*G353),2)</f>
        <v>10088.13</v>
      </c>
      <c r="J353" s="129"/>
      <c r="K353" s="129"/>
      <c r="L353" s="129"/>
      <c r="M353" s="129"/>
    </row>
    <row r="354" spans="1:9" s="240" customFormat="1" ht="45">
      <c r="A354" s="211"/>
      <c r="B354" s="212" t="s">
        <v>912</v>
      </c>
      <c r="C354" s="213" t="s">
        <v>886</v>
      </c>
      <c r="D354" s="212" t="s">
        <v>17</v>
      </c>
      <c r="E354" s="214">
        <v>1</v>
      </c>
      <c r="F354" s="217">
        <f>G361</f>
        <v>35.41</v>
      </c>
      <c r="G354" s="242">
        <f aca="true" t="shared" si="20" ref="G354:G360">TRUNC(E354*F354,2)</f>
        <v>35.41</v>
      </c>
      <c r="H354" s="242"/>
      <c r="I354" s="243"/>
    </row>
    <row r="355" spans="1:9" s="240" customFormat="1" ht="30">
      <c r="A355" s="211"/>
      <c r="B355" s="212" t="s">
        <v>410</v>
      </c>
      <c r="C355" s="213" t="s">
        <v>411</v>
      </c>
      <c r="D355" s="212" t="s">
        <v>44</v>
      </c>
      <c r="E355" s="214">
        <v>0.1</v>
      </c>
      <c r="F355" s="217">
        <f>TRUNC(18.29,2)</f>
        <v>18.29</v>
      </c>
      <c r="G355" s="242">
        <f t="shared" si="20"/>
        <v>1.82</v>
      </c>
      <c r="H355" s="242"/>
      <c r="I355" s="243"/>
    </row>
    <row r="356" spans="1:9" s="240" customFormat="1" ht="15">
      <c r="A356" s="211"/>
      <c r="B356" s="212" t="s">
        <v>832</v>
      </c>
      <c r="C356" s="213" t="s">
        <v>833</v>
      </c>
      <c r="D356" s="212" t="s">
        <v>23</v>
      </c>
      <c r="E356" s="214">
        <v>0.83</v>
      </c>
      <c r="F356" s="217">
        <f>TRUNC(12.53,2)</f>
        <v>12.53</v>
      </c>
      <c r="G356" s="242">
        <f t="shared" si="20"/>
        <v>10.39</v>
      </c>
      <c r="H356" s="242"/>
      <c r="I356" s="243"/>
    </row>
    <row r="357" spans="1:9" s="240" customFormat="1" ht="30">
      <c r="A357" s="211"/>
      <c r="B357" s="212" t="s">
        <v>45</v>
      </c>
      <c r="C357" s="213" t="s">
        <v>46</v>
      </c>
      <c r="D357" s="212" t="s">
        <v>47</v>
      </c>
      <c r="E357" s="214">
        <v>0.515</v>
      </c>
      <c r="F357" s="217">
        <f>TRUNC(15.87,2)</f>
        <v>15.87</v>
      </c>
      <c r="G357" s="242">
        <f t="shared" si="20"/>
        <v>8.17</v>
      </c>
      <c r="H357" s="242"/>
      <c r="I357" s="243"/>
    </row>
    <row r="358" spans="1:9" s="240" customFormat="1" ht="30">
      <c r="A358" s="211"/>
      <c r="B358" s="212" t="s">
        <v>69</v>
      </c>
      <c r="C358" s="213" t="s">
        <v>70</v>
      </c>
      <c r="D358" s="212" t="s">
        <v>47</v>
      </c>
      <c r="E358" s="214">
        <v>0.41200000000000003</v>
      </c>
      <c r="F358" s="217">
        <f>TRUNC(21.96,2)</f>
        <v>21.96</v>
      </c>
      <c r="G358" s="242">
        <f t="shared" si="20"/>
        <v>9.04</v>
      </c>
      <c r="H358" s="242"/>
      <c r="I358" s="243"/>
    </row>
    <row r="359" spans="1:9" s="240" customFormat="1" ht="15">
      <c r="A359" s="211"/>
      <c r="B359" s="212" t="s">
        <v>913</v>
      </c>
      <c r="C359" s="213" t="s">
        <v>914</v>
      </c>
      <c r="D359" s="212" t="s">
        <v>23</v>
      </c>
      <c r="E359" s="214">
        <v>0.66</v>
      </c>
      <c r="F359" s="217">
        <f>TRUNC(4.1243,2)</f>
        <v>4.12</v>
      </c>
      <c r="G359" s="242">
        <f t="shared" si="20"/>
        <v>2.71</v>
      </c>
      <c r="H359" s="242"/>
      <c r="I359" s="243"/>
    </row>
    <row r="360" spans="1:9" s="240" customFormat="1" ht="15">
      <c r="A360" s="211"/>
      <c r="B360" s="212" t="s">
        <v>915</v>
      </c>
      <c r="C360" s="213" t="s">
        <v>916</v>
      </c>
      <c r="D360" s="212" t="s">
        <v>17</v>
      </c>
      <c r="E360" s="214">
        <v>1</v>
      </c>
      <c r="F360" s="217">
        <f>TRUNC(3.2842,2)</f>
        <v>3.28</v>
      </c>
      <c r="G360" s="242">
        <f t="shared" si="20"/>
        <v>3.28</v>
      </c>
      <c r="H360" s="242"/>
      <c r="I360" s="243"/>
    </row>
    <row r="361" spans="1:9" s="240" customFormat="1" ht="15">
      <c r="A361" s="211"/>
      <c r="B361" s="212"/>
      <c r="C361" s="213"/>
      <c r="D361" s="212"/>
      <c r="E361" s="214" t="s">
        <v>33</v>
      </c>
      <c r="F361" s="217"/>
      <c r="G361" s="242">
        <f>TRUNC(SUM(G355:G360),2)</f>
        <v>35.41</v>
      </c>
      <c r="H361" s="242"/>
      <c r="I361" s="243"/>
    </row>
    <row r="362" spans="1:9" ht="45">
      <c r="A362" s="103" t="s">
        <v>1357</v>
      </c>
      <c r="B362" s="110" t="s">
        <v>997</v>
      </c>
      <c r="C362" s="210" t="s">
        <v>998</v>
      </c>
      <c r="D362" s="103" t="s">
        <v>17</v>
      </c>
      <c r="E362" s="111">
        <v>307.12</v>
      </c>
      <c r="F362" s="111">
        <f>TRUNC(F363,2)</f>
        <v>31.97</v>
      </c>
      <c r="G362" s="111">
        <f>TRUNC(F362*1.2882,2)</f>
        <v>41.18</v>
      </c>
      <c r="H362" s="111">
        <f>TRUNC(F362*E362,2)</f>
        <v>9818.62</v>
      </c>
      <c r="I362" s="111">
        <f>TRUNC(E362*G362,2)</f>
        <v>12647.2</v>
      </c>
    </row>
    <row r="363" spans="1:9" ht="45">
      <c r="A363" s="8"/>
      <c r="B363" s="12" t="s">
        <v>997</v>
      </c>
      <c r="C363" s="200" t="s">
        <v>998</v>
      </c>
      <c r="D363" s="8" t="s">
        <v>17</v>
      </c>
      <c r="E363" s="11">
        <v>1</v>
      </c>
      <c r="F363" s="7">
        <f>G368</f>
        <v>31.97</v>
      </c>
      <c r="G363" s="7">
        <f>TRUNC(E363*F363,2)</f>
        <v>31.97</v>
      </c>
      <c r="H363" s="7"/>
      <c r="I363" s="11"/>
    </row>
    <row r="364" spans="1:9" ht="30">
      <c r="A364" s="8"/>
      <c r="B364" s="12" t="s">
        <v>45</v>
      </c>
      <c r="C364" s="200" t="s">
        <v>46</v>
      </c>
      <c r="D364" s="8" t="s">
        <v>47</v>
      </c>
      <c r="E364" s="11">
        <v>0.41200000000000003</v>
      </c>
      <c r="F364" s="7">
        <f>TRUNC(15.87,2)</f>
        <v>15.87</v>
      </c>
      <c r="G364" s="7">
        <f>TRUNC(E364*F364,2)</f>
        <v>6.53</v>
      </c>
      <c r="H364" s="7"/>
      <c r="I364" s="11"/>
    </row>
    <row r="365" spans="1:9" ht="15">
      <c r="A365" s="8"/>
      <c r="B365" s="12" t="s">
        <v>363</v>
      </c>
      <c r="C365" s="200" t="s">
        <v>364</v>
      </c>
      <c r="D365" s="8" t="s">
        <v>47</v>
      </c>
      <c r="E365" s="11">
        <v>0.41200000000000003</v>
      </c>
      <c r="F365" s="7">
        <f>TRUNC(21.96,2)</f>
        <v>21.96</v>
      </c>
      <c r="G365" s="7">
        <f>TRUNC(E365*F365,2)</f>
        <v>9.04</v>
      </c>
      <c r="H365" s="7"/>
      <c r="I365" s="11"/>
    </row>
    <row r="366" spans="1:9" ht="30">
      <c r="A366" s="8"/>
      <c r="B366" s="12" t="s">
        <v>960</v>
      </c>
      <c r="C366" s="200" t="s">
        <v>961</v>
      </c>
      <c r="D366" s="8" t="s">
        <v>17</v>
      </c>
      <c r="E366" s="11">
        <v>1</v>
      </c>
      <c r="F366" s="7">
        <f>TRUNC(6.1676,2)</f>
        <v>6.16</v>
      </c>
      <c r="G366" s="7">
        <f>TRUNC(E366*F366,2)</f>
        <v>6.16</v>
      </c>
      <c r="H366" s="7"/>
      <c r="I366" s="11"/>
    </row>
    <row r="367" spans="1:9" ht="15">
      <c r="A367" s="8"/>
      <c r="B367" s="12" t="s">
        <v>999</v>
      </c>
      <c r="C367" s="200" t="s">
        <v>1000</v>
      </c>
      <c r="D367" s="8" t="s">
        <v>48</v>
      </c>
      <c r="E367" s="11">
        <v>0.02625</v>
      </c>
      <c r="F367" s="7">
        <f>TRUNC(390.2883,2)</f>
        <v>390.28</v>
      </c>
      <c r="G367" s="7">
        <f>TRUNC(E367*F367,2)</f>
        <v>10.24</v>
      </c>
      <c r="H367" s="7"/>
      <c r="I367" s="11"/>
    </row>
    <row r="368" spans="1:9" ht="15">
      <c r="A368" s="8"/>
      <c r="B368" s="12"/>
      <c r="C368" s="200"/>
      <c r="D368" s="8"/>
      <c r="E368" s="11" t="s">
        <v>33</v>
      </c>
      <c r="F368" s="7"/>
      <c r="G368" s="7">
        <f>TRUNC(SUM(G364:G367),2)</f>
        <v>31.97</v>
      </c>
      <c r="H368" s="7"/>
      <c r="I368" s="11"/>
    </row>
    <row r="369" spans="1:9" ht="30">
      <c r="A369" s="103" t="s">
        <v>1358</v>
      </c>
      <c r="B369" s="110" t="s">
        <v>1159</v>
      </c>
      <c r="C369" s="210" t="s">
        <v>1160</v>
      </c>
      <c r="D369" s="103" t="s">
        <v>48</v>
      </c>
      <c r="E369" s="111">
        <v>10.84</v>
      </c>
      <c r="F369" s="111">
        <f>TRUNC(F370,2)</f>
        <v>55.57</v>
      </c>
      <c r="G369" s="111">
        <f>TRUNC(F369*1.2882,2)</f>
        <v>71.58</v>
      </c>
      <c r="H369" s="111">
        <f>TRUNC(F369*E369,2)</f>
        <v>602.37</v>
      </c>
      <c r="I369" s="111">
        <f>TRUNC(E369*G369,2)</f>
        <v>775.92</v>
      </c>
    </row>
    <row r="370" spans="1:9" ht="30">
      <c r="A370" s="8"/>
      <c r="B370" s="12" t="s">
        <v>1159</v>
      </c>
      <c r="C370" s="200" t="s">
        <v>1160</v>
      </c>
      <c r="D370" s="8" t="s">
        <v>48</v>
      </c>
      <c r="E370" s="11">
        <v>1</v>
      </c>
      <c r="F370" s="7">
        <f>TRUNC(55.57674,2)</f>
        <v>55.57</v>
      </c>
      <c r="G370" s="7">
        <f>TRUNC(E370*F370,2)</f>
        <v>55.57</v>
      </c>
      <c r="H370" s="7"/>
      <c r="I370" s="11"/>
    </row>
    <row r="371" spans="1:9" ht="30">
      <c r="A371" s="8"/>
      <c r="B371" s="12" t="s">
        <v>45</v>
      </c>
      <c r="C371" s="200" t="s">
        <v>46</v>
      </c>
      <c r="D371" s="8" t="s">
        <v>47</v>
      </c>
      <c r="E371" s="11">
        <v>3.502</v>
      </c>
      <c r="F371" s="7">
        <f>TRUNC(15.87,2)</f>
        <v>15.87</v>
      </c>
      <c r="G371" s="7">
        <f>TRUNC(E371*F371,2)</f>
        <v>55.57</v>
      </c>
      <c r="H371" s="7"/>
      <c r="I371" s="11"/>
    </row>
    <row r="372" spans="1:9" ht="15">
      <c r="A372" s="8"/>
      <c r="B372" s="12"/>
      <c r="C372" s="200"/>
      <c r="D372" s="8"/>
      <c r="E372" s="11" t="s">
        <v>33</v>
      </c>
      <c r="F372" s="7"/>
      <c r="G372" s="7">
        <f>TRUNC(SUM(G371:G371),2)</f>
        <v>55.57</v>
      </c>
      <c r="H372" s="7"/>
      <c r="I372" s="11"/>
    </row>
    <row r="373" spans="1:9" ht="30">
      <c r="A373" s="103" t="s">
        <v>1359</v>
      </c>
      <c r="B373" s="110" t="s">
        <v>1162</v>
      </c>
      <c r="C373" s="210" t="s">
        <v>1161</v>
      </c>
      <c r="D373" s="103" t="s">
        <v>23</v>
      </c>
      <c r="E373" s="111">
        <f>36*4</f>
        <v>144</v>
      </c>
      <c r="F373" s="111">
        <f>TRUNC(G374,2)</f>
        <v>205.4</v>
      </c>
      <c r="G373" s="111">
        <f>TRUNC(F373*1.2882,2)</f>
        <v>264.59</v>
      </c>
      <c r="H373" s="111">
        <f>TRUNC(F373*E373,2)</f>
        <v>29577.6</v>
      </c>
      <c r="I373" s="111">
        <f>TRUNC(E373*G373,2)</f>
        <v>38100.96</v>
      </c>
    </row>
    <row r="374" spans="1:9" ht="30">
      <c r="A374" s="8"/>
      <c r="B374" s="12" t="s">
        <v>976</v>
      </c>
      <c r="C374" s="200" t="s">
        <v>977</v>
      </c>
      <c r="D374" s="8" t="s">
        <v>23</v>
      </c>
      <c r="E374" s="11">
        <f>40/30</f>
        <v>1.3333333333333333</v>
      </c>
      <c r="F374" s="7">
        <f>G380</f>
        <v>154.05</v>
      </c>
      <c r="G374" s="34">
        <f aca="true" t="shared" si="21" ref="G374:G379">TRUNC(E374*F374,2)</f>
        <v>205.4</v>
      </c>
      <c r="H374" s="7"/>
      <c r="I374" s="11"/>
    </row>
    <row r="375" spans="1:9" ht="15">
      <c r="A375" s="8"/>
      <c r="B375" s="12" t="s">
        <v>49</v>
      </c>
      <c r="C375" s="200" t="s">
        <v>50</v>
      </c>
      <c r="D375" s="8" t="s">
        <v>47</v>
      </c>
      <c r="E375" s="11">
        <v>1.33</v>
      </c>
      <c r="F375" s="7">
        <f>TRUNC(23.64,2)</f>
        <v>23.64</v>
      </c>
      <c r="G375" s="7">
        <f t="shared" si="21"/>
        <v>31.44</v>
      </c>
      <c r="H375" s="7"/>
      <c r="I375" s="11"/>
    </row>
    <row r="376" spans="1:9" ht="15">
      <c r="A376" s="8"/>
      <c r="B376" s="12" t="s">
        <v>51</v>
      </c>
      <c r="C376" s="200" t="s">
        <v>52</v>
      </c>
      <c r="D376" s="8" t="s">
        <v>47</v>
      </c>
      <c r="E376" s="11">
        <v>1.103</v>
      </c>
      <c r="F376" s="7">
        <f>TRUNC(29.95,2)</f>
        <v>29.95</v>
      </c>
      <c r="G376" s="7">
        <f t="shared" si="21"/>
        <v>33.03</v>
      </c>
      <c r="H376" s="7"/>
      <c r="I376" s="11"/>
    </row>
    <row r="377" spans="1:9" ht="30">
      <c r="A377" s="8"/>
      <c r="B377" s="12" t="s">
        <v>978</v>
      </c>
      <c r="C377" s="200" t="s">
        <v>979</v>
      </c>
      <c r="D377" s="8" t="s">
        <v>44</v>
      </c>
      <c r="E377" s="11">
        <v>0.633</v>
      </c>
      <c r="F377" s="7">
        <f>TRUNC(18.16,2)</f>
        <v>18.16</v>
      </c>
      <c r="G377" s="7">
        <f t="shared" si="21"/>
        <v>11.49</v>
      </c>
      <c r="H377" s="7"/>
      <c r="I377" s="11"/>
    </row>
    <row r="378" spans="1:9" ht="30">
      <c r="A378" s="8"/>
      <c r="B378" s="12" t="s">
        <v>980</v>
      </c>
      <c r="C378" s="200" t="s">
        <v>981</v>
      </c>
      <c r="D378" s="8" t="s">
        <v>44</v>
      </c>
      <c r="E378" s="11">
        <v>3.852</v>
      </c>
      <c r="F378" s="7">
        <f>TRUNC(10.68,2)</f>
        <v>10.68</v>
      </c>
      <c r="G378" s="7">
        <f t="shared" si="21"/>
        <v>41.13</v>
      </c>
      <c r="H378" s="7"/>
      <c r="I378" s="11"/>
    </row>
    <row r="379" spans="1:9" ht="30">
      <c r="A379" s="8"/>
      <c r="B379" s="12" t="s">
        <v>231</v>
      </c>
      <c r="C379" s="200" t="s">
        <v>232</v>
      </c>
      <c r="D379" s="8" t="s">
        <v>48</v>
      </c>
      <c r="E379" s="11">
        <v>0.086</v>
      </c>
      <c r="F379" s="7">
        <f>TRUNC(429.84,2)</f>
        <v>429.84</v>
      </c>
      <c r="G379" s="7">
        <f t="shared" si="21"/>
        <v>36.96</v>
      </c>
      <c r="H379" s="7"/>
      <c r="I379" s="11"/>
    </row>
    <row r="380" spans="1:9" ht="15">
      <c r="A380" s="8"/>
      <c r="B380" s="12"/>
      <c r="C380" s="200"/>
      <c r="D380" s="8"/>
      <c r="E380" s="11" t="s">
        <v>33</v>
      </c>
      <c r="F380" s="7"/>
      <c r="G380" s="7">
        <f>TRUNC(SUM(G375:G379),2)</f>
        <v>154.05</v>
      </c>
      <c r="H380" s="7"/>
      <c r="I380" s="11"/>
    </row>
    <row r="381" spans="1:13" s="241" customFormat="1" ht="30">
      <c r="A381" s="170" t="s">
        <v>1360</v>
      </c>
      <c r="B381" s="170" t="s">
        <v>955</v>
      </c>
      <c r="C381" s="171" t="s">
        <v>890</v>
      </c>
      <c r="D381" s="170" t="s">
        <v>23</v>
      </c>
      <c r="E381" s="173">
        <v>64.57</v>
      </c>
      <c r="F381" s="172">
        <f>TRUNC(F382,2)</f>
        <v>18.31</v>
      </c>
      <c r="G381" s="172">
        <f>TRUNC(F381*1.2247,2)</f>
        <v>22.42</v>
      </c>
      <c r="H381" s="172">
        <f>E381*F381</f>
        <v>1182.2767</v>
      </c>
      <c r="I381" s="172">
        <f>TRUNC((E381*G381),2)</f>
        <v>1447.65</v>
      </c>
      <c r="J381" s="129"/>
      <c r="K381" s="129"/>
      <c r="L381" s="129"/>
      <c r="M381" s="129"/>
    </row>
    <row r="382" spans="1:9" s="240" customFormat="1" ht="30">
      <c r="A382" s="211"/>
      <c r="B382" s="212" t="s">
        <v>956</v>
      </c>
      <c r="C382" s="213" t="s">
        <v>890</v>
      </c>
      <c r="D382" s="212" t="s">
        <v>23</v>
      </c>
      <c r="E382" s="214">
        <v>1</v>
      </c>
      <c r="F382" s="215">
        <f>G386</f>
        <v>18.31</v>
      </c>
      <c r="G382" s="242">
        <f>TRUNC(E382*F382,2)</f>
        <v>18.31</v>
      </c>
      <c r="H382" s="242"/>
      <c r="I382" s="243"/>
    </row>
    <row r="383" spans="1:9" s="240" customFormat="1" ht="15">
      <c r="A383" s="211"/>
      <c r="B383" s="212" t="s">
        <v>891</v>
      </c>
      <c r="C383" s="213" t="s">
        <v>892</v>
      </c>
      <c r="D383" s="212" t="s">
        <v>136</v>
      </c>
      <c r="E383" s="214">
        <v>0.00145</v>
      </c>
      <c r="F383" s="215">
        <f>TRUNC(90.4,2)</f>
        <v>90.4</v>
      </c>
      <c r="G383" s="242">
        <f>TRUNC(E383*F383,2)</f>
        <v>0.13</v>
      </c>
      <c r="H383" s="242"/>
      <c r="I383" s="243"/>
    </row>
    <row r="384" spans="1:9" s="240" customFormat="1" ht="15">
      <c r="A384" s="211"/>
      <c r="B384" s="212" t="s">
        <v>189</v>
      </c>
      <c r="C384" s="213" t="s">
        <v>190</v>
      </c>
      <c r="D384" s="212" t="s">
        <v>7</v>
      </c>
      <c r="E384" s="214">
        <v>0.175</v>
      </c>
      <c r="F384" s="215">
        <f>TRUNC(57.2,2)</f>
        <v>57.2</v>
      </c>
      <c r="G384" s="242">
        <f>TRUNC(E384*F384,2)</f>
        <v>10.01</v>
      </c>
      <c r="H384" s="242"/>
      <c r="I384" s="243"/>
    </row>
    <row r="385" spans="1:9" s="240" customFormat="1" ht="30">
      <c r="A385" s="211"/>
      <c r="B385" s="212" t="s">
        <v>45</v>
      </c>
      <c r="C385" s="213" t="s">
        <v>46</v>
      </c>
      <c r="D385" s="212" t="s">
        <v>47</v>
      </c>
      <c r="E385" s="214">
        <v>0.515</v>
      </c>
      <c r="F385" s="215">
        <f>TRUNC(15.87,2)</f>
        <v>15.87</v>
      </c>
      <c r="G385" s="242">
        <f>TRUNC(E385*F385,2)</f>
        <v>8.17</v>
      </c>
      <c r="H385" s="242"/>
      <c r="I385" s="243"/>
    </row>
    <row r="386" spans="1:9" s="240" customFormat="1" ht="15">
      <c r="A386" s="211"/>
      <c r="B386" s="212"/>
      <c r="C386" s="213"/>
      <c r="D386" s="212"/>
      <c r="E386" s="214" t="s">
        <v>33</v>
      </c>
      <c r="F386" s="215"/>
      <c r="G386" s="242">
        <f>TRUNC(SUM(G383:G385),2)</f>
        <v>18.31</v>
      </c>
      <c r="H386" s="242"/>
      <c r="I386" s="243"/>
    </row>
    <row r="387" spans="1:9" ht="30">
      <c r="A387" s="103" t="s">
        <v>1361</v>
      </c>
      <c r="B387" s="104" t="s">
        <v>851</v>
      </c>
      <c r="C387" s="197" t="s">
        <v>852</v>
      </c>
      <c r="D387" s="105" t="s">
        <v>17</v>
      </c>
      <c r="E387" s="102">
        <v>35.51</v>
      </c>
      <c r="F387" s="101">
        <f>TRUNC(F388,2)</f>
        <v>126.42</v>
      </c>
      <c r="G387" s="101">
        <f>TRUNC(F387*1.2882,2)</f>
        <v>162.85</v>
      </c>
      <c r="H387" s="101">
        <f>TRUNC(F387*E387,2)</f>
        <v>4489.17</v>
      </c>
      <c r="I387" s="102">
        <f>TRUNC(E387*G387,2)</f>
        <v>5782.8</v>
      </c>
    </row>
    <row r="388" spans="1:9" ht="30">
      <c r="A388" s="13"/>
      <c r="B388" s="14" t="s">
        <v>851</v>
      </c>
      <c r="C388" s="201" t="s">
        <v>852</v>
      </c>
      <c r="D388" s="13" t="s">
        <v>17</v>
      </c>
      <c r="E388" s="15">
        <v>1</v>
      </c>
      <c r="F388" s="16">
        <f>G392</f>
        <v>126.42</v>
      </c>
      <c r="G388" s="17">
        <f>TRUNC(E388*F388,2)</f>
        <v>126.42</v>
      </c>
      <c r="H388" s="17"/>
      <c r="I388" s="16"/>
    </row>
    <row r="389" spans="1:9" ht="15">
      <c r="A389" s="13"/>
      <c r="B389" s="14" t="s">
        <v>853</v>
      </c>
      <c r="C389" s="201" t="s">
        <v>854</v>
      </c>
      <c r="D389" s="13" t="s">
        <v>44</v>
      </c>
      <c r="E389" s="15">
        <v>2</v>
      </c>
      <c r="F389" s="16">
        <f>TRUNC(54.9,2)</f>
        <v>54.9</v>
      </c>
      <c r="G389" s="17">
        <f>TRUNC(E389*F389,2)</f>
        <v>109.8</v>
      </c>
      <c r="H389" s="17"/>
      <c r="I389" s="16"/>
    </row>
    <row r="390" spans="1:9" ht="15">
      <c r="A390" s="13"/>
      <c r="B390" s="14" t="s">
        <v>855</v>
      </c>
      <c r="C390" s="201" t="s">
        <v>856</v>
      </c>
      <c r="D390" s="13" t="s">
        <v>47</v>
      </c>
      <c r="E390" s="15">
        <v>0.476</v>
      </c>
      <c r="F390" s="16">
        <f>TRUNC(30.04,2)</f>
        <v>30.04</v>
      </c>
      <c r="G390" s="17">
        <f>TRUNC(E390*F390,2)</f>
        <v>14.29</v>
      </c>
      <c r="H390" s="17"/>
      <c r="I390" s="16"/>
    </row>
    <row r="391" spans="1:9" ht="15">
      <c r="A391" s="13"/>
      <c r="B391" s="14" t="s">
        <v>857</v>
      </c>
      <c r="C391" s="201" t="s">
        <v>858</v>
      </c>
      <c r="D391" s="13" t="s">
        <v>47</v>
      </c>
      <c r="E391" s="15">
        <v>0.096</v>
      </c>
      <c r="F391" s="16">
        <f>TRUNC(24.32,2)</f>
        <v>24.32</v>
      </c>
      <c r="G391" s="17">
        <f>TRUNC(E391*F391,2)</f>
        <v>2.33</v>
      </c>
      <c r="H391" s="17"/>
      <c r="I391" s="16"/>
    </row>
    <row r="392" spans="1:9" ht="15">
      <c r="A392" s="13"/>
      <c r="B392" s="14"/>
      <c r="C392" s="201"/>
      <c r="D392" s="13"/>
      <c r="E392" s="15" t="s">
        <v>33</v>
      </c>
      <c r="F392" s="16"/>
      <c r="G392" s="17">
        <f>TRUNC(SUM(G389:G391),2)</f>
        <v>126.42</v>
      </c>
      <c r="H392" s="17"/>
      <c r="I392" s="16"/>
    </row>
    <row r="393" spans="1:13" s="241" customFormat="1" ht="30">
      <c r="A393" s="170" t="s">
        <v>1362</v>
      </c>
      <c r="B393" s="170" t="s">
        <v>963</v>
      </c>
      <c r="C393" s="171" t="s">
        <v>900</v>
      </c>
      <c r="D393" s="170" t="s">
        <v>23</v>
      </c>
      <c r="E393" s="173">
        <v>35.3</v>
      </c>
      <c r="F393" s="172">
        <f>TRUNC(F394,2)</f>
        <v>43.3</v>
      </c>
      <c r="G393" s="172">
        <f>TRUNC(F393*1.2247,2)</f>
        <v>53.02</v>
      </c>
      <c r="H393" s="172">
        <f>E393*F393</f>
        <v>1528.4899999999998</v>
      </c>
      <c r="I393" s="172">
        <f>TRUNC((E393*G393),2)</f>
        <v>1871.6</v>
      </c>
      <c r="J393" s="129"/>
      <c r="K393" s="129"/>
      <c r="L393" s="129"/>
      <c r="M393" s="129"/>
    </row>
    <row r="394" spans="1:9" s="240" customFormat="1" ht="30">
      <c r="A394" s="211"/>
      <c r="B394" s="216" t="s">
        <v>917</v>
      </c>
      <c r="C394" s="218" t="s">
        <v>900</v>
      </c>
      <c r="D394" s="219" t="s">
        <v>23</v>
      </c>
      <c r="E394" s="214">
        <v>1</v>
      </c>
      <c r="F394" s="215">
        <f>G401</f>
        <v>43.3</v>
      </c>
      <c r="G394" s="242">
        <f aca="true" t="shared" si="22" ref="G394:G400">TRUNC(E394*F394,2)</f>
        <v>43.3</v>
      </c>
      <c r="H394" s="242"/>
      <c r="I394" s="243"/>
    </row>
    <row r="395" spans="1:9" s="240" customFormat="1" ht="30">
      <c r="A395" s="211"/>
      <c r="B395" s="216" t="s">
        <v>918</v>
      </c>
      <c r="C395" s="218" t="s">
        <v>901</v>
      </c>
      <c r="D395" s="219" t="s">
        <v>48</v>
      </c>
      <c r="E395" s="214">
        <v>0.037</v>
      </c>
      <c r="F395" s="215">
        <f>TRUNC(389,2)</f>
        <v>389</v>
      </c>
      <c r="G395" s="242">
        <f t="shared" si="22"/>
        <v>14.39</v>
      </c>
      <c r="H395" s="242"/>
      <c r="I395" s="243"/>
    </row>
    <row r="396" spans="1:9" s="240" customFormat="1" ht="30">
      <c r="A396" s="211"/>
      <c r="B396" s="216" t="s">
        <v>919</v>
      </c>
      <c r="C396" s="218" t="s">
        <v>902</v>
      </c>
      <c r="D396" s="219" t="s">
        <v>23</v>
      </c>
      <c r="E396" s="214">
        <v>0.083</v>
      </c>
      <c r="F396" s="215">
        <f>TRUNC(35.58,2)</f>
        <v>35.58</v>
      </c>
      <c r="G396" s="242">
        <f t="shared" si="22"/>
        <v>2.95</v>
      </c>
      <c r="H396" s="242"/>
      <c r="I396" s="243"/>
    </row>
    <row r="397" spans="1:9" s="240" customFormat="1" ht="15">
      <c r="A397" s="211"/>
      <c r="B397" s="216" t="s">
        <v>84</v>
      </c>
      <c r="C397" s="218" t="s">
        <v>85</v>
      </c>
      <c r="D397" s="219" t="s">
        <v>23</v>
      </c>
      <c r="E397" s="214">
        <v>0.2</v>
      </c>
      <c r="F397" s="215">
        <f>TRUNC(3.04,2)</f>
        <v>3.04</v>
      </c>
      <c r="G397" s="242">
        <f t="shared" si="22"/>
        <v>0.6</v>
      </c>
      <c r="H397" s="242"/>
      <c r="I397" s="243"/>
    </row>
    <row r="398" spans="1:9" s="240" customFormat="1" ht="15">
      <c r="A398" s="211"/>
      <c r="B398" s="216" t="s">
        <v>920</v>
      </c>
      <c r="C398" s="218" t="s">
        <v>903</v>
      </c>
      <c r="D398" s="219" t="s">
        <v>48</v>
      </c>
      <c r="E398" s="214">
        <v>0.01</v>
      </c>
      <c r="F398" s="215">
        <f>TRUNC(104.45,2)</f>
        <v>104.45</v>
      </c>
      <c r="G398" s="242">
        <f t="shared" si="22"/>
        <v>1.04</v>
      </c>
      <c r="H398" s="242"/>
      <c r="I398" s="243"/>
    </row>
    <row r="399" spans="1:9" s="240" customFormat="1" ht="15">
      <c r="A399" s="211"/>
      <c r="B399" s="216" t="s">
        <v>49</v>
      </c>
      <c r="C399" s="218" t="s">
        <v>50</v>
      </c>
      <c r="D399" s="219" t="s">
        <v>47</v>
      </c>
      <c r="E399" s="214">
        <v>0.454</v>
      </c>
      <c r="F399" s="215">
        <f>TRUNC(23.64,2)</f>
        <v>23.64</v>
      </c>
      <c r="G399" s="242">
        <f t="shared" si="22"/>
        <v>10.73</v>
      </c>
      <c r="H399" s="242"/>
      <c r="I399" s="243"/>
    </row>
    <row r="400" spans="1:9" s="240" customFormat="1" ht="15">
      <c r="A400" s="211"/>
      <c r="B400" s="216" t="s">
        <v>51</v>
      </c>
      <c r="C400" s="218" t="s">
        <v>52</v>
      </c>
      <c r="D400" s="219" t="s">
        <v>47</v>
      </c>
      <c r="E400" s="214">
        <v>0.454</v>
      </c>
      <c r="F400" s="215">
        <f>TRUNC(29.95,2)</f>
        <v>29.95</v>
      </c>
      <c r="G400" s="242">
        <f t="shared" si="22"/>
        <v>13.59</v>
      </c>
      <c r="H400" s="242"/>
      <c r="I400" s="243"/>
    </row>
    <row r="401" spans="1:9" s="240" customFormat="1" ht="15">
      <c r="A401" s="211"/>
      <c r="B401" s="216"/>
      <c r="C401" s="218"/>
      <c r="D401" s="219"/>
      <c r="E401" s="214" t="s">
        <v>33</v>
      </c>
      <c r="F401" s="215"/>
      <c r="G401" s="242">
        <f>TRUNC(SUM(G395:G400),2)</f>
        <v>43.3</v>
      </c>
      <c r="H401" s="242"/>
      <c r="I401" s="243"/>
    </row>
    <row r="402" spans="1:9" s="240" customFormat="1" ht="15.75">
      <c r="A402" s="165" t="s">
        <v>943</v>
      </c>
      <c r="B402" s="166"/>
      <c r="C402" s="165" t="s">
        <v>1163</v>
      </c>
      <c r="D402" s="167"/>
      <c r="E402" s="168"/>
      <c r="F402" s="169"/>
      <c r="G402" s="239"/>
      <c r="H402" s="239"/>
      <c r="I402" s="239"/>
    </row>
    <row r="403" spans="1:9" ht="45">
      <c r="A403" s="103" t="s">
        <v>1363</v>
      </c>
      <c r="B403" s="110" t="s">
        <v>984</v>
      </c>
      <c r="C403" s="210" t="s">
        <v>985</v>
      </c>
      <c r="D403" s="103" t="s">
        <v>17</v>
      </c>
      <c r="E403" s="111">
        <v>61.96</v>
      </c>
      <c r="F403" s="101">
        <f>TRUNC(G404,2)</f>
        <v>78.87</v>
      </c>
      <c r="G403" s="101">
        <f>TRUNC(F403*1.2882,2)</f>
        <v>101.6</v>
      </c>
      <c r="H403" s="101">
        <f>TRUNC(F403*E403,2)</f>
        <v>4886.78</v>
      </c>
      <c r="I403" s="102">
        <f>TRUNC(E403*G403,2)</f>
        <v>6295.13</v>
      </c>
    </row>
    <row r="404" spans="1:9" ht="45">
      <c r="A404" s="8"/>
      <c r="B404" s="12" t="s">
        <v>984</v>
      </c>
      <c r="C404" s="200" t="s">
        <v>985</v>
      </c>
      <c r="D404" s="8" t="s">
        <v>17</v>
      </c>
      <c r="E404" s="11">
        <v>1</v>
      </c>
      <c r="F404" s="7">
        <f>G409</f>
        <v>78.87</v>
      </c>
      <c r="G404" s="7">
        <f>TRUNC(E404*F404,2)</f>
        <v>78.87</v>
      </c>
      <c r="H404" s="7"/>
      <c r="I404" s="11"/>
    </row>
    <row r="405" spans="1:9" ht="15">
      <c r="A405" s="8"/>
      <c r="B405" s="12" t="s">
        <v>986</v>
      </c>
      <c r="C405" s="200" t="s">
        <v>987</v>
      </c>
      <c r="D405" s="8" t="s">
        <v>7</v>
      </c>
      <c r="E405" s="11">
        <v>13</v>
      </c>
      <c r="F405" s="7">
        <f>TRUNC(3.0825,2)</f>
        <v>3.08</v>
      </c>
      <c r="G405" s="7">
        <f>TRUNC(E405*F405,2)</f>
        <v>40.04</v>
      </c>
      <c r="H405" s="7"/>
      <c r="I405" s="11"/>
    </row>
    <row r="406" spans="1:9" ht="30">
      <c r="A406" s="8"/>
      <c r="B406" s="12" t="s">
        <v>45</v>
      </c>
      <c r="C406" s="200" t="s">
        <v>46</v>
      </c>
      <c r="D406" s="8" t="s">
        <v>47</v>
      </c>
      <c r="E406" s="11">
        <v>0.8549</v>
      </c>
      <c r="F406" s="7">
        <f>TRUNC(15.87,2)</f>
        <v>15.87</v>
      </c>
      <c r="G406" s="7">
        <f>TRUNC(E406*F406,2)</f>
        <v>13.56</v>
      </c>
      <c r="H406" s="7"/>
      <c r="I406" s="11"/>
    </row>
    <row r="407" spans="1:9" ht="15">
      <c r="A407" s="8"/>
      <c r="B407" s="12" t="s">
        <v>363</v>
      </c>
      <c r="C407" s="200" t="s">
        <v>364</v>
      </c>
      <c r="D407" s="8" t="s">
        <v>47</v>
      </c>
      <c r="E407" s="11">
        <v>0.8549</v>
      </c>
      <c r="F407" s="7">
        <f>TRUNC(21.96,2)</f>
        <v>21.96</v>
      </c>
      <c r="G407" s="7">
        <f>TRUNC(E407*F407,2)</f>
        <v>18.77</v>
      </c>
      <c r="H407" s="7"/>
      <c r="I407" s="11"/>
    </row>
    <row r="408" spans="1:9" ht="30">
      <c r="A408" s="8"/>
      <c r="B408" s="12" t="s">
        <v>988</v>
      </c>
      <c r="C408" s="200" t="s">
        <v>989</v>
      </c>
      <c r="D408" s="8" t="s">
        <v>48</v>
      </c>
      <c r="E408" s="11">
        <v>0.015</v>
      </c>
      <c r="F408" s="7">
        <f>TRUNC(433.606,2)</f>
        <v>433.6</v>
      </c>
      <c r="G408" s="7">
        <f>TRUNC(E408*F408,2)</f>
        <v>6.5</v>
      </c>
      <c r="H408" s="7"/>
      <c r="I408" s="11"/>
    </row>
    <row r="409" spans="1:9" ht="15">
      <c r="A409" s="8"/>
      <c r="B409" s="12"/>
      <c r="C409" s="200"/>
      <c r="D409" s="8"/>
      <c r="E409" s="11" t="s">
        <v>33</v>
      </c>
      <c r="F409" s="7"/>
      <c r="G409" s="7">
        <f>TRUNC(SUM(G405:G408),2)</f>
        <v>78.87</v>
      </c>
      <c r="H409" s="7"/>
      <c r="I409" s="11"/>
    </row>
    <row r="410" spans="1:9" ht="75">
      <c r="A410" s="103" t="s">
        <v>1364</v>
      </c>
      <c r="B410" s="110" t="s">
        <v>990</v>
      </c>
      <c r="C410" s="210" t="s">
        <v>991</v>
      </c>
      <c r="D410" s="103" t="s">
        <v>23</v>
      </c>
      <c r="E410" s="111">
        <v>7.5</v>
      </c>
      <c r="F410" s="101">
        <f>TRUNC(G411,2)</f>
        <v>30.8</v>
      </c>
      <c r="G410" s="101">
        <f>TRUNC(F410*1.2882,2)</f>
        <v>39.67</v>
      </c>
      <c r="H410" s="101">
        <f>TRUNC(F410*E410,2)</f>
        <v>231</v>
      </c>
      <c r="I410" s="102">
        <f>TRUNC(E410*G410,2)</f>
        <v>297.52</v>
      </c>
    </row>
    <row r="411" spans="1:9" ht="75">
      <c r="A411" s="8"/>
      <c r="B411" s="12" t="s">
        <v>990</v>
      </c>
      <c r="C411" s="200" t="s">
        <v>991</v>
      </c>
      <c r="D411" s="8" t="s">
        <v>23</v>
      </c>
      <c r="E411" s="11">
        <v>1</v>
      </c>
      <c r="F411" s="7">
        <f>G416</f>
        <v>30.8</v>
      </c>
      <c r="G411" s="7">
        <f>TRUNC(E411*F411,2)</f>
        <v>30.8</v>
      </c>
      <c r="H411" s="7"/>
      <c r="I411" s="11"/>
    </row>
    <row r="412" spans="1:9" ht="15">
      <c r="A412" s="8"/>
      <c r="B412" s="12" t="s">
        <v>992</v>
      </c>
      <c r="C412" s="200" t="s">
        <v>993</v>
      </c>
      <c r="D412" s="8" t="s">
        <v>7</v>
      </c>
      <c r="E412" s="11">
        <v>4</v>
      </c>
      <c r="F412" s="7">
        <f>TRUNC(3.01,2)</f>
        <v>3.01</v>
      </c>
      <c r="G412" s="7">
        <f>TRUNC(E412*F412,2)</f>
        <v>12.04</v>
      </c>
      <c r="H412" s="7"/>
      <c r="I412" s="11"/>
    </row>
    <row r="413" spans="1:9" ht="30">
      <c r="A413" s="8"/>
      <c r="B413" s="12" t="s">
        <v>45</v>
      </c>
      <c r="C413" s="200" t="s">
        <v>46</v>
      </c>
      <c r="D413" s="8" t="s">
        <v>47</v>
      </c>
      <c r="E413" s="11">
        <v>0.41200000000000003</v>
      </c>
      <c r="F413" s="7">
        <f>TRUNC(15.87,2)</f>
        <v>15.87</v>
      </c>
      <c r="G413" s="7">
        <f>TRUNC(E413*F413,2)</f>
        <v>6.53</v>
      </c>
      <c r="H413" s="7"/>
      <c r="I413" s="11"/>
    </row>
    <row r="414" spans="1:9" ht="15">
      <c r="A414" s="8"/>
      <c r="B414" s="12" t="s">
        <v>363</v>
      </c>
      <c r="C414" s="200" t="s">
        <v>364</v>
      </c>
      <c r="D414" s="8" t="s">
        <v>47</v>
      </c>
      <c r="E414" s="11">
        <v>0.3502</v>
      </c>
      <c r="F414" s="7">
        <f>TRUNC(21.96,2)</f>
        <v>21.96</v>
      </c>
      <c r="G414" s="7">
        <f>TRUNC(E414*F414,2)</f>
        <v>7.69</v>
      </c>
      <c r="H414" s="7"/>
      <c r="I414" s="11"/>
    </row>
    <row r="415" spans="1:9" ht="15">
      <c r="A415" s="8"/>
      <c r="B415" s="12" t="s">
        <v>743</v>
      </c>
      <c r="C415" s="200" t="s">
        <v>744</v>
      </c>
      <c r="D415" s="8" t="s">
        <v>48</v>
      </c>
      <c r="E415" s="11">
        <v>0.01</v>
      </c>
      <c r="F415" s="7">
        <f>TRUNC(454.2573,2)</f>
        <v>454.25</v>
      </c>
      <c r="G415" s="7">
        <f>TRUNC(E415*F415,2)</f>
        <v>4.54</v>
      </c>
      <c r="H415" s="7"/>
      <c r="I415" s="11"/>
    </row>
    <row r="416" spans="1:9" ht="15">
      <c r="A416" s="8"/>
      <c r="B416" s="12"/>
      <c r="C416" s="200"/>
      <c r="D416" s="8"/>
      <c r="E416" s="11" t="s">
        <v>33</v>
      </c>
      <c r="F416" s="7"/>
      <c r="G416" s="7">
        <f>TRUNC(SUM(G412:G415),2)</f>
        <v>30.8</v>
      </c>
      <c r="H416" s="7"/>
      <c r="I416" s="11"/>
    </row>
    <row r="417" spans="1:13" s="241" customFormat="1" ht="60">
      <c r="A417" s="170" t="s">
        <v>1365</v>
      </c>
      <c r="B417" s="170" t="s">
        <v>910</v>
      </c>
      <c r="C417" s="171" t="s">
        <v>994</v>
      </c>
      <c r="D417" s="170" t="s">
        <v>44</v>
      </c>
      <c r="E417" s="173">
        <v>1399.46</v>
      </c>
      <c r="F417" s="172">
        <f>TRUNC(F418,2)</f>
        <v>7.84</v>
      </c>
      <c r="G417" s="172">
        <f>TRUNC(F417*1.2247,2)</f>
        <v>9.6</v>
      </c>
      <c r="H417" s="172">
        <f>E417*F417</f>
        <v>10971.7664</v>
      </c>
      <c r="I417" s="172">
        <f>TRUNC((E417*G417),2)</f>
        <v>13434.81</v>
      </c>
      <c r="J417" s="129"/>
      <c r="K417" s="129"/>
      <c r="L417" s="129"/>
      <c r="M417" s="129"/>
    </row>
    <row r="418" spans="1:9" s="240" customFormat="1" ht="60">
      <c r="A418" s="211"/>
      <c r="B418" s="212" t="s">
        <v>870</v>
      </c>
      <c r="C418" s="213" t="s">
        <v>871</v>
      </c>
      <c r="D418" s="212" t="s">
        <v>44</v>
      </c>
      <c r="E418" s="214">
        <v>1</v>
      </c>
      <c r="F418" s="217">
        <f>G423</f>
        <v>7.84</v>
      </c>
      <c r="G418" s="242">
        <f>TRUNC(E418*F418,2)</f>
        <v>7.84</v>
      </c>
      <c r="H418" s="242"/>
      <c r="I418" s="243"/>
    </row>
    <row r="419" spans="1:9" s="240" customFormat="1" ht="15">
      <c r="A419" s="211"/>
      <c r="B419" s="212" t="s">
        <v>872</v>
      </c>
      <c r="C419" s="213" t="s">
        <v>873</v>
      </c>
      <c r="D419" s="212" t="s">
        <v>44</v>
      </c>
      <c r="E419" s="214">
        <v>0.37</v>
      </c>
      <c r="F419" s="217">
        <f>TRUNC(6.2193,2)</f>
        <v>6.21</v>
      </c>
      <c r="G419" s="242">
        <f>TRUNC(E419*F419,2)</f>
        <v>2.29</v>
      </c>
      <c r="H419" s="242"/>
      <c r="I419" s="243"/>
    </row>
    <row r="420" spans="1:9" s="240" customFormat="1" ht="15">
      <c r="A420" s="211"/>
      <c r="B420" s="212" t="s">
        <v>874</v>
      </c>
      <c r="C420" s="213" t="s">
        <v>875</v>
      </c>
      <c r="D420" s="212" t="s">
        <v>44</v>
      </c>
      <c r="E420" s="214">
        <v>0.37</v>
      </c>
      <c r="F420" s="217">
        <f>TRUNC(6.8509,2)</f>
        <v>6.85</v>
      </c>
      <c r="G420" s="242">
        <f>TRUNC(E420*F420,2)</f>
        <v>2.53</v>
      </c>
      <c r="H420" s="242"/>
      <c r="I420" s="243"/>
    </row>
    <row r="421" spans="1:9" s="240" customFormat="1" ht="15">
      <c r="A421" s="211"/>
      <c r="B421" s="212" t="s">
        <v>876</v>
      </c>
      <c r="C421" s="213" t="s">
        <v>877</v>
      </c>
      <c r="D421" s="212" t="s">
        <v>44</v>
      </c>
      <c r="E421" s="214">
        <v>0.37</v>
      </c>
      <c r="F421" s="217">
        <f>TRUNC(7.1772,2)</f>
        <v>7.17</v>
      </c>
      <c r="G421" s="242">
        <f>TRUNC(E421*F421,2)</f>
        <v>2.65</v>
      </c>
      <c r="H421" s="242"/>
      <c r="I421" s="243"/>
    </row>
    <row r="422" spans="1:9" s="240" customFormat="1" ht="15">
      <c r="A422" s="211"/>
      <c r="B422" s="212" t="s">
        <v>347</v>
      </c>
      <c r="C422" s="213" t="s">
        <v>348</v>
      </c>
      <c r="D422" s="212" t="s">
        <v>44</v>
      </c>
      <c r="E422" s="214">
        <v>0.03</v>
      </c>
      <c r="F422" s="217">
        <f>TRUNC(12.3723,2)</f>
        <v>12.37</v>
      </c>
      <c r="G422" s="242">
        <f>TRUNC(E422*F422,2)</f>
        <v>0.37</v>
      </c>
      <c r="H422" s="242"/>
      <c r="I422" s="243"/>
    </row>
    <row r="423" spans="1:9" s="240" customFormat="1" ht="15">
      <c r="A423" s="211"/>
      <c r="B423" s="212"/>
      <c r="C423" s="213"/>
      <c r="D423" s="212"/>
      <c r="E423" s="214" t="s">
        <v>33</v>
      </c>
      <c r="F423" s="217"/>
      <c r="G423" s="242">
        <f>TRUNC(SUM(G419:G422),2)</f>
        <v>7.84</v>
      </c>
      <c r="H423" s="242"/>
      <c r="I423" s="243"/>
    </row>
    <row r="424" spans="1:13" s="241" customFormat="1" ht="30">
      <c r="A424" s="170" t="s">
        <v>1339</v>
      </c>
      <c r="B424" s="170" t="s">
        <v>909</v>
      </c>
      <c r="C424" s="171" t="s">
        <v>995</v>
      </c>
      <c r="D424" s="170" t="s">
        <v>44</v>
      </c>
      <c r="E424" s="173">
        <v>1399.46</v>
      </c>
      <c r="F424" s="172">
        <f>TRUNC(F425,2)</f>
        <v>4.08</v>
      </c>
      <c r="G424" s="172">
        <f>TRUNC(F424*1.2247,2)</f>
        <v>4.99</v>
      </c>
      <c r="H424" s="172">
        <f>E424*F424</f>
        <v>5709.7968</v>
      </c>
      <c r="I424" s="172">
        <f>TRUNC((E424*G424),2)</f>
        <v>6983.3</v>
      </c>
      <c r="J424" s="129"/>
      <c r="K424" s="129"/>
      <c r="L424" s="129"/>
      <c r="M424" s="129"/>
    </row>
    <row r="425" spans="1:9" s="240" customFormat="1" ht="30">
      <c r="A425" s="211"/>
      <c r="B425" s="212" t="s">
        <v>878</v>
      </c>
      <c r="C425" s="213" t="s">
        <v>879</v>
      </c>
      <c r="D425" s="212" t="s">
        <v>44</v>
      </c>
      <c r="E425" s="214">
        <v>1</v>
      </c>
      <c r="F425" s="217">
        <f>G428</f>
        <v>4.08</v>
      </c>
      <c r="G425" s="242">
        <f>TRUNC(E425*F425,2)</f>
        <v>4.08</v>
      </c>
      <c r="H425" s="242"/>
      <c r="I425" s="243"/>
    </row>
    <row r="426" spans="1:9" s="240" customFormat="1" ht="30">
      <c r="A426" s="211"/>
      <c r="B426" s="212" t="s">
        <v>45</v>
      </c>
      <c r="C426" s="213" t="s">
        <v>46</v>
      </c>
      <c r="D426" s="212" t="s">
        <v>47</v>
      </c>
      <c r="E426" s="214">
        <v>0.10815</v>
      </c>
      <c r="F426" s="217">
        <f>TRUNC(15.87,2)</f>
        <v>15.87</v>
      </c>
      <c r="G426" s="242">
        <f>TRUNC(E426*F426,2)</f>
        <v>1.71</v>
      </c>
      <c r="H426" s="242"/>
      <c r="I426" s="243"/>
    </row>
    <row r="427" spans="1:9" s="240" customFormat="1" ht="30">
      <c r="A427" s="211"/>
      <c r="B427" s="212" t="s">
        <v>880</v>
      </c>
      <c r="C427" s="213" t="s">
        <v>881</v>
      </c>
      <c r="D427" s="212" t="s">
        <v>47</v>
      </c>
      <c r="E427" s="214">
        <v>0.10815</v>
      </c>
      <c r="F427" s="217">
        <f>TRUNC(21.96,2)</f>
        <v>21.96</v>
      </c>
      <c r="G427" s="242">
        <f>TRUNC(E427*F427,2)</f>
        <v>2.37</v>
      </c>
      <c r="H427" s="242"/>
      <c r="I427" s="243"/>
    </row>
    <row r="428" spans="1:9" s="240" customFormat="1" ht="15">
      <c r="A428" s="211"/>
      <c r="B428" s="212"/>
      <c r="C428" s="213"/>
      <c r="D428" s="212"/>
      <c r="E428" s="214" t="s">
        <v>33</v>
      </c>
      <c r="F428" s="217"/>
      <c r="G428" s="242">
        <f>TRUNC(SUM(G426:G427),2)</f>
        <v>4.08</v>
      </c>
      <c r="H428" s="242"/>
      <c r="I428" s="243"/>
    </row>
    <row r="429" spans="1:13" s="241" customFormat="1" ht="45">
      <c r="A429" s="170" t="s">
        <v>1366</v>
      </c>
      <c r="B429" s="170" t="s">
        <v>1122</v>
      </c>
      <c r="C429" s="171" t="s">
        <v>1123</v>
      </c>
      <c r="D429" s="170" t="s">
        <v>48</v>
      </c>
      <c r="E429" s="173">
        <v>20.45</v>
      </c>
      <c r="F429" s="172">
        <f>TRUNC(F430,2)</f>
        <v>642.73</v>
      </c>
      <c r="G429" s="172">
        <f>TRUNC(F429*1.2247,2)</f>
        <v>787.15</v>
      </c>
      <c r="H429" s="172">
        <f>E429*F429</f>
        <v>13143.8285</v>
      </c>
      <c r="I429" s="172">
        <f>TRUNC((E429*G429),2)</f>
        <v>16097.21</v>
      </c>
      <c r="J429" s="129"/>
      <c r="K429" s="129"/>
      <c r="L429" s="129"/>
      <c r="M429" s="129"/>
    </row>
    <row r="430" spans="1:9" s="240" customFormat="1" ht="45">
      <c r="A430" s="211"/>
      <c r="B430" s="216" t="s">
        <v>1122</v>
      </c>
      <c r="C430" s="213" t="s">
        <v>1123</v>
      </c>
      <c r="D430" s="212" t="s">
        <v>48</v>
      </c>
      <c r="E430" s="214">
        <v>1</v>
      </c>
      <c r="F430" s="215">
        <f>G434</f>
        <v>642.73</v>
      </c>
      <c r="G430" s="242">
        <f>TRUNC(E430*F430,2)</f>
        <v>642.73</v>
      </c>
      <c r="H430" s="242"/>
      <c r="I430" s="243"/>
    </row>
    <row r="431" spans="1:9" s="240" customFormat="1" ht="15">
      <c r="A431" s="211"/>
      <c r="B431" s="216" t="s">
        <v>846</v>
      </c>
      <c r="C431" s="213" t="s">
        <v>847</v>
      </c>
      <c r="D431" s="212" t="s">
        <v>48</v>
      </c>
      <c r="E431" s="214">
        <v>1</v>
      </c>
      <c r="F431" s="215">
        <f>TRUNC(119.0063,2)</f>
        <v>119</v>
      </c>
      <c r="G431" s="242">
        <f>TRUNC(E431*F431,2)</f>
        <v>119</v>
      </c>
      <c r="H431" s="242"/>
      <c r="I431" s="243"/>
    </row>
    <row r="432" spans="1:9" s="240" customFormat="1" ht="15">
      <c r="A432" s="211"/>
      <c r="B432" s="216" t="s">
        <v>848</v>
      </c>
      <c r="C432" s="213" t="s">
        <v>849</v>
      </c>
      <c r="D432" s="212" t="s">
        <v>48</v>
      </c>
      <c r="E432" s="214">
        <v>1</v>
      </c>
      <c r="F432" s="215">
        <f>TRUNC(78.9957,2)</f>
        <v>78.99</v>
      </c>
      <c r="G432" s="242">
        <f>TRUNC(E432*F432,2)</f>
        <v>78.99</v>
      </c>
      <c r="H432" s="242"/>
      <c r="I432" s="243"/>
    </row>
    <row r="433" spans="1:9" s="240" customFormat="1" ht="15">
      <c r="A433" s="211"/>
      <c r="B433" s="216" t="s">
        <v>1124</v>
      </c>
      <c r="C433" s="213" t="s">
        <v>1125</v>
      </c>
      <c r="D433" s="212" t="s">
        <v>48</v>
      </c>
      <c r="E433" s="214">
        <v>1</v>
      </c>
      <c r="F433" s="215">
        <f>TRUNC(444.7468,2)</f>
        <v>444.74</v>
      </c>
      <c r="G433" s="242">
        <f>TRUNC(E433*F433,2)</f>
        <v>444.74</v>
      </c>
      <c r="H433" s="242"/>
      <c r="I433" s="243"/>
    </row>
    <row r="434" spans="1:9" s="240" customFormat="1" ht="15">
      <c r="A434" s="211"/>
      <c r="B434" s="216"/>
      <c r="C434" s="213"/>
      <c r="D434" s="212"/>
      <c r="E434" s="214" t="s">
        <v>33</v>
      </c>
      <c r="F434" s="215"/>
      <c r="G434" s="242">
        <f>TRUNC(SUM(G431:G433),2)</f>
        <v>642.73</v>
      </c>
      <c r="H434" s="242"/>
      <c r="I434" s="243"/>
    </row>
    <row r="435" spans="1:13" s="241" customFormat="1" ht="45">
      <c r="A435" s="170" t="s">
        <v>1367</v>
      </c>
      <c r="B435" s="170" t="s">
        <v>911</v>
      </c>
      <c r="C435" s="171" t="s">
        <v>996</v>
      </c>
      <c r="D435" s="170" t="s">
        <v>17</v>
      </c>
      <c r="E435" s="173">
        <v>168.14</v>
      </c>
      <c r="F435" s="172">
        <f>TRUNC(F436,2)</f>
        <v>35.41</v>
      </c>
      <c r="G435" s="172">
        <f>TRUNC(F435*1.2247,2)</f>
        <v>43.36</v>
      </c>
      <c r="H435" s="172">
        <f>E435*F435</f>
        <v>5953.8373999999985</v>
      </c>
      <c r="I435" s="172">
        <f>TRUNC((E435*G435),2)</f>
        <v>7290.55</v>
      </c>
      <c r="J435" s="129"/>
      <c r="K435" s="129"/>
      <c r="L435" s="129"/>
      <c r="M435" s="129"/>
    </row>
    <row r="436" spans="1:9" s="240" customFormat="1" ht="45">
      <c r="A436" s="211"/>
      <c r="B436" s="212" t="s">
        <v>912</v>
      </c>
      <c r="C436" s="213" t="s">
        <v>886</v>
      </c>
      <c r="D436" s="212" t="s">
        <v>17</v>
      </c>
      <c r="E436" s="214">
        <v>1</v>
      </c>
      <c r="F436" s="217">
        <f>G443</f>
        <v>35.41</v>
      </c>
      <c r="G436" s="242">
        <f aca="true" t="shared" si="23" ref="G436:G442">TRUNC(E436*F436,2)</f>
        <v>35.41</v>
      </c>
      <c r="H436" s="242"/>
      <c r="I436" s="243"/>
    </row>
    <row r="437" spans="1:9" s="240" customFormat="1" ht="30">
      <c r="A437" s="211"/>
      <c r="B437" s="212" t="s">
        <v>410</v>
      </c>
      <c r="C437" s="213" t="s">
        <v>411</v>
      </c>
      <c r="D437" s="212" t="s">
        <v>44</v>
      </c>
      <c r="E437" s="214">
        <v>0.1</v>
      </c>
      <c r="F437" s="217">
        <f>TRUNC(18.29,2)</f>
        <v>18.29</v>
      </c>
      <c r="G437" s="242">
        <f t="shared" si="23"/>
        <v>1.82</v>
      </c>
      <c r="H437" s="242"/>
      <c r="I437" s="243"/>
    </row>
    <row r="438" spans="1:9" s="240" customFormat="1" ht="15">
      <c r="A438" s="211"/>
      <c r="B438" s="212" t="s">
        <v>832</v>
      </c>
      <c r="C438" s="213" t="s">
        <v>833</v>
      </c>
      <c r="D438" s="212" t="s">
        <v>23</v>
      </c>
      <c r="E438" s="214">
        <v>0.83</v>
      </c>
      <c r="F438" s="217">
        <f>TRUNC(12.53,2)</f>
        <v>12.53</v>
      </c>
      <c r="G438" s="242">
        <f t="shared" si="23"/>
        <v>10.39</v>
      </c>
      <c r="H438" s="242"/>
      <c r="I438" s="243"/>
    </row>
    <row r="439" spans="1:9" s="240" customFormat="1" ht="30">
      <c r="A439" s="211"/>
      <c r="B439" s="212" t="s">
        <v>45</v>
      </c>
      <c r="C439" s="213" t="s">
        <v>46</v>
      </c>
      <c r="D439" s="212" t="s">
        <v>47</v>
      </c>
      <c r="E439" s="214">
        <v>0.515</v>
      </c>
      <c r="F439" s="217">
        <f>TRUNC(15.87,2)</f>
        <v>15.87</v>
      </c>
      <c r="G439" s="242">
        <f t="shared" si="23"/>
        <v>8.17</v>
      </c>
      <c r="H439" s="242"/>
      <c r="I439" s="243"/>
    </row>
    <row r="440" spans="1:9" s="240" customFormat="1" ht="30">
      <c r="A440" s="211"/>
      <c r="B440" s="212" t="s">
        <v>69</v>
      </c>
      <c r="C440" s="213" t="s">
        <v>70</v>
      </c>
      <c r="D440" s="212" t="s">
        <v>47</v>
      </c>
      <c r="E440" s="214">
        <v>0.41200000000000003</v>
      </c>
      <c r="F440" s="217">
        <f>TRUNC(21.96,2)</f>
        <v>21.96</v>
      </c>
      <c r="G440" s="242">
        <f t="shared" si="23"/>
        <v>9.04</v>
      </c>
      <c r="H440" s="242"/>
      <c r="I440" s="243"/>
    </row>
    <row r="441" spans="1:9" s="240" customFormat="1" ht="15">
      <c r="A441" s="211"/>
      <c r="B441" s="212" t="s">
        <v>913</v>
      </c>
      <c r="C441" s="213" t="s">
        <v>914</v>
      </c>
      <c r="D441" s="212" t="s">
        <v>23</v>
      </c>
      <c r="E441" s="214">
        <v>0.66</v>
      </c>
      <c r="F441" s="217">
        <f>TRUNC(4.1243,2)</f>
        <v>4.12</v>
      </c>
      <c r="G441" s="242">
        <f t="shared" si="23"/>
        <v>2.71</v>
      </c>
      <c r="H441" s="242"/>
      <c r="I441" s="243"/>
    </row>
    <row r="442" spans="1:9" s="240" customFormat="1" ht="15">
      <c r="A442" s="211"/>
      <c r="B442" s="212" t="s">
        <v>915</v>
      </c>
      <c r="C442" s="213" t="s">
        <v>916</v>
      </c>
      <c r="D442" s="212" t="s">
        <v>17</v>
      </c>
      <c r="E442" s="214">
        <v>1</v>
      </c>
      <c r="F442" s="217">
        <f>TRUNC(3.2842,2)</f>
        <v>3.28</v>
      </c>
      <c r="G442" s="242">
        <f t="shared" si="23"/>
        <v>3.28</v>
      </c>
      <c r="H442" s="242"/>
      <c r="I442" s="243"/>
    </row>
    <row r="443" spans="1:9" s="240" customFormat="1" ht="15">
      <c r="A443" s="211"/>
      <c r="B443" s="212"/>
      <c r="C443" s="213"/>
      <c r="D443" s="212"/>
      <c r="E443" s="214" t="s">
        <v>33</v>
      </c>
      <c r="F443" s="217"/>
      <c r="G443" s="242">
        <f>TRUNC(SUM(G437:G442),2)</f>
        <v>35.41</v>
      </c>
      <c r="H443" s="242"/>
      <c r="I443" s="243"/>
    </row>
    <row r="444" spans="1:9" ht="30">
      <c r="A444" s="103" t="s">
        <v>1368</v>
      </c>
      <c r="B444" s="110" t="s">
        <v>1159</v>
      </c>
      <c r="C444" s="210" t="s">
        <v>1160</v>
      </c>
      <c r="D444" s="103" t="s">
        <v>48</v>
      </c>
      <c r="E444" s="111">
        <v>7.68</v>
      </c>
      <c r="F444" s="111">
        <f>TRUNC(F445,2)</f>
        <v>55.57</v>
      </c>
      <c r="G444" s="111">
        <f>TRUNC(F444*1.2882,2)</f>
        <v>71.58</v>
      </c>
      <c r="H444" s="111">
        <f>TRUNC(F444*E444,2)</f>
        <v>426.77</v>
      </c>
      <c r="I444" s="111">
        <f>TRUNC(E444*G444,2)</f>
        <v>549.73</v>
      </c>
    </row>
    <row r="445" spans="1:9" ht="30">
      <c r="A445" s="8"/>
      <c r="B445" s="12" t="s">
        <v>1159</v>
      </c>
      <c r="C445" s="200" t="s">
        <v>1160</v>
      </c>
      <c r="D445" s="8" t="s">
        <v>48</v>
      </c>
      <c r="E445" s="11">
        <v>1</v>
      </c>
      <c r="F445" s="7">
        <f>TRUNC(55.57674,2)</f>
        <v>55.57</v>
      </c>
      <c r="G445" s="7">
        <f>TRUNC(E445*F445,2)</f>
        <v>55.57</v>
      </c>
      <c r="H445" s="7"/>
      <c r="I445" s="11"/>
    </row>
    <row r="446" spans="1:9" ht="30">
      <c r="A446" s="8"/>
      <c r="B446" s="12" t="s">
        <v>45</v>
      </c>
      <c r="C446" s="200" t="s">
        <v>46</v>
      </c>
      <c r="D446" s="8" t="s">
        <v>47</v>
      </c>
      <c r="E446" s="11">
        <v>3.502</v>
      </c>
      <c r="F446" s="7">
        <f>TRUNC(15.87,2)</f>
        <v>15.87</v>
      </c>
      <c r="G446" s="7">
        <f>TRUNC(E446*F446,2)</f>
        <v>55.57</v>
      </c>
      <c r="H446" s="7"/>
      <c r="I446" s="11"/>
    </row>
    <row r="447" spans="1:9" ht="15">
      <c r="A447" s="8"/>
      <c r="B447" s="12"/>
      <c r="C447" s="200"/>
      <c r="D447" s="8"/>
      <c r="E447" s="11" t="s">
        <v>33</v>
      </c>
      <c r="F447" s="7"/>
      <c r="G447" s="7">
        <f>TRUNC(SUM(G446:G446),2)</f>
        <v>55.57</v>
      </c>
      <c r="H447" s="7"/>
      <c r="I447" s="11"/>
    </row>
    <row r="448" spans="1:13" s="241" customFormat="1" ht="30">
      <c r="A448" s="170" t="s">
        <v>1369</v>
      </c>
      <c r="B448" s="170" t="s">
        <v>955</v>
      </c>
      <c r="C448" s="171" t="s">
        <v>890</v>
      </c>
      <c r="D448" s="170" t="s">
        <v>23</v>
      </c>
      <c r="E448" s="173">
        <v>90.95</v>
      </c>
      <c r="F448" s="172">
        <f>TRUNC(F449,2)</f>
        <v>18.31</v>
      </c>
      <c r="G448" s="172">
        <f>TRUNC(F448*1.2247,2)</f>
        <v>22.42</v>
      </c>
      <c r="H448" s="172">
        <f>E448*F448</f>
        <v>1665.2945</v>
      </c>
      <c r="I448" s="172">
        <f>TRUNC((E448*G448),2)</f>
        <v>2039.09</v>
      </c>
      <c r="J448" s="129"/>
      <c r="K448" s="129"/>
      <c r="L448" s="129"/>
      <c r="M448" s="129"/>
    </row>
    <row r="449" spans="1:9" s="240" customFormat="1" ht="30">
      <c r="A449" s="211"/>
      <c r="B449" s="212" t="s">
        <v>956</v>
      </c>
      <c r="C449" s="213" t="s">
        <v>890</v>
      </c>
      <c r="D449" s="212" t="s">
        <v>23</v>
      </c>
      <c r="E449" s="214">
        <v>1</v>
      </c>
      <c r="F449" s="215">
        <f>G453</f>
        <v>18.31</v>
      </c>
      <c r="G449" s="242">
        <f>TRUNC(E449*F449,2)</f>
        <v>18.31</v>
      </c>
      <c r="H449" s="242"/>
      <c r="I449" s="243"/>
    </row>
    <row r="450" spans="1:9" s="240" customFormat="1" ht="15">
      <c r="A450" s="211"/>
      <c r="B450" s="212" t="s">
        <v>891</v>
      </c>
      <c r="C450" s="213" t="s">
        <v>892</v>
      </c>
      <c r="D450" s="212" t="s">
        <v>136</v>
      </c>
      <c r="E450" s="214">
        <v>0.00145</v>
      </c>
      <c r="F450" s="215">
        <f>TRUNC(90.4,2)</f>
        <v>90.4</v>
      </c>
      <c r="G450" s="242">
        <f>TRUNC(E450*F450,2)</f>
        <v>0.13</v>
      </c>
      <c r="H450" s="242"/>
      <c r="I450" s="243"/>
    </row>
    <row r="451" spans="1:9" s="240" customFormat="1" ht="15">
      <c r="A451" s="211"/>
      <c r="B451" s="212" t="s">
        <v>189</v>
      </c>
      <c r="C451" s="213" t="s">
        <v>190</v>
      </c>
      <c r="D451" s="212" t="s">
        <v>7</v>
      </c>
      <c r="E451" s="214">
        <v>0.175</v>
      </c>
      <c r="F451" s="215">
        <f>TRUNC(57.2,2)</f>
        <v>57.2</v>
      </c>
      <c r="G451" s="242">
        <f>TRUNC(E451*F451,2)</f>
        <v>10.01</v>
      </c>
      <c r="H451" s="242"/>
      <c r="I451" s="243"/>
    </row>
    <row r="452" spans="1:9" s="240" customFormat="1" ht="30">
      <c r="A452" s="211"/>
      <c r="B452" s="212" t="s">
        <v>45</v>
      </c>
      <c r="C452" s="213" t="s">
        <v>46</v>
      </c>
      <c r="D452" s="212" t="s">
        <v>47</v>
      </c>
      <c r="E452" s="214">
        <v>0.515</v>
      </c>
      <c r="F452" s="215">
        <f>TRUNC(15.87,2)</f>
        <v>15.87</v>
      </c>
      <c r="G452" s="242">
        <f>TRUNC(E452*F452,2)</f>
        <v>8.17</v>
      </c>
      <c r="H452" s="242"/>
      <c r="I452" s="243"/>
    </row>
    <row r="453" spans="1:9" s="240" customFormat="1" ht="15">
      <c r="A453" s="211"/>
      <c r="B453" s="212"/>
      <c r="C453" s="213"/>
      <c r="D453" s="212"/>
      <c r="E453" s="214" t="s">
        <v>33</v>
      </c>
      <c r="F453" s="215"/>
      <c r="G453" s="242">
        <f>TRUNC(SUM(G450:G452),2)</f>
        <v>18.31</v>
      </c>
      <c r="H453" s="242"/>
      <c r="I453" s="243"/>
    </row>
    <row r="454" spans="1:9" ht="30">
      <c r="A454" s="103" t="s">
        <v>1370</v>
      </c>
      <c r="B454" s="104" t="s">
        <v>851</v>
      </c>
      <c r="C454" s="197" t="s">
        <v>852</v>
      </c>
      <c r="D454" s="105" t="s">
        <v>17</v>
      </c>
      <c r="E454" s="102">
        <v>25.51</v>
      </c>
      <c r="F454" s="101">
        <f>TRUNC(F455,2)</f>
        <v>126.42</v>
      </c>
      <c r="G454" s="101">
        <f>TRUNC(F454*1.2882,2)</f>
        <v>162.85</v>
      </c>
      <c r="H454" s="101">
        <f>TRUNC(F454*E454,2)</f>
        <v>3224.97</v>
      </c>
      <c r="I454" s="102">
        <f>TRUNC(E454*G454,2)</f>
        <v>4154.3</v>
      </c>
    </row>
    <row r="455" spans="1:9" ht="30">
      <c r="A455" s="13"/>
      <c r="B455" s="14" t="s">
        <v>851</v>
      </c>
      <c r="C455" s="201" t="s">
        <v>852</v>
      </c>
      <c r="D455" s="13" t="s">
        <v>17</v>
      </c>
      <c r="E455" s="15">
        <v>1</v>
      </c>
      <c r="F455" s="16">
        <f>G459</f>
        <v>126.42</v>
      </c>
      <c r="G455" s="17">
        <f>TRUNC(E455*F455,2)</f>
        <v>126.42</v>
      </c>
      <c r="H455" s="17"/>
      <c r="I455" s="16"/>
    </row>
    <row r="456" spans="1:9" ht="15">
      <c r="A456" s="13"/>
      <c r="B456" s="14" t="s">
        <v>853</v>
      </c>
      <c r="C456" s="201" t="s">
        <v>854</v>
      </c>
      <c r="D456" s="13" t="s">
        <v>44</v>
      </c>
      <c r="E456" s="15">
        <v>2</v>
      </c>
      <c r="F456" s="16">
        <f>TRUNC(54.9,2)</f>
        <v>54.9</v>
      </c>
      <c r="G456" s="17">
        <f>TRUNC(E456*F456,2)</f>
        <v>109.8</v>
      </c>
      <c r="H456" s="17"/>
      <c r="I456" s="16"/>
    </row>
    <row r="457" spans="1:9" ht="15">
      <c r="A457" s="13"/>
      <c r="B457" s="14" t="s">
        <v>855</v>
      </c>
      <c r="C457" s="201" t="s">
        <v>856</v>
      </c>
      <c r="D457" s="13" t="s">
        <v>47</v>
      </c>
      <c r="E457" s="15">
        <v>0.476</v>
      </c>
      <c r="F457" s="16">
        <f>TRUNC(30.04,2)</f>
        <v>30.04</v>
      </c>
      <c r="G457" s="17">
        <f>TRUNC(E457*F457,2)</f>
        <v>14.29</v>
      </c>
      <c r="H457" s="17"/>
      <c r="I457" s="16"/>
    </row>
    <row r="458" spans="1:9" ht="15">
      <c r="A458" s="13"/>
      <c r="B458" s="14" t="s">
        <v>857</v>
      </c>
      <c r="C458" s="201" t="s">
        <v>858</v>
      </c>
      <c r="D458" s="13" t="s">
        <v>47</v>
      </c>
      <c r="E458" s="15">
        <v>0.096</v>
      </c>
      <c r="F458" s="16">
        <f>TRUNC(24.32,2)</f>
        <v>24.32</v>
      </c>
      <c r="G458" s="17">
        <f>TRUNC(E458*F458,2)</f>
        <v>2.33</v>
      </c>
      <c r="H458" s="17"/>
      <c r="I458" s="16"/>
    </row>
    <row r="459" spans="1:9" ht="15">
      <c r="A459" s="13"/>
      <c r="B459" s="14"/>
      <c r="C459" s="201"/>
      <c r="D459" s="13"/>
      <c r="E459" s="15" t="s">
        <v>33</v>
      </c>
      <c r="F459" s="16"/>
      <c r="G459" s="17">
        <f>TRUNC(SUM(G456:G458),2)</f>
        <v>126.42</v>
      </c>
      <c r="H459" s="17"/>
      <c r="I459" s="16"/>
    </row>
    <row r="460" spans="1:9" ht="45">
      <c r="A460" s="103" t="s">
        <v>1371</v>
      </c>
      <c r="B460" s="110" t="s">
        <v>997</v>
      </c>
      <c r="C460" s="210" t="s">
        <v>998</v>
      </c>
      <c r="D460" s="103" t="s">
        <v>17</v>
      </c>
      <c r="E460" s="111">
        <v>102.75</v>
      </c>
      <c r="F460" s="111">
        <f>TRUNC(F461,2)</f>
        <v>31.97</v>
      </c>
      <c r="G460" s="111">
        <f>TRUNC(F460*1.2882,2)</f>
        <v>41.18</v>
      </c>
      <c r="H460" s="111">
        <f>TRUNC(F460*E460,2)</f>
        <v>3284.91</v>
      </c>
      <c r="I460" s="111">
        <f>TRUNC(E460*G460,2)</f>
        <v>4231.24</v>
      </c>
    </row>
    <row r="461" spans="1:9" ht="45">
      <c r="A461" s="8"/>
      <c r="B461" s="12" t="s">
        <v>997</v>
      </c>
      <c r="C461" s="200" t="s">
        <v>998</v>
      </c>
      <c r="D461" s="8" t="s">
        <v>17</v>
      </c>
      <c r="E461" s="11">
        <v>1</v>
      </c>
      <c r="F461" s="7">
        <f>G466</f>
        <v>31.97</v>
      </c>
      <c r="G461" s="7">
        <f>TRUNC(E461*F461,2)</f>
        <v>31.97</v>
      </c>
      <c r="H461" s="7"/>
      <c r="I461" s="11"/>
    </row>
    <row r="462" spans="1:9" ht="30">
      <c r="A462" s="8"/>
      <c r="B462" s="12" t="s">
        <v>45</v>
      </c>
      <c r="C462" s="200" t="s">
        <v>46</v>
      </c>
      <c r="D462" s="8" t="s">
        <v>47</v>
      </c>
      <c r="E462" s="11">
        <v>0.41200000000000003</v>
      </c>
      <c r="F462" s="7">
        <f>TRUNC(15.87,2)</f>
        <v>15.87</v>
      </c>
      <c r="G462" s="7">
        <f>TRUNC(E462*F462,2)</f>
        <v>6.53</v>
      </c>
      <c r="H462" s="7"/>
      <c r="I462" s="11"/>
    </row>
    <row r="463" spans="1:9" ht="15">
      <c r="A463" s="8"/>
      <c r="B463" s="12" t="s">
        <v>363</v>
      </c>
      <c r="C463" s="200" t="s">
        <v>364</v>
      </c>
      <c r="D463" s="8" t="s">
        <v>47</v>
      </c>
      <c r="E463" s="11">
        <v>0.41200000000000003</v>
      </c>
      <c r="F463" s="7">
        <f>TRUNC(21.96,2)</f>
        <v>21.96</v>
      </c>
      <c r="G463" s="7">
        <f>TRUNC(E463*F463,2)</f>
        <v>9.04</v>
      </c>
      <c r="H463" s="7"/>
      <c r="I463" s="11"/>
    </row>
    <row r="464" spans="1:9" ht="30">
      <c r="A464" s="8"/>
      <c r="B464" s="12" t="s">
        <v>960</v>
      </c>
      <c r="C464" s="200" t="s">
        <v>961</v>
      </c>
      <c r="D464" s="8" t="s">
        <v>17</v>
      </c>
      <c r="E464" s="11">
        <v>1</v>
      </c>
      <c r="F464" s="7">
        <f>TRUNC(6.1676,2)</f>
        <v>6.16</v>
      </c>
      <c r="G464" s="7">
        <f>TRUNC(E464*F464,2)</f>
        <v>6.16</v>
      </c>
      <c r="H464" s="7"/>
      <c r="I464" s="11"/>
    </row>
    <row r="465" spans="1:9" ht="15">
      <c r="A465" s="8"/>
      <c r="B465" s="12" t="s">
        <v>999</v>
      </c>
      <c r="C465" s="200" t="s">
        <v>1000</v>
      </c>
      <c r="D465" s="8" t="s">
        <v>48</v>
      </c>
      <c r="E465" s="11">
        <v>0.02625</v>
      </c>
      <c r="F465" s="7">
        <f>TRUNC(390.2883,2)</f>
        <v>390.28</v>
      </c>
      <c r="G465" s="7">
        <f>TRUNC(E465*F465,2)</f>
        <v>10.24</v>
      </c>
      <c r="H465" s="7"/>
      <c r="I465" s="11"/>
    </row>
    <row r="466" spans="1:9" ht="15">
      <c r="A466" s="8"/>
      <c r="B466" s="12"/>
      <c r="C466" s="200"/>
      <c r="D466" s="8"/>
      <c r="E466" s="11" t="s">
        <v>33</v>
      </c>
      <c r="F466" s="7"/>
      <c r="G466" s="7">
        <f>TRUNC(SUM(G462:G465),2)</f>
        <v>31.97</v>
      </c>
      <c r="H466" s="7"/>
      <c r="I466" s="11"/>
    </row>
    <row r="467" spans="1:9" s="240" customFormat="1" ht="15.75">
      <c r="A467" s="165" t="s">
        <v>943</v>
      </c>
      <c r="B467" s="166"/>
      <c r="C467" s="165" t="s">
        <v>1164</v>
      </c>
      <c r="D467" s="167"/>
      <c r="E467" s="168"/>
      <c r="F467" s="169"/>
      <c r="G467" s="239"/>
      <c r="H467" s="239"/>
      <c r="I467" s="239"/>
    </row>
    <row r="468" spans="1:9" ht="45">
      <c r="A468" s="103" t="s">
        <v>1372</v>
      </c>
      <c r="B468" s="110" t="s">
        <v>984</v>
      </c>
      <c r="C468" s="210" t="s">
        <v>985</v>
      </c>
      <c r="D468" s="103" t="s">
        <v>17</v>
      </c>
      <c r="E468" s="111">
        <v>37.09</v>
      </c>
      <c r="F468" s="101">
        <f>TRUNC(G469,2)</f>
        <v>78.87</v>
      </c>
      <c r="G468" s="101">
        <f>TRUNC(F468*1.2882,2)</f>
        <v>101.6</v>
      </c>
      <c r="H468" s="101">
        <f>TRUNC(F468*E468,2)</f>
        <v>2925.28</v>
      </c>
      <c r="I468" s="102">
        <f>TRUNC(E468*G468,2)</f>
        <v>3768.34</v>
      </c>
    </row>
    <row r="469" spans="1:9" ht="45">
      <c r="A469" s="8"/>
      <c r="B469" s="12" t="s">
        <v>984</v>
      </c>
      <c r="C469" s="200" t="s">
        <v>985</v>
      </c>
      <c r="D469" s="8" t="s">
        <v>17</v>
      </c>
      <c r="E469" s="11">
        <v>1</v>
      </c>
      <c r="F469" s="7">
        <f>G474</f>
        <v>78.87</v>
      </c>
      <c r="G469" s="7">
        <f>TRUNC(E469*F469,2)</f>
        <v>78.87</v>
      </c>
      <c r="H469" s="7"/>
      <c r="I469" s="11"/>
    </row>
    <row r="470" spans="1:9" ht="15">
      <c r="A470" s="8"/>
      <c r="B470" s="12" t="s">
        <v>986</v>
      </c>
      <c r="C470" s="200" t="s">
        <v>987</v>
      </c>
      <c r="D470" s="8" t="s">
        <v>7</v>
      </c>
      <c r="E470" s="11">
        <v>13</v>
      </c>
      <c r="F470" s="7">
        <f>TRUNC(3.0825,2)</f>
        <v>3.08</v>
      </c>
      <c r="G470" s="7">
        <f>TRUNC(E470*F470,2)</f>
        <v>40.04</v>
      </c>
      <c r="H470" s="7"/>
      <c r="I470" s="11"/>
    </row>
    <row r="471" spans="1:9" ht="30">
      <c r="A471" s="8"/>
      <c r="B471" s="12" t="s">
        <v>45</v>
      </c>
      <c r="C471" s="200" t="s">
        <v>46</v>
      </c>
      <c r="D471" s="8" t="s">
        <v>47</v>
      </c>
      <c r="E471" s="11">
        <v>0.8549</v>
      </c>
      <c r="F471" s="7">
        <f>TRUNC(15.87,2)</f>
        <v>15.87</v>
      </c>
      <c r="G471" s="7">
        <f>TRUNC(E471*F471,2)</f>
        <v>13.56</v>
      </c>
      <c r="H471" s="7"/>
      <c r="I471" s="11"/>
    </row>
    <row r="472" spans="1:9" ht="15">
      <c r="A472" s="8"/>
      <c r="B472" s="12" t="s">
        <v>363</v>
      </c>
      <c r="C472" s="200" t="s">
        <v>364</v>
      </c>
      <c r="D472" s="8" t="s">
        <v>47</v>
      </c>
      <c r="E472" s="11">
        <v>0.8549</v>
      </c>
      <c r="F472" s="7">
        <f>TRUNC(21.96,2)</f>
        <v>21.96</v>
      </c>
      <c r="G472" s="7">
        <f>TRUNC(E472*F472,2)</f>
        <v>18.77</v>
      </c>
      <c r="H472" s="7"/>
      <c r="I472" s="11"/>
    </row>
    <row r="473" spans="1:9" ht="30">
      <c r="A473" s="8"/>
      <c r="B473" s="12" t="s">
        <v>988</v>
      </c>
      <c r="C473" s="200" t="s">
        <v>989</v>
      </c>
      <c r="D473" s="8" t="s">
        <v>48</v>
      </c>
      <c r="E473" s="11">
        <v>0.015</v>
      </c>
      <c r="F473" s="7">
        <f>TRUNC(433.606,2)</f>
        <v>433.6</v>
      </c>
      <c r="G473" s="7">
        <f>TRUNC(E473*F473,2)</f>
        <v>6.5</v>
      </c>
      <c r="H473" s="7"/>
      <c r="I473" s="11"/>
    </row>
    <row r="474" spans="1:9" ht="15">
      <c r="A474" s="8"/>
      <c r="B474" s="12"/>
      <c r="C474" s="200"/>
      <c r="D474" s="8"/>
      <c r="E474" s="11" t="s">
        <v>33</v>
      </c>
      <c r="F474" s="7"/>
      <c r="G474" s="7">
        <f>TRUNC(SUM(G470:G473),2)</f>
        <v>78.87</v>
      </c>
      <c r="H474" s="7"/>
      <c r="I474" s="11"/>
    </row>
    <row r="475" spans="1:9" ht="75">
      <c r="A475" s="103" t="s">
        <v>1373</v>
      </c>
      <c r="B475" s="110" t="s">
        <v>990</v>
      </c>
      <c r="C475" s="210" t="s">
        <v>991</v>
      </c>
      <c r="D475" s="103" t="s">
        <v>23</v>
      </c>
      <c r="E475" s="111">
        <v>16.72</v>
      </c>
      <c r="F475" s="101">
        <f>TRUNC(G476,2)</f>
        <v>30.8</v>
      </c>
      <c r="G475" s="101">
        <f>TRUNC(F475*1.2882,2)</f>
        <v>39.67</v>
      </c>
      <c r="H475" s="101">
        <f>TRUNC(F475*E475,2)</f>
        <v>514.97</v>
      </c>
      <c r="I475" s="102">
        <f>TRUNC(E475*G475,2)</f>
        <v>663.28</v>
      </c>
    </row>
    <row r="476" spans="1:9" ht="75">
      <c r="A476" s="8"/>
      <c r="B476" s="12" t="s">
        <v>990</v>
      </c>
      <c r="C476" s="200" t="s">
        <v>991</v>
      </c>
      <c r="D476" s="8" t="s">
        <v>23</v>
      </c>
      <c r="E476" s="11">
        <v>1</v>
      </c>
      <c r="F476" s="7">
        <f>G481</f>
        <v>30.8</v>
      </c>
      <c r="G476" s="7">
        <f>TRUNC(E476*F476,2)</f>
        <v>30.8</v>
      </c>
      <c r="H476" s="7"/>
      <c r="I476" s="11"/>
    </row>
    <row r="477" spans="1:9" ht="15">
      <c r="A477" s="8"/>
      <c r="B477" s="12" t="s">
        <v>992</v>
      </c>
      <c r="C477" s="200" t="s">
        <v>993</v>
      </c>
      <c r="D477" s="8" t="s">
        <v>7</v>
      </c>
      <c r="E477" s="11">
        <v>4</v>
      </c>
      <c r="F477" s="7">
        <f>TRUNC(3.01,2)</f>
        <v>3.01</v>
      </c>
      <c r="G477" s="7">
        <f>TRUNC(E477*F477,2)</f>
        <v>12.04</v>
      </c>
      <c r="H477" s="7"/>
      <c r="I477" s="11"/>
    </row>
    <row r="478" spans="1:9" ht="30">
      <c r="A478" s="8"/>
      <c r="B478" s="12" t="s">
        <v>45</v>
      </c>
      <c r="C478" s="200" t="s">
        <v>46</v>
      </c>
      <c r="D478" s="8" t="s">
        <v>47</v>
      </c>
      <c r="E478" s="11">
        <v>0.41200000000000003</v>
      </c>
      <c r="F478" s="7">
        <f>TRUNC(15.87,2)</f>
        <v>15.87</v>
      </c>
      <c r="G478" s="7">
        <f>TRUNC(E478*F478,2)</f>
        <v>6.53</v>
      </c>
      <c r="H478" s="7"/>
      <c r="I478" s="11"/>
    </row>
    <row r="479" spans="1:9" ht="15">
      <c r="A479" s="8"/>
      <c r="B479" s="12" t="s">
        <v>363</v>
      </c>
      <c r="C479" s="200" t="s">
        <v>364</v>
      </c>
      <c r="D479" s="8" t="s">
        <v>47</v>
      </c>
      <c r="E479" s="11">
        <v>0.3502</v>
      </c>
      <c r="F479" s="7">
        <f>TRUNC(21.96,2)</f>
        <v>21.96</v>
      </c>
      <c r="G479" s="7">
        <f>TRUNC(E479*F479,2)</f>
        <v>7.69</v>
      </c>
      <c r="H479" s="7"/>
      <c r="I479" s="11"/>
    </row>
    <row r="480" spans="1:9" ht="15">
      <c r="A480" s="8"/>
      <c r="B480" s="12" t="s">
        <v>743</v>
      </c>
      <c r="C480" s="200" t="s">
        <v>744</v>
      </c>
      <c r="D480" s="8" t="s">
        <v>48</v>
      </c>
      <c r="E480" s="11">
        <v>0.01</v>
      </c>
      <c r="F480" s="7">
        <f>TRUNC(454.2573,2)</f>
        <v>454.25</v>
      </c>
      <c r="G480" s="7">
        <f>TRUNC(E480*F480,2)</f>
        <v>4.54</v>
      </c>
      <c r="H480" s="7"/>
      <c r="I480" s="11"/>
    </row>
    <row r="481" spans="1:9" ht="15">
      <c r="A481" s="8"/>
      <c r="B481" s="12"/>
      <c r="C481" s="200"/>
      <c r="D481" s="8"/>
      <c r="E481" s="11" t="s">
        <v>33</v>
      </c>
      <c r="F481" s="7"/>
      <c r="G481" s="7">
        <f>TRUNC(SUM(G477:G480),2)</f>
        <v>30.8</v>
      </c>
      <c r="H481" s="7"/>
      <c r="I481" s="11"/>
    </row>
    <row r="482" spans="1:13" s="241" customFormat="1" ht="60">
      <c r="A482" s="170" t="s">
        <v>1374</v>
      </c>
      <c r="B482" s="170" t="s">
        <v>910</v>
      </c>
      <c r="C482" s="171" t="s">
        <v>994</v>
      </c>
      <c r="D482" s="170" t="s">
        <v>44</v>
      </c>
      <c r="E482" s="173">
        <v>1074.24</v>
      </c>
      <c r="F482" s="172">
        <f>TRUNC(F483,2)</f>
        <v>7.84</v>
      </c>
      <c r="G482" s="172">
        <f>TRUNC(F482*1.2247,2)</f>
        <v>9.6</v>
      </c>
      <c r="H482" s="172">
        <f>E482*F482</f>
        <v>8422.0416</v>
      </c>
      <c r="I482" s="172">
        <f>TRUNC((E482*G482),2)</f>
        <v>10312.7</v>
      </c>
      <c r="J482" s="129"/>
      <c r="K482" s="129"/>
      <c r="L482" s="129"/>
      <c r="M482" s="129"/>
    </row>
    <row r="483" spans="1:9" s="240" customFormat="1" ht="60">
      <c r="A483" s="211"/>
      <c r="B483" s="212" t="s">
        <v>870</v>
      </c>
      <c r="C483" s="213" t="s">
        <v>871</v>
      </c>
      <c r="D483" s="212" t="s">
        <v>44</v>
      </c>
      <c r="E483" s="214">
        <v>1</v>
      </c>
      <c r="F483" s="217">
        <f>G488</f>
        <v>7.84</v>
      </c>
      <c r="G483" s="242">
        <f>TRUNC(E483*F483,2)</f>
        <v>7.84</v>
      </c>
      <c r="H483" s="242"/>
      <c r="I483" s="243"/>
    </row>
    <row r="484" spans="1:9" s="240" customFormat="1" ht="15">
      <c r="A484" s="211"/>
      <c r="B484" s="212" t="s">
        <v>872</v>
      </c>
      <c r="C484" s="213" t="s">
        <v>873</v>
      </c>
      <c r="D484" s="212" t="s">
        <v>44</v>
      </c>
      <c r="E484" s="214">
        <v>0.37</v>
      </c>
      <c r="F484" s="217">
        <f>TRUNC(6.2193,2)</f>
        <v>6.21</v>
      </c>
      <c r="G484" s="242">
        <f>TRUNC(E484*F484,2)</f>
        <v>2.29</v>
      </c>
      <c r="H484" s="242"/>
      <c r="I484" s="243"/>
    </row>
    <row r="485" spans="1:9" s="240" customFormat="1" ht="15">
      <c r="A485" s="211"/>
      <c r="B485" s="212" t="s">
        <v>874</v>
      </c>
      <c r="C485" s="213" t="s">
        <v>875</v>
      </c>
      <c r="D485" s="212" t="s">
        <v>44</v>
      </c>
      <c r="E485" s="214">
        <v>0.37</v>
      </c>
      <c r="F485" s="217">
        <f>TRUNC(6.8509,2)</f>
        <v>6.85</v>
      </c>
      <c r="G485" s="242">
        <f>TRUNC(E485*F485,2)</f>
        <v>2.53</v>
      </c>
      <c r="H485" s="242"/>
      <c r="I485" s="243"/>
    </row>
    <row r="486" spans="1:9" s="240" customFormat="1" ht="15">
      <c r="A486" s="211"/>
      <c r="B486" s="212" t="s">
        <v>876</v>
      </c>
      <c r="C486" s="213" t="s">
        <v>877</v>
      </c>
      <c r="D486" s="212" t="s">
        <v>44</v>
      </c>
      <c r="E486" s="214">
        <v>0.37</v>
      </c>
      <c r="F486" s="217">
        <f>TRUNC(7.1772,2)</f>
        <v>7.17</v>
      </c>
      <c r="G486" s="242">
        <f>TRUNC(E486*F486,2)</f>
        <v>2.65</v>
      </c>
      <c r="H486" s="242"/>
      <c r="I486" s="243"/>
    </row>
    <row r="487" spans="1:9" s="240" customFormat="1" ht="15">
      <c r="A487" s="211"/>
      <c r="B487" s="212" t="s">
        <v>347</v>
      </c>
      <c r="C487" s="213" t="s">
        <v>348</v>
      </c>
      <c r="D487" s="212" t="s">
        <v>44</v>
      </c>
      <c r="E487" s="214">
        <v>0.03</v>
      </c>
      <c r="F487" s="217">
        <f>TRUNC(12.3723,2)</f>
        <v>12.37</v>
      </c>
      <c r="G487" s="242">
        <f>TRUNC(E487*F487,2)</f>
        <v>0.37</v>
      </c>
      <c r="H487" s="242"/>
      <c r="I487" s="243"/>
    </row>
    <row r="488" spans="1:9" s="240" customFormat="1" ht="15">
      <c r="A488" s="211"/>
      <c r="B488" s="212"/>
      <c r="C488" s="213"/>
      <c r="D488" s="212"/>
      <c r="E488" s="214" t="s">
        <v>33</v>
      </c>
      <c r="F488" s="217"/>
      <c r="G488" s="242">
        <f>TRUNC(SUM(G484:G487),2)</f>
        <v>7.84</v>
      </c>
      <c r="H488" s="242"/>
      <c r="I488" s="243"/>
    </row>
    <row r="489" spans="1:13" s="241" customFormat="1" ht="30">
      <c r="A489" s="170" t="s">
        <v>1375</v>
      </c>
      <c r="B489" s="170" t="s">
        <v>909</v>
      </c>
      <c r="C489" s="171" t="s">
        <v>995</v>
      </c>
      <c r="D489" s="170" t="s">
        <v>44</v>
      </c>
      <c r="E489" s="173">
        <v>1074.24</v>
      </c>
      <c r="F489" s="172">
        <f>TRUNC(F490,2)</f>
        <v>4.08</v>
      </c>
      <c r="G489" s="172">
        <f>TRUNC(F489*1.2247,2)</f>
        <v>4.99</v>
      </c>
      <c r="H489" s="172">
        <f>E489*F489</f>
        <v>4382.8992</v>
      </c>
      <c r="I489" s="172">
        <f>TRUNC((E489*G489),2)</f>
        <v>5360.45</v>
      </c>
      <c r="J489" s="129"/>
      <c r="K489" s="129"/>
      <c r="L489" s="129"/>
      <c r="M489" s="129"/>
    </row>
    <row r="490" spans="1:9" s="240" customFormat="1" ht="30">
      <c r="A490" s="211"/>
      <c r="B490" s="212" t="s">
        <v>878</v>
      </c>
      <c r="C490" s="213" t="s">
        <v>879</v>
      </c>
      <c r="D490" s="212" t="s">
        <v>44</v>
      </c>
      <c r="E490" s="214">
        <v>1</v>
      </c>
      <c r="F490" s="217">
        <f>G493</f>
        <v>4.08</v>
      </c>
      <c r="G490" s="242">
        <f>TRUNC(E490*F490,2)</f>
        <v>4.08</v>
      </c>
      <c r="H490" s="242"/>
      <c r="I490" s="243"/>
    </row>
    <row r="491" spans="1:9" s="240" customFormat="1" ht="30">
      <c r="A491" s="211"/>
      <c r="B491" s="212" t="s">
        <v>45</v>
      </c>
      <c r="C491" s="213" t="s">
        <v>46</v>
      </c>
      <c r="D491" s="212" t="s">
        <v>47</v>
      </c>
      <c r="E491" s="214">
        <v>0.10815</v>
      </c>
      <c r="F491" s="217">
        <f>TRUNC(15.87,2)</f>
        <v>15.87</v>
      </c>
      <c r="G491" s="242">
        <f>TRUNC(E491*F491,2)</f>
        <v>1.71</v>
      </c>
      <c r="H491" s="242"/>
      <c r="I491" s="243"/>
    </row>
    <row r="492" spans="1:9" s="240" customFormat="1" ht="30">
      <c r="A492" s="211"/>
      <c r="B492" s="212" t="s">
        <v>880</v>
      </c>
      <c r="C492" s="213" t="s">
        <v>881</v>
      </c>
      <c r="D492" s="212" t="s">
        <v>47</v>
      </c>
      <c r="E492" s="214">
        <v>0.10815</v>
      </c>
      <c r="F492" s="217">
        <f>TRUNC(21.96,2)</f>
        <v>21.96</v>
      </c>
      <c r="G492" s="242">
        <f>TRUNC(E492*F492,2)</f>
        <v>2.37</v>
      </c>
      <c r="H492" s="242"/>
      <c r="I492" s="243"/>
    </row>
    <row r="493" spans="1:9" s="240" customFormat="1" ht="15">
      <c r="A493" s="211"/>
      <c r="B493" s="212"/>
      <c r="C493" s="213"/>
      <c r="D493" s="212"/>
      <c r="E493" s="214" t="s">
        <v>33</v>
      </c>
      <c r="F493" s="217"/>
      <c r="G493" s="242">
        <f>TRUNC(SUM(G491:G492),2)</f>
        <v>4.08</v>
      </c>
      <c r="H493" s="242"/>
      <c r="I493" s="243"/>
    </row>
    <row r="494" spans="1:13" s="241" customFormat="1" ht="45">
      <c r="A494" s="170" t="s">
        <v>1376</v>
      </c>
      <c r="B494" s="170" t="s">
        <v>1122</v>
      </c>
      <c r="C494" s="171" t="s">
        <v>1123</v>
      </c>
      <c r="D494" s="170" t="s">
        <v>48</v>
      </c>
      <c r="E494" s="173">
        <v>15.46</v>
      </c>
      <c r="F494" s="172">
        <f>TRUNC(F495,2)</f>
        <v>642.73</v>
      </c>
      <c r="G494" s="172">
        <f>TRUNC(F494*1.2247,2)</f>
        <v>787.15</v>
      </c>
      <c r="H494" s="172">
        <f>E494*F494</f>
        <v>9936.605800000001</v>
      </c>
      <c r="I494" s="172">
        <f>TRUNC((E494*G494),2)</f>
        <v>12169.33</v>
      </c>
      <c r="J494" s="129"/>
      <c r="K494" s="129"/>
      <c r="L494" s="129"/>
      <c r="M494" s="129"/>
    </row>
    <row r="495" spans="1:9" s="240" customFormat="1" ht="45">
      <c r="A495" s="211"/>
      <c r="B495" s="216" t="s">
        <v>1122</v>
      </c>
      <c r="C495" s="213" t="s">
        <v>1123</v>
      </c>
      <c r="D495" s="212" t="s">
        <v>48</v>
      </c>
      <c r="E495" s="214">
        <v>1</v>
      </c>
      <c r="F495" s="215">
        <f>G499</f>
        <v>642.73</v>
      </c>
      <c r="G495" s="242">
        <f>TRUNC(E495*F495,2)</f>
        <v>642.73</v>
      </c>
      <c r="H495" s="242"/>
      <c r="I495" s="243"/>
    </row>
    <row r="496" spans="1:9" s="240" customFormat="1" ht="15">
      <c r="A496" s="211"/>
      <c r="B496" s="216" t="s">
        <v>846</v>
      </c>
      <c r="C496" s="213" t="s">
        <v>847</v>
      </c>
      <c r="D496" s="212" t="s">
        <v>48</v>
      </c>
      <c r="E496" s="214">
        <v>1</v>
      </c>
      <c r="F496" s="215">
        <f>TRUNC(119.0063,2)</f>
        <v>119</v>
      </c>
      <c r="G496" s="242">
        <f>TRUNC(E496*F496,2)</f>
        <v>119</v>
      </c>
      <c r="H496" s="242"/>
      <c r="I496" s="243"/>
    </row>
    <row r="497" spans="1:9" s="240" customFormat="1" ht="15">
      <c r="A497" s="211"/>
      <c r="B497" s="216" t="s">
        <v>848</v>
      </c>
      <c r="C497" s="213" t="s">
        <v>849</v>
      </c>
      <c r="D497" s="212" t="s">
        <v>48</v>
      </c>
      <c r="E497" s="214">
        <v>1</v>
      </c>
      <c r="F497" s="215">
        <f>TRUNC(78.9957,2)</f>
        <v>78.99</v>
      </c>
      <c r="G497" s="242">
        <f>TRUNC(E497*F497,2)</f>
        <v>78.99</v>
      </c>
      <c r="H497" s="242"/>
      <c r="I497" s="243"/>
    </row>
    <row r="498" spans="1:9" s="240" customFormat="1" ht="15">
      <c r="A498" s="211"/>
      <c r="B498" s="216" t="s">
        <v>1124</v>
      </c>
      <c r="C498" s="213" t="s">
        <v>1125</v>
      </c>
      <c r="D498" s="212" t="s">
        <v>48</v>
      </c>
      <c r="E498" s="214">
        <v>1</v>
      </c>
      <c r="F498" s="215">
        <f>TRUNC(444.7468,2)</f>
        <v>444.74</v>
      </c>
      <c r="G498" s="242">
        <f>TRUNC(E498*F498,2)</f>
        <v>444.74</v>
      </c>
      <c r="H498" s="242"/>
      <c r="I498" s="243"/>
    </row>
    <row r="499" spans="1:9" s="240" customFormat="1" ht="15">
      <c r="A499" s="211"/>
      <c r="B499" s="216"/>
      <c r="C499" s="213"/>
      <c r="D499" s="212"/>
      <c r="E499" s="214" t="s">
        <v>33</v>
      </c>
      <c r="F499" s="215"/>
      <c r="G499" s="242">
        <f>TRUNC(SUM(G496:G498),2)</f>
        <v>642.73</v>
      </c>
      <c r="H499" s="242"/>
      <c r="I499" s="243"/>
    </row>
    <row r="500" spans="1:13" s="241" customFormat="1" ht="45">
      <c r="A500" s="170" t="s">
        <v>1377</v>
      </c>
      <c r="B500" s="170" t="s">
        <v>911</v>
      </c>
      <c r="C500" s="171" t="s">
        <v>996</v>
      </c>
      <c r="D500" s="170" t="s">
        <v>17</v>
      </c>
      <c r="E500" s="173">
        <v>82.62</v>
      </c>
      <c r="F500" s="172">
        <f>TRUNC(F501,2)</f>
        <v>35.41</v>
      </c>
      <c r="G500" s="172">
        <f>TRUNC(F500*1.2247,2)</f>
        <v>43.36</v>
      </c>
      <c r="H500" s="172">
        <f>E500*F500</f>
        <v>2925.5742</v>
      </c>
      <c r="I500" s="172">
        <f>TRUNC((E500*G500),2)</f>
        <v>3582.4</v>
      </c>
      <c r="J500" s="129"/>
      <c r="K500" s="129"/>
      <c r="L500" s="129"/>
      <c r="M500" s="129"/>
    </row>
    <row r="501" spans="1:9" s="240" customFormat="1" ht="45">
      <c r="A501" s="211"/>
      <c r="B501" s="212" t="s">
        <v>912</v>
      </c>
      <c r="C501" s="213" t="s">
        <v>886</v>
      </c>
      <c r="D501" s="212" t="s">
        <v>17</v>
      </c>
      <c r="E501" s="214">
        <v>1</v>
      </c>
      <c r="F501" s="217">
        <f>G508</f>
        <v>35.41</v>
      </c>
      <c r="G501" s="242">
        <f aca="true" t="shared" si="24" ref="G501:G507">TRUNC(E501*F501,2)</f>
        <v>35.41</v>
      </c>
      <c r="H501" s="242"/>
      <c r="I501" s="243"/>
    </row>
    <row r="502" spans="1:9" s="240" customFormat="1" ht="30">
      <c r="A502" s="211"/>
      <c r="B502" s="212" t="s">
        <v>410</v>
      </c>
      <c r="C502" s="213" t="s">
        <v>411</v>
      </c>
      <c r="D502" s="212" t="s">
        <v>44</v>
      </c>
      <c r="E502" s="214">
        <v>0.1</v>
      </c>
      <c r="F502" s="217">
        <f>TRUNC(18.29,2)</f>
        <v>18.29</v>
      </c>
      <c r="G502" s="242">
        <f t="shared" si="24"/>
        <v>1.82</v>
      </c>
      <c r="H502" s="242"/>
      <c r="I502" s="243"/>
    </row>
    <row r="503" spans="1:9" s="240" customFormat="1" ht="15">
      <c r="A503" s="211"/>
      <c r="B503" s="212" t="s">
        <v>832</v>
      </c>
      <c r="C503" s="213" t="s">
        <v>833</v>
      </c>
      <c r="D503" s="212" t="s">
        <v>23</v>
      </c>
      <c r="E503" s="214">
        <v>0.83</v>
      </c>
      <c r="F503" s="217">
        <f>TRUNC(12.53,2)</f>
        <v>12.53</v>
      </c>
      <c r="G503" s="242">
        <f t="shared" si="24"/>
        <v>10.39</v>
      </c>
      <c r="H503" s="242"/>
      <c r="I503" s="243"/>
    </row>
    <row r="504" spans="1:9" s="240" customFormat="1" ht="30">
      <c r="A504" s="211"/>
      <c r="B504" s="212" t="s">
        <v>45</v>
      </c>
      <c r="C504" s="213" t="s">
        <v>46</v>
      </c>
      <c r="D504" s="212" t="s">
        <v>47</v>
      </c>
      <c r="E504" s="214">
        <v>0.515</v>
      </c>
      <c r="F504" s="217">
        <f>TRUNC(15.87,2)</f>
        <v>15.87</v>
      </c>
      <c r="G504" s="242">
        <f t="shared" si="24"/>
        <v>8.17</v>
      </c>
      <c r="H504" s="242"/>
      <c r="I504" s="243"/>
    </row>
    <row r="505" spans="1:9" s="240" customFormat="1" ht="30">
      <c r="A505" s="211"/>
      <c r="B505" s="212" t="s">
        <v>69</v>
      </c>
      <c r="C505" s="213" t="s">
        <v>70</v>
      </c>
      <c r="D505" s="212" t="s">
        <v>47</v>
      </c>
      <c r="E505" s="214">
        <v>0.41200000000000003</v>
      </c>
      <c r="F505" s="217">
        <f>TRUNC(21.96,2)</f>
        <v>21.96</v>
      </c>
      <c r="G505" s="242">
        <f t="shared" si="24"/>
        <v>9.04</v>
      </c>
      <c r="H505" s="242"/>
      <c r="I505" s="243"/>
    </row>
    <row r="506" spans="1:9" s="240" customFormat="1" ht="15">
      <c r="A506" s="211"/>
      <c r="B506" s="212" t="s">
        <v>913</v>
      </c>
      <c r="C506" s="213" t="s">
        <v>914</v>
      </c>
      <c r="D506" s="212" t="s">
        <v>23</v>
      </c>
      <c r="E506" s="214">
        <v>0.66</v>
      </c>
      <c r="F506" s="217">
        <f>TRUNC(4.1243,2)</f>
        <v>4.12</v>
      </c>
      <c r="G506" s="242">
        <f t="shared" si="24"/>
        <v>2.71</v>
      </c>
      <c r="H506" s="242"/>
      <c r="I506" s="243"/>
    </row>
    <row r="507" spans="1:9" s="240" customFormat="1" ht="15">
      <c r="A507" s="211"/>
      <c r="B507" s="212" t="s">
        <v>915</v>
      </c>
      <c r="C507" s="213" t="s">
        <v>916</v>
      </c>
      <c r="D507" s="212" t="s">
        <v>17</v>
      </c>
      <c r="E507" s="214">
        <v>1</v>
      </c>
      <c r="F507" s="217">
        <f>TRUNC(3.2842,2)</f>
        <v>3.28</v>
      </c>
      <c r="G507" s="242">
        <f t="shared" si="24"/>
        <v>3.28</v>
      </c>
      <c r="H507" s="242"/>
      <c r="I507" s="243"/>
    </row>
    <row r="508" spans="1:9" s="240" customFormat="1" ht="15">
      <c r="A508" s="211"/>
      <c r="B508" s="212"/>
      <c r="C508" s="213"/>
      <c r="D508" s="212"/>
      <c r="E508" s="214" t="s">
        <v>33</v>
      </c>
      <c r="F508" s="217"/>
      <c r="G508" s="242">
        <f>TRUNC(SUM(G502:G507),2)</f>
        <v>35.41</v>
      </c>
      <c r="H508" s="242"/>
      <c r="I508" s="243"/>
    </row>
    <row r="509" spans="1:9" ht="45">
      <c r="A509" s="103" t="s">
        <v>1378</v>
      </c>
      <c r="B509" s="110" t="s">
        <v>997</v>
      </c>
      <c r="C509" s="210" t="s">
        <v>998</v>
      </c>
      <c r="D509" s="103" t="s">
        <v>17</v>
      </c>
      <c r="E509" s="111">
        <v>49.83</v>
      </c>
      <c r="F509" s="111">
        <f>TRUNC(F510,2)</f>
        <v>31.97</v>
      </c>
      <c r="G509" s="111">
        <f>TRUNC(F509*1.2882,2)</f>
        <v>41.18</v>
      </c>
      <c r="H509" s="111">
        <f>TRUNC(F509*E509,2)</f>
        <v>1593.06</v>
      </c>
      <c r="I509" s="111">
        <f>TRUNC(E509*G509,2)</f>
        <v>2051.99</v>
      </c>
    </row>
    <row r="510" spans="1:9" ht="45">
      <c r="A510" s="8"/>
      <c r="B510" s="12" t="s">
        <v>997</v>
      </c>
      <c r="C510" s="200" t="s">
        <v>998</v>
      </c>
      <c r="D510" s="8" t="s">
        <v>17</v>
      </c>
      <c r="E510" s="11">
        <v>1</v>
      </c>
      <c r="F510" s="7">
        <f>G515</f>
        <v>31.97</v>
      </c>
      <c r="G510" s="7">
        <f>TRUNC(E510*F510,2)</f>
        <v>31.97</v>
      </c>
      <c r="H510" s="7"/>
      <c r="I510" s="11"/>
    </row>
    <row r="511" spans="1:9" ht="30">
      <c r="A511" s="8"/>
      <c r="B511" s="12" t="s">
        <v>45</v>
      </c>
      <c r="C511" s="200" t="s">
        <v>46</v>
      </c>
      <c r="D511" s="8" t="s">
        <v>47</v>
      </c>
      <c r="E511" s="11">
        <v>0.41200000000000003</v>
      </c>
      <c r="F511" s="7">
        <f>TRUNC(15.87,2)</f>
        <v>15.87</v>
      </c>
      <c r="G511" s="7">
        <f>TRUNC(E511*F511,2)</f>
        <v>6.53</v>
      </c>
      <c r="H511" s="7"/>
      <c r="I511" s="11"/>
    </row>
    <row r="512" spans="1:9" ht="15">
      <c r="A512" s="8"/>
      <c r="B512" s="12" t="s">
        <v>363</v>
      </c>
      <c r="C512" s="200" t="s">
        <v>364</v>
      </c>
      <c r="D512" s="8" t="s">
        <v>47</v>
      </c>
      <c r="E512" s="11">
        <v>0.41200000000000003</v>
      </c>
      <c r="F512" s="7">
        <f>TRUNC(21.96,2)</f>
        <v>21.96</v>
      </c>
      <c r="G512" s="7">
        <f>TRUNC(E512*F512,2)</f>
        <v>9.04</v>
      </c>
      <c r="H512" s="7"/>
      <c r="I512" s="11"/>
    </row>
    <row r="513" spans="1:9" ht="30">
      <c r="A513" s="8"/>
      <c r="B513" s="12" t="s">
        <v>960</v>
      </c>
      <c r="C513" s="200" t="s">
        <v>961</v>
      </c>
      <c r="D513" s="8" t="s">
        <v>17</v>
      </c>
      <c r="E513" s="11">
        <v>1</v>
      </c>
      <c r="F513" s="7">
        <f>TRUNC(6.1676,2)</f>
        <v>6.16</v>
      </c>
      <c r="G513" s="7">
        <f>TRUNC(E513*F513,2)</f>
        <v>6.16</v>
      </c>
      <c r="H513" s="7"/>
      <c r="I513" s="11"/>
    </row>
    <row r="514" spans="1:9" ht="15">
      <c r="A514" s="8"/>
      <c r="B514" s="12" t="s">
        <v>999</v>
      </c>
      <c r="C514" s="200" t="s">
        <v>1000</v>
      </c>
      <c r="D514" s="8" t="s">
        <v>48</v>
      </c>
      <c r="E514" s="11">
        <v>0.02625</v>
      </c>
      <c r="F514" s="7">
        <f>TRUNC(390.2883,2)</f>
        <v>390.28</v>
      </c>
      <c r="G514" s="7">
        <f>TRUNC(E514*F514,2)</f>
        <v>10.24</v>
      </c>
      <c r="H514" s="7"/>
      <c r="I514" s="11"/>
    </row>
    <row r="515" spans="1:9" ht="15">
      <c r="A515" s="8"/>
      <c r="B515" s="12"/>
      <c r="C515" s="200"/>
      <c r="D515" s="8"/>
      <c r="E515" s="11" t="s">
        <v>33</v>
      </c>
      <c r="F515" s="7"/>
      <c r="G515" s="7">
        <f>TRUNC(SUM(G511:G514),2)</f>
        <v>31.97</v>
      </c>
      <c r="H515" s="7"/>
      <c r="I515" s="11"/>
    </row>
    <row r="516" spans="1:9" ht="30">
      <c r="A516" s="103" t="s">
        <v>1379</v>
      </c>
      <c r="B516" s="110" t="s">
        <v>1159</v>
      </c>
      <c r="C516" s="210" t="s">
        <v>1160</v>
      </c>
      <c r="D516" s="103" t="s">
        <v>48</v>
      </c>
      <c r="E516" s="111">
        <v>2.59</v>
      </c>
      <c r="F516" s="111">
        <f>TRUNC(F517,2)</f>
        <v>55.57</v>
      </c>
      <c r="G516" s="111">
        <f>TRUNC(F516*1.2882,2)</f>
        <v>71.58</v>
      </c>
      <c r="H516" s="111">
        <f>TRUNC(F516*E516,2)</f>
        <v>143.92</v>
      </c>
      <c r="I516" s="111">
        <f>TRUNC(E516*G516,2)</f>
        <v>185.39</v>
      </c>
    </row>
    <row r="517" spans="1:9" ht="30">
      <c r="A517" s="8"/>
      <c r="B517" s="12" t="s">
        <v>1159</v>
      </c>
      <c r="C517" s="200" t="s">
        <v>1160</v>
      </c>
      <c r="D517" s="8" t="s">
        <v>48</v>
      </c>
      <c r="E517" s="11">
        <v>1</v>
      </c>
      <c r="F517" s="7">
        <f>TRUNC(55.57674,2)</f>
        <v>55.57</v>
      </c>
      <c r="G517" s="7">
        <f>TRUNC(E517*F517,2)</f>
        <v>55.57</v>
      </c>
      <c r="H517" s="7"/>
      <c r="I517" s="11"/>
    </row>
    <row r="518" spans="1:9" ht="30">
      <c r="A518" s="8"/>
      <c r="B518" s="12" t="s">
        <v>45</v>
      </c>
      <c r="C518" s="200" t="s">
        <v>46</v>
      </c>
      <c r="D518" s="8" t="s">
        <v>47</v>
      </c>
      <c r="E518" s="11">
        <v>3.502</v>
      </c>
      <c r="F518" s="7">
        <f>TRUNC(15.87,2)</f>
        <v>15.87</v>
      </c>
      <c r="G518" s="7">
        <f>TRUNC(E518*F518,2)</f>
        <v>55.57</v>
      </c>
      <c r="H518" s="7"/>
      <c r="I518" s="11"/>
    </row>
    <row r="519" spans="1:9" ht="15">
      <c r="A519" s="8"/>
      <c r="B519" s="12"/>
      <c r="C519" s="200"/>
      <c r="D519" s="8"/>
      <c r="E519" s="11" t="s">
        <v>33</v>
      </c>
      <c r="F519" s="7"/>
      <c r="G519" s="7">
        <f>TRUNC(SUM(G518:G518),2)</f>
        <v>55.57</v>
      </c>
      <c r="H519" s="7"/>
      <c r="I519" s="11"/>
    </row>
    <row r="520" spans="1:9" ht="30">
      <c r="A520" s="103" t="s">
        <v>1380</v>
      </c>
      <c r="B520" s="110" t="s">
        <v>1162</v>
      </c>
      <c r="C520" s="210" t="s">
        <v>1161</v>
      </c>
      <c r="D520" s="103" t="s">
        <v>23</v>
      </c>
      <c r="E520" s="111">
        <v>48</v>
      </c>
      <c r="F520" s="111">
        <f>TRUNC(G521,2)</f>
        <v>205.4</v>
      </c>
      <c r="G520" s="111">
        <f>TRUNC(F520*1.2882,2)</f>
        <v>264.59</v>
      </c>
      <c r="H520" s="111">
        <f>TRUNC(F520*E520,2)</f>
        <v>9859.2</v>
      </c>
      <c r="I520" s="111">
        <f>TRUNC(E520*G520,2)</f>
        <v>12700.32</v>
      </c>
    </row>
    <row r="521" spans="1:9" ht="30">
      <c r="A521" s="8"/>
      <c r="B521" s="12" t="s">
        <v>976</v>
      </c>
      <c r="C521" s="200" t="s">
        <v>977</v>
      </c>
      <c r="D521" s="8" t="s">
        <v>23</v>
      </c>
      <c r="E521" s="11">
        <f>40/30</f>
        <v>1.3333333333333333</v>
      </c>
      <c r="F521" s="7">
        <f>G527</f>
        <v>154.05</v>
      </c>
      <c r="G521" s="34">
        <f aca="true" t="shared" si="25" ref="G521:G526">TRUNC(E521*F521,2)</f>
        <v>205.4</v>
      </c>
      <c r="H521" s="7"/>
      <c r="I521" s="11"/>
    </row>
    <row r="522" spans="1:9" ht="15">
      <c r="A522" s="8"/>
      <c r="B522" s="12" t="s">
        <v>49</v>
      </c>
      <c r="C522" s="200" t="s">
        <v>50</v>
      </c>
      <c r="D522" s="8" t="s">
        <v>47</v>
      </c>
      <c r="E522" s="11">
        <v>1.33</v>
      </c>
      <c r="F522" s="7">
        <f>TRUNC(23.64,2)</f>
        <v>23.64</v>
      </c>
      <c r="G522" s="7">
        <f t="shared" si="25"/>
        <v>31.44</v>
      </c>
      <c r="H522" s="7"/>
      <c r="I522" s="11"/>
    </row>
    <row r="523" spans="1:9" ht="15">
      <c r="A523" s="8"/>
      <c r="B523" s="12" t="s">
        <v>51</v>
      </c>
      <c r="C523" s="200" t="s">
        <v>52</v>
      </c>
      <c r="D523" s="8" t="s">
        <v>47</v>
      </c>
      <c r="E523" s="11">
        <v>1.103</v>
      </c>
      <c r="F523" s="7">
        <f>TRUNC(29.95,2)</f>
        <v>29.95</v>
      </c>
      <c r="G523" s="7">
        <f t="shared" si="25"/>
        <v>33.03</v>
      </c>
      <c r="H523" s="7"/>
      <c r="I523" s="11"/>
    </row>
    <row r="524" spans="1:9" ht="30">
      <c r="A524" s="8"/>
      <c r="B524" s="12" t="s">
        <v>978</v>
      </c>
      <c r="C524" s="200" t="s">
        <v>979</v>
      </c>
      <c r="D524" s="8" t="s">
        <v>44</v>
      </c>
      <c r="E524" s="11">
        <v>0.633</v>
      </c>
      <c r="F524" s="7">
        <f>TRUNC(18.16,2)</f>
        <v>18.16</v>
      </c>
      <c r="G524" s="7">
        <f t="shared" si="25"/>
        <v>11.49</v>
      </c>
      <c r="H524" s="7"/>
      <c r="I524" s="11"/>
    </row>
    <row r="525" spans="1:9" ht="30">
      <c r="A525" s="8"/>
      <c r="B525" s="12" t="s">
        <v>980</v>
      </c>
      <c r="C525" s="200" t="s">
        <v>981</v>
      </c>
      <c r="D525" s="8" t="s">
        <v>44</v>
      </c>
      <c r="E525" s="11">
        <v>3.852</v>
      </c>
      <c r="F525" s="7">
        <f>TRUNC(10.68,2)</f>
        <v>10.68</v>
      </c>
      <c r="G525" s="7">
        <f t="shared" si="25"/>
        <v>41.13</v>
      </c>
      <c r="H525" s="7"/>
      <c r="I525" s="11"/>
    </row>
    <row r="526" spans="1:9" ht="30">
      <c r="A526" s="8"/>
      <c r="B526" s="12" t="s">
        <v>231</v>
      </c>
      <c r="C526" s="200" t="s">
        <v>232</v>
      </c>
      <c r="D526" s="8" t="s">
        <v>48</v>
      </c>
      <c r="E526" s="11">
        <v>0.086</v>
      </c>
      <c r="F526" s="7">
        <f>TRUNC(429.84,2)</f>
        <v>429.84</v>
      </c>
      <c r="G526" s="7">
        <f t="shared" si="25"/>
        <v>36.96</v>
      </c>
      <c r="H526" s="7"/>
      <c r="I526" s="11"/>
    </row>
    <row r="527" spans="1:9" ht="15">
      <c r="A527" s="8"/>
      <c r="B527" s="12"/>
      <c r="C527" s="200"/>
      <c r="D527" s="8"/>
      <c r="E527" s="11" t="s">
        <v>33</v>
      </c>
      <c r="F527" s="7"/>
      <c r="G527" s="7">
        <f>TRUNC(SUM(G522:G526),2)</f>
        <v>154.05</v>
      </c>
      <c r="H527" s="7"/>
      <c r="I527" s="11"/>
    </row>
    <row r="528" spans="1:13" s="241" customFormat="1" ht="30">
      <c r="A528" s="170" t="s">
        <v>1381</v>
      </c>
      <c r="B528" s="170" t="s">
        <v>955</v>
      </c>
      <c r="C528" s="171" t="s">
        <v>890</v>
      </c>
      <c r="D528" s="170" t="s">
        <v>23</v>
      </c>
      <c r="E528" s="173">
        <v>64.57</v>
      </c>
      <c r="F528" s="172">
        <f>TRUNC(F529,2)</f>
        <v>18.31</v>
      </c>
      <c r="G528" s="172">
        <f>TRUNC(F528*1.2247,2)</f>
        <v>22.42</v>
      </c>
      <c r="H528" s="172">
        <f>E528*F528</f>
        <v>1182.2767</v>
      </c>
      <c r="I528" s="172">
        <f>TRUNC((E528*G528),2)</f>
        <v>1447.65</v>
      </c>
      <c r="J528" s="129"/>
      <c r="K528" s="129"/>
      <c r="L528" s="129"/>
      <c r="M528" s="129"/>
    </row>
    <row r="529" spans="1:9" s="240" customFormat="1" ht="30">
      <c r="A529" s="211"/>
      <c r="B529" s="212" t="s">
        <v>956</v>
      </c>
      <c r="C529" s="213" t="s">
        <v>890</v>
      </c>
      <c r="D529" s="212" t="s">
        <v>23</v>
      </c>
      <c r="E529" s="214">
        <v>1</v>
      </c>
      <c r="F529" s="215">
        <f>G533</f>
        <v>18.31</v>
      </c>
      <c r="G529" s="242">
        <f>TRUNC(E529*F529,2)</f>
        <v>18.31</v>
      </c>
      <c r="H529" s="242"/>
      <c r="I529" s="243"/>
    </row>
    <row r="530" spans="1:9" s="240" customFormat="1" ht="15">
      <c r="A530" s="211"/>
      <c r="B530" s="212" t="s">
        <v>891</v>
      </c>
      <c r="C530" s="213" t="s">
        <v>892</v>
      </c>
      <c r="D530" s="212" t="s">
        <v>136</v>
      </c>
      <c r="E530" s="214">
        <v>0.00145</v>
      </c>
      <c r="F530" s="215">
        <f>TRUNC(90.4,2)</f>
        <v>90.4</v>
      </c>
      <c r="G530" s="242">
        <f>TRUNC(E530*F530,2)</f>
        <v>0.13</v>
      </c>
      <c r="H530" s="242"/>
      <c r="I530" s="243"/>
    </row>
    <row r="531" spans="1:9" s="240" customFormat="1" ht="15">
      <c r="A531" s="211"/>
      <c r="B531" s="212" t="s">
        <v>189</v>
      </c>
      <c r="C531" s="213" t="s">
        <v>190</v>
      </c>
      <c r="D531" s="212" t="s">
        <v>7</v>
      </c>
      <c r="E531" s="214">
        <v>0.175</v>
      </c>
      <c r="F531" s="215">
        <f>TRUNC(57.2,2)</f>
        <v>57.2</v>
      </c>
      <c r="G531" s="242">
        <f>TRUNC(E531*F531,2)</f>
        <v>10.01</v>
      </c>
      <c r="H531" s="242"/>
      <c r="I531" s="243"/>
    </row>
    <row r="532" spans="1:9" s="240" customFormat="1" ht="30">
      <c r="A532" s="211"/>
      <c r="B532" s="212" t="s">
        <v>45</v>
      </c>
      <c r="C532" s="213" t="s">
        <v>46</v>
      </c>
      <c r="D532" s="212" t="s">
        <v>47</v>
      </c>
      <c r="E532" s="214">
        <v>0.515</v>
      </c>
      <c r="F532" s="215">
        <f>TRUNC(15.87,2)</f>
        <v>15.87</v>
      </c>
      <c r="G532" s="242">
        <f>TRUNC(E532*F532,2)</f>
        <v>8.17</v>
      </c>
      <c r="H532" s="242"/>
      <c r="I532" s="243"/>
    </row>
    <row r="533" spans="1:9" s="240" customFormat="1" ht="15">
      <c r="A533" s="211"/>
      <c r="B533" s="212"/>
      <c r="C533" s="213"/>
      <c r="D533" s="212"/>
      <c r="E533" s="214" t="s">
        <v>33</v>
      </c>
      <c r="F533" s="215"/>
      <c r="G533" s="242">
        <f>TRUNC(SUM(G530:G532),2)</f>
        <v>18.31</v>
      </c>
      <c r="H533" s="242"/>
      <c r="I533" s="243"/>
    </row>
    <row r="534" spans="1:9" ht="30">
      <c r="A534" s="103" t="s">
        <v>1382</v>
      </c>
      <c r="B534" s="104" t="s">
        <v>851</v>
      </c>
      <c r="C534" s="197" t="s">
        <v>852</v>
      </c>
      <c r="D534" s="105" t="s">
        <v>17</v>
      </c>
      <c r="E534" s="102">
        <v>7.92</v>
      </c>
      <c r="F534" s="101">
        <f>TRUNC(F535,2)</f>
        <v>126.42</v>
      </c>
      <c r="G534" s="101">
        <f>TRUNC(F534*1.2882,2)</f>
        <v>162.85</v>
      </c>
      <c r="H534" s="101">
        <f>TRUNC(F534*E534,2)</f>
        <v>1001.24</v>
      </c>
      <c r="I534" s="102">
        <f>TRUNC(E534*G534,2)</f>
        <v>1289.77</v>
      </c>
    </row>
    <row r="535" spans="1:9" ht="30">
      <c r="A535" s="13"/>
      <c r="B535" s="14" t="s">
        <v>851</v>
      </c>
      <c r="C535" s="201" t="s">
        <v>852</v>
      </c>
      <c r="D535" s="13" t="s">
        <v>17</v>
      </c>
      <c r="E535" s="15">
        <v>1</v>
      </c>
      <c r="F535" s="16">
        <f>G539</f>
        <v>126.42</v>
      </c>
      <c r="G535" s="17">
        <f>TRUNC(E535*F535,2)</f>
        <v>126.42</v>
      </c>
      <c r="H535" s="17"/>
      <c r="I535" s="16"/>
    </row>
    <row r="536" spans="1:9" ht="15">
      <c r="A536" s="13"/>
      <c r="B536" s="14" t="s">
        <v>853</v>
      </c>
      <c r="C536" s="201" t="s">
        <v>854</v>
      </c>
      <c r="D536" s="13" t="s">
        <v>44</v>
      </c>
      <c r="E536" s="15">
        <v>2</v>
      </c>
      <c r="F536" s="16">
        <f>TRUNC(54.9,2)</f>
        <v>54.9</v>
      </c>
      <c r="G536" s="17">
        <f>TRUNC(E536*F536,2)</f>
        <v>109.8</v>
      </c>
      <c r="H536" s="17"/>
      <c r="I536" s="16"/>
    </row>
    <row r="537" spans="1:9" ht="15">
      <c r="A537" s="13"/>
      <c r="B537" s="14" t="s">
        <v>855</v>
      </c>
      <c r="C537" s="201" t="s">
        <v>856</v>
      </c>
      <c r="D537" s="13" t="s">
        <v>47</v>
      </c>
      <c r="E537" s="15">
        <v>0.476</v>
      </c>
      <c r="F537" s="16">
        <f>TRUNC(30.04,2)</f>
        <v>30.04</v>
      </c>
      <c r="G537" s="17">
        <f>TRUNC(E537*F537,2)</f>
        <v>14.29</v>
      </c>
      <c r="H537" s="17"/>
      <c r="I537" s="16"/>
    </row>
    <row r="538" spans="1:9" ht="15">
      <c r="A538" s="13"/>
      <c r="B538" s="14" t="s">
        <v>857</v>
      </c>
      <c r="C538" s="201" t="s">
        <v>858</v>
      </c>
      <c r="D538" s="13" t="s">
        <v>47</v>
      </c>
      <c r="E538" s="15">
        <v>0.096</v>
      </c>
      <c r="F538" s="16">
        <f>TRUNC(24.32,2)</f>
        <v>24.32</v>
      </c>
      <c r="G538" s="17">
        <f>TRUNC(E538*F538,2)</f>
        <v>2.33</v>
      </c>
      <c r="H538" s="17"/>
      <c r="I538" s="16"/>
    </row>
    <row r="539" spans="1:9" ht="15">
      <c r="A539" s="13"/>
      <c r="B539" s="14"/>
      <c r="C539" s="201"/>
      <c r="D539" s="13"/>
      <c r="E539" s="15" t="s">
        <v>33</v>
      </c>
      <c r="F539" s="16"/>
      <c r="G539" s="17">
        <f>TRUNC(SUM(G536:G538),2)</f>
        <v>126.42</v>
      </c>
      <c r="H539" s="17"/>
      <c r="I539" s="16"/>
    </row>
    <row r="540" spans="1:9" s="240" customFormat="1" ht="15.75">
      <c r="A540" s="165" t="s">
        <v>943</v>
      </c>
      <c r="B540" s="166"/>
      <c r="C540" s="165" t="s">
        <v>1165</v>
      </c>
      <c r="D540" s="167"/>
      <c r="E540" s="168"/>
      <c r="F540" s="169"/>
      <c r="G540" s="239"/>
      <c r="H540" s="239"/>
      <c r="I540" s="239"/>
    </row>
    <row r="541" spans="1:13" s="246" customFormat="1" ht="45">
      <c r="A541" s="173" t="s">
        <v>1383</v>
      </c>
      <c r="B541" s="173" t="s">
        <v>1126</v>
      </c>
      <c r="C541" s="245" t="s">
        <v>1166</v>
      </c>
      <c r="D541" s="173" t="s">
        <v>17</v>
      </c>
      <c r="E541" s="173">
        <v>61.05</v>
      </c>
      <c r="F541" s="172">
        <f>TRUNC(G542,2)</f>
        <v>84.44</v>
      </c>
      <c r="G541" s="172">
        <f>TRUNC(F541*1.2247,2)</f>
        <v>103.41</v>
      </c>
      <c r="H541" s="172">
        <f>E541*F541</f>
        <v>5155.062</v>
      </c>
      <c r="I541" s="172">
        <f>TRUNC((E541*G541),2)</f>
        <v>6313.18</v>
      </c>
      <c r="J541" s="129"/>
      <c r="K541" s="129"/>
      <c r="L541" s="129"/>
      <c r="M541" s="129"/>
    </row>
    <row r="542" spans="1:9" s="256" customFormat="1" ht="30">
      <c r="A542" s="257"/>
      <c r="B542" s="212" t="s">
        <v>1126</v>
      </c>
      <c r="C542" s="213" t="s">
        <v>1127</v>
      </c>
      <c r="D542" s="212" t="s">
        <v>17</v>
      </c>
      <c r="E542" s="259">
        <v>1</v>
      </c>
      <c r="F542" s="260">
        <f>TRUNC(84.449235,2)</f>
        <v>84.44</v>
      </c>
      <c r="G542" s="254">
        <f aca="true" t="shared" si="26" ref="G542:G551">TRUNC(E542*F542,2)</f>
        <v>84.44</v>
      </c>
      <c r="H542" s="254"/>
      <c r="I542" s="255"/>
    </row>
    <row r="543" spans="1:9" s="318" customFormat="1" ht="31.5">
      <c r="A543" s="311"/>
      <c r="B543" s="312" t="s">
        <v>1137</v>
      </c>
      <c r="C543" s="313" t="s">
        <v>1138</v>
      </c>
      <c r="D543" s="312" t="s">
        <v>48</v>
      </c>
      <c r="E543" s="314">
        <v>0.0985</v>
      </c>
      <c r="F543" s="315">
        <v>413.29</v>
      </c>
      <c r="G543" s="316">
        <f t="shared" si="26"/>
        <v>40.7</v>
      </c>
      <c r="H543" s="316"/>
      <c r="I543" s="317"/>
    </row>
    <row r="544" spans="1:9" s="256" customFormat="1" ht="30">
      <c r="A544" s="257"/>
      <c r="B544" s="212" t="s">
        <v>1128</v>
      </c>
      <c r="C544" s="213" t="s">
        <v>1129</v>
      </c>
      <c r="D544" s="212" t="s">
        <v>17</v>
      </c>
      <c r="E544" s="259">
        <v>1.0816</v>
      </c>
      <c r="F544" s="260">
        <f>TRUNC(29.73,2)</f>
        <v>29.73</v>
      </c>
      <c r="G544" s="254">
        <f t="shared" si="26"/>
        <v>32.15</v>
      </c>
      <c r="H544" s="254"/>
      <c r="I544" s="255"/>
    </row>
    <row r="545" spans="1:9" s="256" customFormat="1" ht="15">
      <c r="A545" s="257"/>
      <c r="B545" s="212" t="s">
        <v>1130</v>
      </c>
      <c r="C545" s="213" t="s">
        <v>1131</v>
      </c>
      <c r="D545" s="212" t="s">
        <v>44</v>
      </c>
      <c r="E545" s="259">
        <v>0.024</v>
      </c>
      <c r="F545" s="260">
        <f>TRUNC(27.16,2)</f>
        <v>27.16</v>
      </c>
      <c r="G545" s="254">
        <f t="shared" si="26"/>
        <v>0.65</v>
      </c>
      <c r="H545" s="254"/>
      <c r="I545" s="255"/>
    </row>
    <row r="546" spans="1:9" s="256" customFormat="1" ht="15">
      <c r="A546" s="257"/>
      <c r="B546" s="212" t="s">
        <v>84</v>
      </c>
      <c r="C546" s="213" t="s">
        <v>85</v>
      </c>
      <c r="D546" s="212" t="s">
        <v>23</v>
      </c>
      <c r="E546" s="259">
        <v>0.2</v>
      </c>
      <c r="F546" s="260">
        <f>TRUNC(3.04,2)</f>
        <v>3.04</v>
      </c>
      <c r="G546" s="254">
        <f t="shared" si="26"/>
        <v>0.6</v>
      </c>
      <c r="H546" s="254"/>
      <c r="I546" s="255"/>
    </row>
    <row r="547" spans="1:9" s="256" customFormat="1" ht="15">
      <c r="A547" s="257"/>
      <c r="B547" s="212" t="s">
        <v>1132</v>
      </c>
      <c r="C547" s="213" t="s">
        <v>1133</v>
      </c>
      <c r="D547" s="212" t="s">
        <v>23</v>
      </c>
      <c r="E547" s="259">
        <v>0.25</v>
      </c>
      <c r="F547" s="260">
        <f>TRUNC(4.4,2)</f>
        <v>4.4</v>
      </c>
      <c r="G547" s="254">
        <f t="shared" si="26"/>
        <v>1.1</v>
      </c>
      <c r="H547" s="254"/>
      <c r="I547" s="255"/>
    </row>
    <row r="548" spans="1:9" s="256" customFormat="1" ht="30">
      <c r="A548" s="257"/>
      <c r="B548" s="212" t="s">
        <v>223</v>
      </c>
      <c r="C548" s="213" t="s">
        <v>224</v>
      </c>
      <c r="D548" s="212" t="s">
        <v>127</v>
      </c>
      <c r="E548" s="259">
        <v>0.0017</v>
      </c>
      <c r="F548" s="260">
        <f>TRUNC(6.34,2)</f>
        <v>6.34</v>
      </c>
      <c r="G548" s="254">
        <f t="shared" si="26"/>
        <v>0.01</v>
      </c>
      <c r="H548" s="254"/>
      <c r="I548" s="255"/>
    </row>
    <row r="549" spans="1:9" s="256" customFormat="1" ht="15">
      <c r="A549" s="257"/>
      <c r="B549" s="212" t="s">
        <v>49</v>
      </c>
      <c r="C549" s="213" t="s">
        <v>50</v>
      </c>
      <c r="D549" s="212" t="s">
        <v>47</v>
      </c>
      <c r="E549" s="259">
        <v>0.2176</v>
      </c>
      <c r="F549" s="260">
        <f>TRUNC(23.64,2)</f>
        <v>23.64</v>
      </c>
      <c r="G549" s="254">
        <f t="shared" si="26"/>
        <v>5.14</v>
      </c>
      <c r="H549" s="254"/>
      <c r="I549" s="255"/>
    </row>
    <row r="550" spans="1:9" s="256" customFormat="1" ht="15">
      <c r="A550" s="257"/>
      <c r="B550" s="212" t="s">
        <v>51</v>
      </c>
      <c r="C550" s="213" t="s">
        <v>52</v>
      </c>
      <c r="D550" s="212" t="s">
        <v>47</v>
      </c>
      <c r="E550" s="259">
        <v>0.0874</v>
      </c>
      <c r="F550" s="260">
        <f>TRUNC(29.95,2)</f>
        <v>29.95</v>
      </c>
      <c r="G550" s="254">
        <f t="shared" si="26"/>
        <v>2.61</v>
      </c>
      <c r="H550" s="254"/>
      <c r="I550" s="255"/>
    </row>
    <row r="551" spans="1:9" s="256" customFormat="1" ht="15">
      <c r="A551" s="257"/>
      <c r="B551" s="212" t="s">
        <v>1104</v>
      </c>
      <c r="C551" s="213" t="s">
        <v>1105</v>
      </c>
      <c r="D551" s="212" t="s">
        <v>47</v>
      </c>
      <c r="E551" s="259">
        <v>0.1301</v>
      </c>
      <c r="F551" s="260">
        <f>TRUNC(29.55,2)</f>
        <v>29.55</v>
      </c>
      <c r="G551" s="254">
        <f t="shared" si="26"/>
        <v>3.84</v>
      </c>
      <c r="H551" s="254"/>
      <c r="I551" s="255"/>
    </row>
    <row r="552" spans="1:9" s="256" customFormat="1" ht="15">
      <c r="A552" s="257"/>
      <c r="B552" s="212"/>
      <c r="C552" s="213"/>
      <c r="D552" s="212"/>
      <c r="E552" s="259" t="s">
        <v>33</v>
      </c>
      <c r="F552" s="260"/>
      <c r="G552" s="254">
        <f>TRUNC(SUM(G543:G551),2)</f>
        <v>86.8</v>
      </c>
      <c r="H552" s="254"/>
      <c r="I552" s="255"/>
    </row>
    <row r="553" spans="1:13" s="246" customFormat="1" ht="15">
      <c r="A553" s="173" t="s">
        <v>1384</v>
      </c>
      <c r="B553" s="173" t="s">
        <v>1146</v>
      </c>
      <c r="C553" s="245" t="s">
        <v>1145</v>
      </c>
      <c r="D553" s="173" t="s">
        <v>17</v>
      </c>
      <c r="E553" s="173">
        <v>61.05</v>
      </c>
      <c r="F553" s="172">
        <f>TRUNC(G554,2)</f>
        <v>19.61</v>
      </c>
      <c r="G553" s="172">
        <f>TRUNC(F553*1.2247,2)</f>
        <v>24.01</v>
      </c>
      <c r="H553" s="172">
        <f>E553*F553</f>
        <v>1197.1905</v>
      </c>
      <c r="I553" s="172">
        <f>TRUNC((E553*G553),2)</f>
        <v>1465.81</v>
      </c>
      <c r="J553" s="129"/>
      <c r="K553" s="129"/>
      <c r="L553" s="129"/>
      <c r="M553" s="129"/>
    </row>
    <row r="554" spans="1:9" s="256" customFormat="1" ht="15.75">
      <c r="A554" s="257"/>
      <c r="B554" s="212" t="s">
        <v>1141</v>
      </c>
      <c r="C554" s="213" t="s">
        <v>1142</v>
      </c>
      <c r="D554" s="212" t="s">
        <v>17</v>
      </c>
      <c r="E554" s="259">
        <f>5/3</f>
        <v>1.6666666666666667</v>
      </c>
      <c r="F554" s="260">
        <f>TRUNC(11.7761025,2)</f>
        <v>11.77</v>
      </c>
      <c r="G554" s="316">
        <f>TRUNC(E554*F554,2)</f>
        <v>19.61</v>
      </c>
      <c r="H554" s="254"/>
      <c r="I554" s="255"/>
    </row>
    <row r="555" spans="1:9" s="256" customFormat="1" ht="15">
      <c r="A555" s="257"/>
      <c r="B555" s="212" t="s">
        <v>1143</v>
      </c>
      <c r="C555" s="213" t="s">
        <v>1144</v>
      </c>
      <c r="D555" s="212" t="s">
        <v>136</v>
      </c>
      <c r="E555" s="259">
        <v>0.05808</v>
      </c>
      <c r="F555" s="260">
        <f>TRUNC(55,2)</f>
        <v>55</v>
      </c>
      <c r="G555" s="254">
        <f>TRUNC(E555*F555,2)</f>
        <v>3.19</v>
      </c>
      <c r="H555" s="254"/>
      <c r="I555" s="255"/>
    </row>
    <row r="556" spans="1:9" s="256" customFormat="1" ht="30">
      <c r="A556" s="257"/>
      <c r="B556" s="212" t="s">
        <v>45</v>
      </c>
      <c r="C556" s="213" t="s">
        <v>46</v>
      </c>
      <c r="D556" s="212" t="s">
        <v>47</v>
      </c>
      <c r="E556" s="259">
        <v>0.5407500000000001</v>
      </c>
      <c r="F556" s="260">
        <f>TRUNC(15.87,2)</f>
        <v>15.87</v>
      </c>
      <c r="G556" s="254">
        <f>TRUNC(E556*F556,2)</f>
        <v>8.58</v>
      </c>
      <c r="H556" s="254"/>
      <c r="I556" s="255"/>
    </row>
    <row r="557" spans="1:9" s="256" customFormat="1" ht="15">
      <c r="A557" s="257"/>
      <c r="B557" s="212"/>
      <c r="C557" s="213"/>
      <c r="D557" s="212"/>
      <c r="E557" s="259" t="s">
        <v>33</v>
      </c>
      <c r="F557" s="260"/>
      <c r="G557" s="254">
        <f>TRUNC(SUM(G555:G556),2)</f>
        <v>11.77</v>
      </c>
      <c r="H557" s="254"/>
      <c r="I557" s="255"/>
    </row>
    <row r="558" spans="1:13" s="241" customFormat="1" ht="30">
      <c r="A558" s="170" t="s">
        <v>1385</v>
      </c>
      <c r="B558" s="170" t="s">
        <v>1147</v>
      </c>
      <c r="C558" s="171" t="s">
        <v>1148</v>
      </c>
      <c r="D558" s="170" t="s">
        <v>48</v>
      </c>
      <c r="E558" s="173">
        <v>137.24</v>
      </c>
      <c r="F558" s="172">
        <f>TRUNC(F559,2)</f>
        <v>43.68</v>
      </c>
      <c r="G558" s="172">
        <f>TRUNC(F558*1.2247,2)</f>
        <v>53.49</v>
      </c>
      <c r="H558" s="172">
        <f>E558*F558</f>
        <v>5994.6432</v>
      </c>
      <c r="I558" s="172">
        <f>TRUNC((E558*G558),2)</f>
        <v>7340.96</v>
      </c>
      <c r="J558" s="129"/>
      <c r="K558" s="129"/>
      <c r="L558" s="129"/>
      <c r="M558" s="129"/>
    </row>
    <row r="559" spans="1:9" s="240" customFormat="1" ht="30">
      <c r="A559" s="211"/>
      <c r="B559" s="212" t="s">
        <v>1147</v>
      </c>
      <c r="C559" s="213" t="s">
        <v>1148</v>
      </c>
      <c r="D559" s="212" t="s">
        <v>48</v>
      </c>
      <c r="E559" s="214">
        <v>1</v>
      </c>
      <c r="F559" s="215">
        <f>G565</f>
        <v>43.68</v>
      </c>
      <c r="G559" s="242">
        <f aca="true" t="shared" si="27" ref="G559:G564">TRUNC(E559*F559,2)</f>
        <v>43.68</v>
      </c>
      <c r="H559" s="242"/>
      <c r="I559" s="243"/>
    </row>
    <row r="560" spans="1:9" s="240" customFormat="1" ht="30">
      <c r="A560" s="211"/>
      <c r="B560" s="212" t="s">
        <v>1149</v>
      </c>
      <c r="C560" s="213" t="s">
        <v>1150</v>
      </c>
      <c r="D560" s="212" t="s">
        <v>47</v>
      </c>
      <c r="E560" s="214">
        <v>0.6695000000000001</v>
      </c>
      <c r="F560" s="215">
        <f>TRUNC(24.65,2)</f>
        <v>24.65</v>
      </c>
      <c r="G560" s="242">
        <f t="shared" si="27"/>
        <v>16.5</v>
      </c>
      <c r="H560" s="242"/>
      <c r="I560" s="243"/>
    </row>
    <row r="561" spans="1:9" s="240" customFormat="1" ht="15">
      <c r="A561" s="211"/>
      <c r="B561" s="212" t="s">
        <v>1151</v>
      </c>
      <c r="C561" s="213" t="s">
        <v>1152</v>
      </c>
      <c r="D561" s="212" t="s">
        <v>47</v>
      </c>
      <c r="E561" s="214">
        <v>0.12</v>
      </c>
      <c r="F561" s="215">
        <f>TRUNC(23.644,2)</f>
        <v>23.64</v>
      </c>
      <c r="G561" s="242">
        <f t="shared" si="27"/>
        <v>2.83</v>
      </c>
      <c r="H561" s="242"/>
      <c r="I561" s="243"/>
    </row>
    <row r="562" spans="1:9" s="240" customFormat="1" ht="15">
      <c r="A562" s="211"/>
      <c r="B562" s="212" t="s">
        <v>1153</v>
      </c>
      <c r="C562" s="213" t="s">
        <v>1154</v>
      </c>
      <c r="D562" s="212" t="s">
        <v>47</v>
      </c>
      <c r="E562" s="214">
        <v>0.2</v>
      </c>
      <c r="F562" s="215">
        <f>TRUNC(113.0149,2)</f>
        <v>113.01</v>
      </c>
      <c r="G562" s="242">
        <f t="shared" si="27"/>
        <v>22.6</v>
      </c>
      <c r="H562" s="242"/>
      <c r="I562" s="243"/>
    </row>
    <row r="563" spans="1:9" s="240" customFormat="1" ht="15">
      <c r="A563" s="211"/>
      <c r="B563" s="212" t="s">
        <v>1155</v>
      </c>
      <c r="C563" s="213" t="s">
        <v>1156</v>
      </c>
      <c r="D563" s="212" t="s">
        <v>47</v>
      </c>
      <c r="E563" s="214">
        <v>0.25</v>
      </c>
      <c r="F563" s="215">
        <f>TRUNC(2.1768,2)</f>
        <v>2.17</v>
      </c>
      <c r="G563" s="242">
        <f t="shared" si="27"/>
        <v>0.54</v>
      </c>
      <c r="H563" s="242"/>
      <c r="I563" s="243"/>
    </row>
    <row r="564" spans="1:9" s="240" customFormat="1" ht="15">
      <c r="A564" s="211"/>
      <c r="B564" s="212" t="s">
        <v>1157</v>
      </c>
      <c r="C564" s="213" t="s">
        <v>1158</v>
      </c>
      <c r="D564" s="212" t="s">
        <v>47</v>
      </c>
      <c r="E564" s="214">
        <v>0.4</v>
      </c>
      <c r="F564" s="215">
        <f>TRUNC(3.0478,2)</f>
        <v>3.04</v>
      </c>
      <c r="G564" s="242">
        <f t="shared" si="27"/>
        <v>1.21</v>
      </c>
      <c r="H564" s="242"/>
      <c r="I564" s="243"/>
    </row>
    <row r="565" spans="1:9" s="240" customFormat="1" ht="15">
      <c r="A565" s="211"/>
      <c r="B565" s="212"/>
      <c r="C565" s="213"/>
      <c r="D565" s="212"/>
      <c r="E565" s="214" t="s">
        <v>33</v>
      </c>
      <c r="F565" s="215"/>
      <c r="G565" s="242">
        <f>TRUNC(SUM(G560:G564),2)</f>
        <v>43.68</v>
      </c>
      <c r="H565" s="242"/>
      <c r="I565" s="243"/>
    </row>
    <row r="566" spans="1:9" ht="30">
      <c r="A566" s="103" t="s">
        <v>1386</v>
      </c>
      <c r="B566" s="110" t="s">
        <v>1112</v>
      </c>
      <c r="C566" s="210" t="s">
        <v>1113</v>
      </c>
      <c r="D566" s="103" t="s">
        <v>17</v>
      </c>
      <c r="E566" s="111">
        <v>91.6</v>
      </c>
      <c r="F566" s="101">
        <f>TRUNC(F567,2)</f>
        <v>193.14</v>
      </c>
      <c r="G566" s="101">
        <f>TRUNC(F566*1.2882,2)</f>
        <v>248.8</v>
      </c>
      <c r="H566" s="101">
        <f>TRUNC(F566*E566,2)</f>
        <v>17691.62</v>
      </c>
      <c r="I566" s="102">
        <f>TRUNC(E566*G566,2)</f>
        <v>22790.08</v>
      </c>
    </row>
    <row r="567" spans="1:9" ht="30">
      <c r="A567" s="8"/>
      <c r="B567" s="12" t="s">
        <v>1112</v>
      </c>
      <c r="C567" s="200" t="s">
        <v>1113</v>
      </c>
      <c r="D567" s="8" t="s">
        <v>17</v>
      </c>
      <c r="E567" s="11">
        <v>1</v>
      </c>
      <c r="F567" s="7">
        <f>G574</f>
        <v>193.14</v>
      </c>
      <c r="G567" s="7">
        <f aca="true" t="shared" si="28" ref="G567:G573">TRUNC(E567*F567,2)</f>
        <v>193.14</v>
      </c>
      <c r="H567" s="7"/>
      <c r="I567" s="11"/>
    </row>
    <row r="568" spans="1:9" ht="15">
      <c r="A568" s="8"/>
      <c r="B568" s="12" t="s">
        <v>1114</v>
      </c>
      <c r="C568" s="200" t="s">
        <v>1115</v>
      </c>
      <c r="D568" s="8" t="s">
        <v>44</v>
      </c>
      <c r="E568" s="11">
        <v>0.52</v>
      </c>
      <c r="F568" s="7">
        <f>TRUNC(7.43,2)</f>
        <v>7.43</v>
      </c>
      <c r="G568" s="7">
        <f t="shared" si="28"/>
        <v>3.86</v>
      </c>
      <c r="H568" s="7"/>
      <c r="I568" s="11"/>
    </row>
    <row r="569" spans="1:9" ht="30">
      <c r="A569" s="8"/>
      <c r="B569" s="12" t="s">
        <v>1116</v>
      </c>
      <c r="C569" s="200" t="s">
        <v>1117</v>
      </c>
      <c r="D569" s="8" t="s">
        <v>17</v>
      </c>
      <c r="E569" s="11">
        <v>1.125</v>
      </c>
      <c r="F569" s="7">
        <f>TRUNC(63.07,2)</f>
        <v>63.07</v>
      </c>
      <c r="G569" s="7">
        <f t="shared" si="28"/>
        <v>70.95</v>
      </c>
      <c r="H569" s="7"/>
      <c r="I569" s="11"/>
    </row>
    <row r="570" spans="1:9" ht="30">
      <c r="A570" s="8"/>
      <c r="B570" s="12" t="s">
        <v>1118</v>
      </c>
      <c r="C570" s="200" t="s">
        <v>1119</v>
      </c>
      <c r="D570" s="8" t="s">
        <v>17</v>
      </c>
      <c r="E570" s="11">
        <v>1.125</v>
      </c>
      <c r="F570" s="7">
        <f>TRUNC(51.36,2)</f>
        <v>51.36</v>
      </c>
      <c r="G570" s="7">
        <f t="shared" si="28"/>
        <v>57.78</v>
      </c>
      <c r="H570" s="7"/>
      <c r="I570" s="11"/>
    </row>
    <row r="571" spans="1:9" ht="30">
      <c r="A571" s="8"/>
      <c r="B571" s="12" t="s">
        <v>1120</v>
      </c>
      <c r="C571" s="200" t="s">
        <v>1121</v>
      </c>
      <c r="D571" s="8" t="s">
        <v>127</v>
      </c>
      <c r="E571" s="11">
        <v>0.615</v>
      </c>
      <c r="F571" s="7">
        <f>TRUNC(20.31,2)</f>
        <v>20.31</v>
      </c>
      <c r="G571" s="7">
        <f t="shared" si="28"/>
        <v>12.49</v>
      </c>
      <c r="H571" s="7"/>
      <c r="I571" s="11"/>
    </row>
    <row r="572" spans="1:9" ht="15">
      <c r="A572" s="8"/>
      <c r="B572" s="12" t="s">
        <v>855</v>
      </c>
      <c r="C572" s="200" t="s">
        <v>856</v>
      </c>
      <c r="D572" s="8" t="s">
        <v>47</v>
      </c>
      <c r="E572" s="11">
        <v>1.375</v>
      </c>
      <c r="F572" s="7">
        <f>TRUNC(30.04,2)</f>
        <v>30.04</v>
      </c>
      <c r="G572" s="7">
        <f t="shared" si="28"/>
        <v>41.3</v>
      </c>
      <c r="H572" s="7"/>
      <c r="I572" s="11"/>
    </row>
    <row r="573" spans="1:9" ht="15">
      <c r="A573" s="8"/>
      <c r="B573" s="12" t="s">
        <v>857</v>
      </c>
      <c r="C573" s="200" t="s">
        <v>858</v>
      </c>
      <c r="D573" s="8" t="s">
        <v>47</v>
      </c>
      <c r="E573" s="11">
        <v>0.278</v>
      </c>
      <c r="F573" s="7">
        <f>TRUNC(24.32,2)</f>
        <v>24.32</v>
      </c>
      <c r="G573" s="7">
        <f t="shared" si="28"/>
        <v>6.76</v>
      </c>
      <c r="H573" s="7"/>
      <c r="I573" s="11"/>
    </row>
    <row r="574" spans="1:9" ht="15">
      <c r="A574" s="8"/>
      <c r="B574" s="12"/>
      <c r="C574" s="200"/>
      <c r="D574" s="8"/>
      <c r="E574" s="11" t="s">
        <v>33</v>
      </c>
      <c r="F574" s="7"/>
      <c r="G574" s="7">
        <f>TRUNC(SUM(G568:G573),2)</f>
        <v>193.14</v>
      </c>
      <c r="H574" s="7"/>
      <c r="I574" s="11"/>
    </row>
    <row r="575" spans="1:9" ht="15.75">
      <c r="A575" s="103" t="s">
        <v>943</v>
      </c>
      <c r="B575" s="110"/>
      <c r="C575" s="265" t="s">
        <v>1167</v>
      </c>
      <c r="D575" s="103"/>
      <c r="E575" s="111"/>
      <c r="F575" s="111">
        <f>TRUNC(F603,2)</f>
        <v>0</v>
      </c>
      <c r="G575" s="111">
        <f>TRUNC(F575*1.2882,2)</f>
        <v>0</v>
      </c>
      <c r="H575" s="111">
        <f>TRUNC(F575*E575,2)</f>
        <v>0</v>
      </c>
      <c r="I575" s="111">
        <f>TRUNC(E575*G575,2)</f>
        <v>0</v>
      </c>
    </row>
    <row r="576" spans="1:13" s="241" customFormat="1" ht="45">
      <c r="A576" s="170" t="s">
        <v>1387</v>
      </c>
      <c r="B576" s="170" t="s">
        <v>1122</v>
      </c>
      <c r="C576" s="171" t="s">
        <v>1123</v>
      </c>
      <c r="D576" s="170" t="s">
        <v>48</v>
      </c>
      <c r="E576" s="173">
        <v>2.03</v>
      </c>
      <c r="F576" s="172">
        <f>TRUNC(F577,2)</f>
        <v>642.73</v>
      </c>
      <c r="G576" s="172">
        <f>TRUNC(F576*1.2247,2)</f>
        <v>787.15</v>
      </c>
      <c r="H576" s="172">
        <f>E576*F576</f>
        <v>1304.7419</v>
      </c>
      <c r="I576" s="172">
        <f>TRUNC((E576*G576),2)</f>
        <v>1597.91</v>
      </c>
      <c r="J576" s="129"/>
      <c r="K576" s="129"/>
      <c r="L576" s="129"/>
      <c r="M576" s="129"/>
    </row>
    <row r="577" spans="1:9" s="240" customFormat="1" ht="45">
      <c r="A577" s="211"/>
      <c r="B577" s="216" t="s">
        <v>1122</v>
      </c>
      <c r="C577" s="213" t="s">
        <v>1123</v>
      </c>
      <c r="D577" s="212" t="s">
        <v>48</v>
      </c>
      <c r="E577" s="214">
        <v>1</v>
      </c>
      <c r="F577" s="215">
        <f>G581</f>
        <v>642.73</v>
      </c>
      <c r="G577" s="242">
        <f>TRUNC(E577*F577,2)</f>
        <v>642.73</v>
      </c>
      <c r="H577" s="242"/>
      <c r="I577" s="243"/>
    </row>
    <row r="578" spans="1:9" s="240" customFormat="1" ht="15">
      <c r="A578" s="211"/>
      <c r="B578" s="216" t="s">
        <v>846</v>
      </c>
      <c r="C578" s="213" t="s">
        <v>847</v>
      </c>
      <c r="D578" s="212" t="s">
        <v>48</v>
      </c>
      <c r="E578" s="214">
        <v>1</v>
      </c>
      <c r="F578" s="215">
        <f>TRUNC(119.0063,2)</f>
        <v>119</v>
      </c>
      <c r="G578" s="242">
        <f>TRUNC(E578*F578,2)</f>
        <v>119</v>
      </c>
      <c r="H578" s="242"/>
      <c r="I578" s="243"/>
    </row>
    <row r="579" spans="1:9" s="240" customFormat="1" ht="15">
      <c r="A579" s="211"/>
      <c r="B579" s="216" t="s">
        <v>848</v>
      </c>
      <c r="C579" s="213" t="s">
        <v>849</v>
      </c>
      <c r="D579" s="212" t="s">
        <v>48</v>
      </c>
      <c r="E579" s="214">
        <v>1</v>
      </c>
      <c r="F579" s="215">
        <f>TRUNC(78.9957,2)</f>
        <v>78.99</v>
      </c>
      <c r="G579" s="242">
        <f>TRUNC(E579*F579,2)</f>
        <v>78.99</v>
      </c>
      <c r="H579" s="242"/>
      <c r="I579" s="243"/>
    </row>
    <row r="580" spans="1:9" s="240" customFormat="1" ht="15">
      <c r="A580" s="211"/>
      <c r="B580" s="216" t="s">
        <v>1124</v>
      </c>
      <c r="C580" s="213" t="s">
        <v>1125</v>
      </c>
      <c r="D580" s="212" t="s">
        <v>48</v>
      </c>
      <c r="E580" s="214">
        <v>1</v>
      </c>
      <c r="F580" s="215">
        <f>TRUNC(444.7468,2)</f>
        <v>444.74</v>
      </c>
      <c r="G580" s="242">
        <f>TRUNC(E580*F580,2)</f>
        <v>444.74</v>
      </c>
      <c r="H580" s="242"/>
      <c r="I580" s="243"/>
    </row>
    <row r="581" spans="1:9" s="240" customFormat="1" ht="15">
      <c r="A581" s="211"/>
      <c r="B581" s="216"/>
      <c r="C581" s="213"/>
      <c r="D581" s="212"/>
      <c r="E581" s="214" t="s">
        <v>33</v>
      </c>
      <c r="F581" s="215"/>
      <c r="G581" s="242">
        <f>TRUNC(SUM(G578:G580),2)</f>
        <v>642.73</v>
      </c>
      <c r="H581" s="242"/>
      <c r="I581" s="243"/>
    </row>
    <row r="582" spans="1:13" s="241" customFormat="1" ht="60">
      <c r="A582" s="170" t="s">
        <v>1388</v>
      </c>
      <c r="B582" s="170" t="s">
        <v>910</v>
      </c>
      <c r="C582" s="171" t="s">
        <v>994</v>
      </c>
      <c r="D582" s="170" t="s">
        <v>44</v>
      </c>
      <c r="E582" s="173">
        <v>158</v>
      </c>
      <c r="F582" s="172">
        <f>TRUNC(F583,2)</f>
        <v>7.84</v>
      </c>
      <c r="G582" s="172">
        <f>TRUNC(F582*1.2247,2)</f>
        <v>9.6</v>
      </c>
      <c r="H582" s="172">
        <f>E582*F582</f>
        <v>1238.72</v>
      </c>
      <c r="I582" s="172">
        <f>TRUNC((E582*G582),2)</f>
        <v>1516.8</v>
      </c>
      <c r="J582" s="129"/>
      <c r="K582" s="129"/>
      <c r="L582" s="129"/>
      <c r="M582" s="129"/>
    </row>
    <row r="583" spans="1:9" s="240" customFormat="1" ht="60">
      <c r="A583" s="211"/>
      <c r="B583" s="212" t="s">
        <v>870</v>
      </c>
      <c r="C583" s="213" t="s">
        <v>871</v>
      </c>
      <c r="D583" s="212" t="s">
        <v>44</v>
      </c>
      <c r="E583" s="214">
        <v>1</v>
      </c>
      <c r="F583" s="217">
        <f>G588</f>
        <v>7.84</v>
      </c>
      <c r="G583" s="242">
        <f>TRUNC(E583*F583,2)</f>
        <v>7.84</v>
      </c>
      <c r="H583" s="242"/>
      <c r="I583" s="243"/>
    </row>
    <row r="584" spans="1:9" s="240" customFormat="1" ht="15">
      <c r="A584" s="211"/>
      <c r="B584" s="212" t="s">
        <v>872</v>
      </c>
      <c r="C584" s="213" t="s">
        <v>873</v>
      </c>
      <c r="D584" s="212" t="s">
        <v>44</v>
      </c>
      <c r="E584" s="214">
        <v>0.37</v>
      </c>
      <c r="F584" s="217">
        <f>TRUNC(6.2193,2)</f>
        <v>6.21</v>
      </c>
      <c r="G584" s="242">
        <f>TRUNC(E584*F584,2)</f>
        <v>2.29</v>
      </c>
      <c r="H584" s="242"/>
      <c r="I584" s="243"/>
    </row>
    <row r="585" spans="1:9" s="240" customFormat="1" ht="15">
      <c r="A585" s="211"/>
      <c r="B585" s="212" t="s">
        <v>874</v>
      </c>
      <c r="C585" s="213" t="s">
        <v>875</v>
      </c>
      <c r="D585" s="212" t="s">
        <v>44</v>
      </c>
      <c r="E585" s="214">
        <v>0.37</v>
      </c>
      <c r="F585" s="217">
        <f>TRUNC(6.8509,2)</f>
        <v>6.85</v>
      </c>
      <c r="G585" s="242">
        <f>TRUNC(E585*F585,2)</f>
        <v>2.53</v>
      </c>
      <c r="H585" s="242"/>
      <c r="I585" s="243"/>
    </row>
    <row r="586" spans="1:9" s="240" customFormat="1" ht="15">
      <c r="A586" s="211"/>
      <c r="B586" s="212" t="s">
        <v>876</v>
      </c>
      <c r="C586" s="213" t="s">
        <v>877</v>
      </c>
      <c r="D586" s="212" t="s">
        <v>44</v>
      </c>
      <c r="E586" s="214">
        <v>0.37</v>
      </c>
      <c r="F586" s="217">
        <f>TRUNC(7.1772,2)</f>
        <v>7.17</v>
      </c>
      <c r="G586" s="242">
        <f>TRUNC(E586*F586,2)</f>
        <v>2.65</v>
      </c>
      <c r="H586" s="242"/>
      <c r="I586" s="243"/>
    </row>
    <row r="587" spans="1:9" s="240" customFormat="1" ht="15">
      <c r="A587" s="211"/>
      <c r="B587" s="212" t="s">
        <v>347</v>
      </c>
      <c r="C587" s="213" t="s">
        <v>348</v>
      </c>
      <c r="D587" s="212" t="s">
        <v>44</v>
      </c>
      <c r="E587" s="214">
        <v>0.03</v>
      </c>
      <c r="F587" s="217">
        <f>TRUNC(12.3723,2)</f>
        <v>12.37</v>
      </c>
      <c r="G587" s="242">
        <f>TRUNC(E587*F587,2)</f>
        <v>0.37</v>
      </c>
      <c r="H587" s="242"/>
      <c r="I587" s="243"/>
    </row>
    <row r="588" spans="1:9" s="240" customFormat="1" ht="15">
      <c r="A588" s="211"/>
      <c r="B588" s="212"/>
      <c r="C588" s="213"/>
      <c r="D588" s="212"/>
      <c r="E588" s="214" t="s">
        <v>33</v>
      </c>
      <c r="F588" s="217"/>
      <c r="G588" s="242">
        <f>TRUNC(SUM(G584:G587),2)</f>
        <v>7.84</v>
      </c>
      <c r="H588" s="242"/>
      <c r="I588" s="243"/>
    </row>
    <row r="589" spans="1:13" s="241" customFormat="1" ht="30">
      <c r="A589" s="170" t="s">
        <v>1389</v>
      </c>
      <c r="B589" s="170" t="s">
        <v>909</v>
      </c>
      <c r="C589" s="171" t="s">
        <v>995</v>
      </c>
      <c r="D589" s="170" t="s">
        <v>44</v>
      </c>
      <c r="E589" s="173">
        <v>158</v>
      </c>
      <c r="F589" s="172">
        <f>TRUNC(F590,2)</f>
        <v>4.08</v>
      </c>
      <c r="G589" s="172">
        <f>TRUNC(F589*1.2247,2)</f>
        <v>4.99</v>
      </c>
      <c r="H589" s="172">
        <f>E589*F589</f>
        <v>644.64</v>
      </c>
      <c r="I589" s="172">
        <f>TRUNC((E589*G589),2)</f>
        <v>788.42</v>
      </c>
      <c r="J589" s="129"/>
      <c r="K589" s="129"/>
      <c r="L589" s="129"/>
      <c r="M589" s="129"/>
    </row>
    <row r="590" spans="1:9" s="240" customFormat="1" ht="30">
      <c r="A590" s="211"/>
      <c r="B590" s="212" t="s">
        <v>878</v>
      </c>
      <c r="C590" s="213" t="s">
        <v>879</v>
      </c>
      <c r="D590" s="212" t="s">
        <v>44</v>
      </c>
      <c r="E590" s="214">
        <v>1</v>
      </c>
      <c r="F590" s="217">
        <f>G593</f>
        <v>4.08</v>
      </c>
      <c r="G590" s="242">
        <f>TRUNC(E590*F590,2)</f>
        <v>4.08</v>
      </c>
      <c r="H590" s="242"/>
      <c r="I590" s="243"/>
    </row>
    <row r="591" spans="1:9" s="240" customFormat="1" ht="30">
      <c r="A591" s="211"/>
      <c r="B591" s="212" t="s">
        <v>45</v>
      </c>
      <c r="C591" s="213" t="s">
        <v>46</v>
      </c>
      <c r="D591" s="212" t="s">
        <v>47</v>
      </c>
      <c r="E591" s="214">
        <v>0.10815</v>
      </c>
      <c r="F591" s="217">
        <f>TRUNC(15.87,2)</f>
        <v>15.87</v>
      </c>
      <c r="G591" s="242">
        <f>TRUNC(E591*F591,2)</f>
        <v>1.71</v>
      </c>
      <c r="H591" s="242"/>
      <c r="I591" s="243"/>
    </row>
    <row r="592" spans="1:9" s="240" customFormat="1" ht="30">
      <c r="A592" s="211"/>
      <c r="B592" s="212" t="s">
        <v>880</v>
      </c>
      <c r="C592" s="213" t="s">
        <v>881</v>
      </c>
      <c r="D592" s="212" t="s">
        <v>47</v>
      </c>
      <c r="E592" s="214">
        <v>0.10815</v>
      </c>
      <c r="F592" s="217">
        <f>TRUNC(21.96,2)</f>
        <v>21.96</v>
      </c>
      <c r="G592" s="242">
        <f>TRUNC(E592*F592,2)</f>
        <v>2.37</v>
      </c>
      <c r="H592" s="242"/>
      <c r="I592" s="243"/>
    </row>
    <row r="593" spans="1:9" s="240" customFormat="1" ht="15">
      <c r="A593" s="211"/>
      <c r="B593" s="212"/>
      <c r="C593" s="213"/>
      <c r="D593" s="212"/>
      <c r="E593" s="214" t="s">
        <v>33</v>
      </c>
      <c r="F593" s="217"/>
      <c r="G593" s="242">
        <f>TRUNC(SUM(G591:G592),2)</f>
        <v>4.08</v>
      </c>
      <c r="H593" s="242"/>
      <c r="I593" s="243"/>
    </row>
    <row r="594" spans="1:13" s="241" customFormat="1" ht="45">
      <c r="A594" s="170" t="s">
        <v>1390</v>
      </c>
      <c r="B594" s="170" t="s">
        <v>911</v>
      </c>
      <c r="C594" s="171" t="s">
        <v>996</v>
      </c>
      <c r="D594" s="170" t="s">
        <v>17</v>
      </c>
      <c r="E594" s="173">
        <v>21.47</v>
      </c>
      <c r="F594" s="172">
        <f>TRUNC(F595,2)</f>
        <v>35.41</v>
      </c>
      <c r="G594" s="172">
        <f>TRUNC(F594*1.2247,2)</f>
        <v>43.36</v>
      </c>
      <c r="H594" s="172">
        <f>E594*F594</f>
        <v>760.2526999999999</v>
      </c>
      <c r="I594" s="172">
        <f>TRUNC((E594*G594),2)</f>
        <v>930.93</v>
      </c>
      <c r="J594" s="129"/>
      <c r="K594" s="129"/>
      <c r="L594" s="129"/>
      <c r="M594" s="129"/>
    </row>
    <row r="595" spans="1:9" s="240" customFormat="1" ht="45">
      <c r="A595" s="211"/>
      <c r="B595" s="212" t="s">
        <v>912</v>
      </c>
      <c r="C595" s="213" t="s">
        <v>886</v>
      </c>
      <c r="D595" s="212" t="s">
        <v>17</v>
      </c>
      <c r="E595" s="214">
        <v>1</v>
      </c>
      <c r="F595" s="217">
        <f>G602</f>
        <v>35.41</v>
      </c>
      <c r="G595" s="242">
        <f aca="true" t="shared" si="29" ref="G595:G601">TRUNC(E595*F595,2)</f>
        <v>35.41</v>
      </c>
      <c r="H595" s="242"/>
      <c r="I595" s="243"/>
    </row>
    <row r="596" spans="1:9" s="240" customFormat="1" ht="30">
      <c r="A596" s="211"/>
      <c r="B596" s="212" t="s">
        <v>410</v>
      </c>
      <c r="C596" s="213" t="s">
        <v>411</v>
      </c>
      <c r="D596" s="212" t="s">
        <v>44</v>
      </c>
      <c r="E596" s="214">
        <v>0.1</v>
      </c>
      <c r="F596" s="217">
        <f>TRUNC(18.29,2)</f>
        <v>18.29</v>
      </c>
      <c r="G596" s="242">
        <f t="shared" si="29"/>
        <v>1.82</v>
      </c>
      <c r="H596" s="242"/>
      <c r="I596" s="243"/>
    </row>
    <row r="597" spans="1:9" s="240" customFormat="1" ht="15">
      <c r="A597" s="211"/>
      <c r="B597" s="212" t="s">
        <v>832</v>
      </c>
      <c r="C597" s="213" t="s">
        <v>833</v>
      </c>
      <c r="D597" s="212" t="s">
        <v>23</v>
      </c>
      <c r="E597" s="214">
        <v>0.83</v>
      </c>
      <c r="F597" s="217">
        <f>TRUNC(12.53,2)</f>
        <v>12.53</v>
      </c>
      <c r="G597" s="242">
        <f t="shared" si="29"/>
        <v>10.39</v>
      </c>
      <c r="H597" s="242"/>
      <c r="I597" s="243"/>
    </row>
    <row r="598" spans="1:9" s="240" customFormat="1" ht="30">
      <c r="A598" s="211"/>
      <c r="B598" s="212" t="s">
        <v>45</v>
      </c>
      <c r="C598" s="213" t="s">
        <v>46</v>
      </c>
      <c r="D598" s="212" t="s">
        <v>47</v>
      </c>
      <c r="E598" s="214">
        <v>0.515</v>
      </c>
      <c r="F598" s="217">
        <f>TRUNC(15.87,2)</f>
        <v>15.87</v>
      </c>
      <c r="G598" s="242">
        <f t="shared" si="29"/>
        <v>8.17</v>
      </c>
      <c r="H598" s="242"/>
      <c r="I598" s="243"/>
    </row>
    <row r="599" spans="1:9" s="240" customFormat="1" ht="30">
      <c r="A599" s="211"/>
      <c r="B599" s="212" t="s">
        <v>69</v>
      </c>
      <c r="C599" s="213" t="s">
        <v>70</v>
      </c>
      <c r="D599" s="212" t="s">
        <v>47</v>
      </c>
      <c r="E599" s="214">
        <v>0.41200000000000003</v>
      </c>
      <c r="F599" s="217">
        <f>TRUNC(21.96,2)</f>
        <v>21.96</v>
      </c>
      <c r="G599" s="242">
        <f t="shared" si="29"/>
        <v>9.04</v>
      </c>
      <c r="H599" s="242"/>
      <c r="I599" s="243"/>
    </row>
    <row r="600" spans="1:9" s="240" customFormat="1" ht="15">
      <c r="A600" s="211"/>
      <c r="B600" s="212" t="s">
        <v>913</v>
      </c>
      <c r="C600" s="213" t="s">
        <v>914</v>
      </c>
      <c r="D600" s="212" t="s">
        <v>23</v>
      </c>
      <c r="E600" s="214">
        <v>0.66</v>
      </c>
      <c r="F600" s="217">
        <f>TRUNC(4.1243,2)</f>
        <v>4.12</v>
      </c>
      <c r="G600" s="242">
        <f t="shared" si="29"/>
        <v>2.71</v>
      </c>
      <c r="H600" s="242"/>
      <c r="I600" s="243"/>
    </row>
    <row r="601" spans="1:9" s="240" customFormat="1" ht="15">
      <c r="A601" s="211"/>
      <c r="B601" s="212" t="s">
        <v>915</v>
      </c>
      <c r="C601" s="213" t="s">
        <v>916</v>
      </c>
      <c r="D601" s="212" t="s">
        <v>17</v>
      </c>
      <c r="E601" s="214">
        <v>1</v>
      </c>
      <c r="F601" s="217">
        <f>TRUNC(3.2842,2)</f>
        <v>3.28</v>
      </c>
      <c r="G601" s="242">
        <f t="shared" si="29"/>
        <v>3.28</v>
      </c>
      <c r="H601" s="242"/>
      <c r="I601" s="243"/>
    </row>
    <row r="602" spans="1:9" s="240" customFormat="1" ht="15">
      <c r="A602" s="211"/>
      <c r="B602" s="212"/>
      <c r="C602" s="213"/>
      <c r="D602" s="212"/>
      <c r="E602" s="214" t="s">
        <v>33</v>
      </c>
      <c r="F602" s="217"/>
      <c r="G602" s="242">
        <f>TRUNC(SUM(G596:G601),2)</f>
        <v>35.41</v>
      </c>
      <c r="H602" s="242"/>
      <c r="I602" s="243"/>
    </row>
    <row r="603" spans="1:9" ht="15">
      <c r="A603" s="8"/>
      <c r="B603" s="12"/>
      <c r="C603" s="200"/>
      <c r="D603" s="8"/>
      <c r="E603" s="11"/>
      <c r="F603" s="7"/>
      <c r="G603" s="7"/>
      <c r="H603" s="7"/>
      <c r="I603" s="11"/>
    </row>
    <row r="604" spans="1:9" ht="30">
      <c r="A604" s="103" t="s">
        <v>1391</v>
      </c>
      <c r="B604" s="110" t="s">
        <v>1098</v>
      </c>
      <c r="C604" s="210" t="s">
        <v>1099</v>
      </c>
      <c r="D604" s="103" t="s">
        <v>17</v>
      </c>
      <c r="E604" s="111">
        <v>37.52</v>
      </c>
      <c r="F604" s="111">
        <f>TRUNC(F605,2)</f>
        <v>196.57</v>
      </c>
      <c r="G604" s="111">
        <f>TRUNC(F604*1.2882,2)</f>
        <v>253.22</v>
      </c>
      <c r="H604" s="111">
        <f>TRUNC(F604*E604,2)</f>
        <v>7375.3</v>
      </c>
      <c r="I604" s="111">
        <f>TRUNC(E604*G604,2)</f>
        <v>9500.81</v>
      </c>
    </row>
    <row r="605" spans="1:9" ht="30">
      <c r="A605" s="8"/>
      <c r="B605" s="12" t="s">
        <v>1098</v>
      </c>
      <c r="C605" s="200" t="s">
        <v>1099</v>
      </c>
      <c r="D605" s="8" t="s">
        <v>17</v>
      </c>
      <c r="E605" s="11">
        <v>1</v>
      </c>
      <c r="F605" s="7">
        <f>G614</f>
        <v>196.57</v>
      </c>
      <c r="G605" s="7">
        <f aca="true" t="shared" si="30" ref="G605:G613">TRUNC(E605*F605,2)</f>
        <v>196.57</v>
      </c>
      <c r="H605" s="7"/>
      <c r="I605" s="11"/>
    </row>
    <row r="606" spans="1:9" ht="15">
      <c r="A606" s="8"/>
      <c r="B606" s="12" t="s">
        <v>1100</v>
      </c>
      <c r="C606" s="200" t="s">
        <v>1101</v>
      </c>
      <c r="D606" s="8" t="s">
        <v>44</v>
      </c>
      <c r="E606" s="11">
        <v>0.04</v>
      </c>
      <c r="F606" s="7">
        <f>TRUNC(33.52,2)</f>
        <v>33.52</v>
      </c>
      <c r="G606" s="7">
        <f t="shared" si="30"/>
        <v>1.34</v>
      </c>
      <c r="H606" s="7"/>
      <c r="I606" s="11"/>
    </row>
    <row r="607" spans="1:9" ht="30">
      <c r="A607" s="8"/>
      <c r="B607" s="12" t="s">
        <v>217</v>
      </c>
      <c r="C607" s="200" t="s">
        <v>218</v>
      </c>
      <c r="D607" s="8" t="s">
        <v>23</v>
      </c>
      <c r="E607" s="11">
        <v>1.87</v>
      </c>
      <c r="F607" s="7">
        <f>TRUNC(24.37,2)</f>
        <v>24.37</v>
      </c>
      <c r="G607" s="7">
        <f t="shared" si="30"/>
        <v>45.57</v>
      </c>
      <c r="H607" s="7"/>
      <c r="I607" s="11"/>
    </row>
    <row r="608" spans="1:9" ht="30">
      <c r="A608" s="8"/>
      <c r="B608" s="12" t="s">
        <v>1102</v>
      </c>
      <c r="C608" s="200" t="s">
        <v>1103</v>
      </c>
      <c r="D608" s="8" t="s">
        <v>17</v>
      </c>
      <c r="E608" s="11">
        <v>1</v>
      </c>
      <c r="F608" s="7">
        <f>TRUNC(59.72,2)</f>
        <v>59.72</v>
      </c>
      <c r="G608" s="7">
        <f t="shared" si="30"/>
        <v>59.72</v>
      </c>
      <c r="H608" s="7"/>
      <c r="I608" s="11"/>
    </row>
    <row r="609" spans="1:9" ht="15">
      <c r="A609" s="8"/>
      <c r="B609" s="12" t="s">
        <v>49</v>
      </c>
      <c r="C609" s="200" t="s">
        <v>50</v>
      </c>
      <c r="D609" s="8" t="s">
        <v>47</v>
      </c>
      <c r="E609" s="11">
        <v>0.354</v>
      </c>
      <c r="F609" s="7">
        <f>TRUNC(23.64,2)</f>
        <v>23.64</v>
      </c>
      <c r="G609" s="7">
        <f t="shared" si="30"/>
        <v>8.36</v>
      </c>
      <c r="H609" s="7"/>
      <c r="I609" s="11"/>
    </row>
    <row r="610" spans="1:9" ht="15">
      <c r="A610" s="8"/>
      <c r="B610" s="12" t="s">
        <v>1104</v>
      </c>
      <c r="C610" s="200" t="s">
        <v>1105</v>
      </c>
      <c r="D610" s="8" t="s">
        <v>47</v>
      </c>
      <c r="E610" s="11">
        <v>0.501</v>
      </c>
      <c r="F610" s="7">
        <f>TRUNC(29.55,2)</f>
        <v>29.55</v>
      </c>
      <c r="G610" s="7">
        <f t="shared" si="30"/>
        <v>14.8</v>
      </c>
      <c r="H610" s="7"/>
      <c r="I610" s="11"/>
    </row>
    <row r="611" spans="1:9" ht="30">
      <c r="A611" s="8"/>
      <c r="B611" s="12" t="s">
        <v>1106</v>
      </c>
      <c r="C611" s="200" t="s">
        <v>1107</v>
      </c>
      <c r="D611" s="8" t="s">
        <v>48</v>
      </c>
      <c r="E611" s="11">
        <v>0.054</v>
      </c>
      <c r="F611" s="7">
        <f>TRUNC(545.42,2)</f>
        <v>545.42</v>
      </c>
      <c r="G611" s="7">
        <f t="shared" si="30"/>
        <v>29.45</v>
      </c>
      <c r="H611" s="7"/>
      <c r="I611" s="11"/>
    </row>
    <row r="612" spans="1:9" ht="30">
      <c r="A612" s="8"/>
      <c r="B612" s="12" t="s">
        <v>1108</v>
      </c>
      <c r="C612" s="200" t="s">
        <v>1109</v>
      </c>
      <c r="D612" s="8" t="s">
        <v>44</v>
      </c>
      <c r="E612" s="11">
        <v>1.211</v>
      </c>
      <c r="F612" s="7">
        <f>TRUNC(17.69,2)</f>
        <v>17.69</v>
      </c>
      <c r="G612" s="7">
        <f t="shared" si="30"/>
        <v>21.42</v>
      </c>
      <c r="H612" s="7"/>
      <c r="I612" s="11"/>
    </row>
    <row r="613" spans="1:9" ht="30">
      <c r="A613" s="8"/>
      <c r="B613" s="12" t="s">
        <v>1110</v>
      </c>
      <c r="C613" s="200" t="s">
        <v>1111</v>
      </c>
      <c r="D613" s="8" t="s">
        <v>23</v>
      </c>
      <c r="E613" s="11">
        <v>0.97</v>
      </c>
      <c r="F613" s="7">
        <f>TRUNC(16.41,2)</f>
        <v>16.41</v>
      </c>
      <c r="G613" s="7">
        <f t="shared" si="30"/>
        <v>15.91</v>
      </c>
      <c r="H613" s="7"/>
      <c r="I613" s="11"/>
    </row>
    <row r="614" spans="1:9" ht="15">
      <c r="A614" s="8"/>
      <c r="B614" s="12"/>
      <c r="C614" s="200"/>
      <c r="D614" s="8"/>
      <c r="E614" s="11" t="s">
        <v>33</v>
      </c>
      <c r="F614" s="7"/>
      <c r="G614" s="7">
        <f>TRUNC(SUM(G606:G613),2)</f>
        <v>196.57</v>
      </c>
      <c r="H614" s="7"/>
      <c r="I614" s="11"/>
    </row>
    <row r="615" spans="1:9" s="203" customFormat="1" ht="15.75">
      <c r="A615" s="45" t="s">
        <v>18</v>
      </c>
      <c r="B615" s="27"/>
      <c r="C615" s="202"/>
      <c r="D615" s="45"/>
      <c r="E615" s="28"/>
      <c r="F615" s="29"/>
      <c r="G615" s="480" t="s">
        <v>260</v>
      </c>
      <c r="H615" s="481"/>
      <c r="I615" s="29"/>
    </row>
    <row r="616" spans="1:9" ht="14.25" customHeight="1">
      <c r="A616" s="4" t="s">
        <v>20</v>
      </c>
      <c r="B616" s="5"/>
      <c r="C616" s="485" t="s">
        <v>76</v>
      </c>
      <c r="D616" s="485"/>
      <c r="E616" s="485"/>
      <c r="F616" s="485"/>
      <c r="G616" s="485"/>
      <c r="H616" s="485"/>
      <c r="I616" s="485"/>
    </row>
    <row r="617" spans="1:9" s="195" customFormat="1" ht="60">
      <c r="A617" s="174" t="s">
        <v>77</v>
      </c>
      <c r="B617" s="175" t="s">
        <v>1014</v>
      </c>
      <c r="C617" s="290" t="s">
        <v>1015</v>
      </c>
      <c r="D617" s="291" t="s">
        <v>17</v>
      </c>
      <c r="E617" s="291">
        <f>105.77*2.6</f>
        <v>275.002</v>
      </c>
      <c r="F617" s="101">
        <f>TRUNC(F618,2)</f>
        <v>50.01</v>
      </c>
      <c r="G617" s="101">
        <f>TRUNC(F617*1.2882,2)</f>
        <v>64.42</v>
      </c>
      <c r="H617" s="101">
        <f>TRUNC(F617*E617,2)</f>
        <v>13752.85</v>
      </c>
      <c r="I617" s="102">
        <f>TRUNC(E617*G617,2)</f>
        <v>17715.62</v>
      </c>
    </row>
    <row r="618" spans="1:9" ht="60">
      <c r="A618" s="13"/>
      <c r="B618" s="14" t="s">
        <v>1014</v>
      </c>
      <c r="C618" s="201" t="s">
        <v>1015</v>
      </c>
      <c r="D618" s="13" t="s">
        <v>17</v>
      </c>
      <c r="E618" s="15">
        <v>1</v>
      </c>
      <c r="F618" s="16">
        <f>G624</f>
        <v>50.01</v>
      </c>
      <c r="G618" s="17">
        <f aca="true" t="shared" si="31" ref="G618:G623">TRUNC(E618*F618,2)</f>
        <v>50.01</v>
      </c>
      <c r="H618" s="17"/>
      <c r="I618" s="16"/>
    </row>
    <row r="619" spans="1:9" ht="15">
      <c r="A619" s="13"/>
      <c r="B619" s="14" t="s">
        <v>1008</v>
      </c>
      <c r="C619" s="201" t="s">
        <v>1009</v>
      </c>
      <c r="D619" s="13" t="s">
        <v>7</v>
      </c>
      <c r="E619" s="15">
        <v>17</v>
      </c>
      <c r="F619" s="16">
        <f>TRUNC(1.15,2)</f>
        <v>1.15</v>
      </c>
      <c r="G619" s="17">
        <f t="shared" si="31"/>
        <v>19.55</v>
      </c>
      <c r="H619" s="17"/>
      <c r="I619" s="16"/>
    </row>
    <row r="620" spans="1:9" ht="15">
      <c r="A620" s="13"/>
      <c r="B620" s="14" t="s">
        <v>1010</v>
      </c>
      <c r="C620" s="201" t="s">
        <v>1011</v>
      </c>
      <c r="D620" s="13" t="s">
        <v>7</v>
      </c>
      <c r="E620" s="15">
        <v>1</v>
      </c>
      <c r="F620" s="16">
        <f>TRUNC(0.78,2)</f>
        <v>0.78</v>
      </c>
      <c r="G620" s="17">
        <f t="shared" si="31"/>
        <v>0.78</v>
      </c>
      <c r="H620" s="17"/>
      <c r="I620" s="16"/>
    </row>
    <row r="621" spans="1:9" ht="30">
      <c r="A621" s="13"/>
      <c r="B621" s="14" t="s">
        <v>45</v>
      </c>
      <c r="C621" s="201" t="s">
        <v>46</v>
      </c>
      <c r="D621" s="13" t="s">
        <v>47</v>
      </c>
      <c r="E621" s="15">
        <v>0.41200000000000003</v>
      </c>
      <c r="F621" s="16">
        <f>TRUNC(15.87,2)</f>
        <v>15.87</v>
      </c>
      <c r="G621" s="17">
        <f t="shared" si="31"/>
        <v>6.53</v>
      </c>
      <c r="H621" s="17"/>
      <c r="I621" s="16"/>
    </row>
    <row r="622" spans="1:9" ht="15">
      <c r="A622" s="13"/>
      <c r="B622" s="14" t="s">
        <v>363</v>
      </c>
      <c r="C622" s="201" t="s">
        <v>364</v>
      </c>
      <c r="D622" s="13" t="s">
        <v>47</v>
      </c>
      <c r="E622" s="15">
        <v>0.8343</v>
      </c>
      <c r="F622" s="16">
        <f>TRUNC(21.96,2)</f>
        <v>21.96</v>
      </c>
      <c r="G622" s="17">
        <f t="shared" si="31"/>
        <v>18.32</v>
      </c>
      <c r="H622" s="17"/>
      <c r="I622" s="16"/>
    </row>
    <row r="623" spans="1:9" ht="15">
      <c r="A623" s="13"/>
      <c r="B623" s="14" t="s">
        <v>1012</v>
      </c>
      <c r="C623" s="201" t="s">
        <v>1013</v>
      </c>
      <c r="D623" s="13" t="s">
        <v>48</v>
      </c>
      <c r="E623" s="15">
        <v>0.01</v>
      </c>
      <c r="F623" s="16">
        <f>TRUNC(483.4622,2)</f>
        <v>483.46</v>
      </c>
      <c r="G623" s="17">
        <f t="shared" si="31"/>
        <v>4.83</v>
      </c>
      <c r="H623" s="17"/>
      <c r="I623" s="16"/>
    </row>
    <row r="624" spans="1:9" ht="15">
      <c r="A624" s="13"/>
      <c r="B624" s="14"/>
      <c r="C624" s="201"/>
      <c r="D624" s="13"/>
      <c r="E624" s="15" t="s">
        <v>33</v>
      </c>
      <c r="F624" s="16"/>
      <c r="G624" s="17">
        <f>TRUNC(SUM(G619:G623),2)</f>
        <v>50.01</v>
      </c>
      <c r="H624" s="17"/>
      <c r="I624" s="16"/>
    </row>
    <row r="625" spans="1:9" ht="45">
      <c r="A625" s="103" t="s">
        <v>78</v>
      </c>
      <c r="B625" s="110" t="s">
        <v>1016</v>
      </c>
      <c r="C625" s="197" t="s">
        <v>1017</v>
      </c>
      <c r="D625" s="105" t="s">
        <v>17</v>
      </c>
      <c r="E625" s="102">
        <v>15.5</v>
      </c>
      <c r="F625" s="101">
        <f>TRUNC(F626,2)</f>
        <v>461.98</v>
      </c>
      <c r="G625" s="101">
        <f>TRUNC(F625*1.2882,2)</f>
        <v>595.12</v>
      </c>
      <c r="H625" s="101">
        <f>TRUNC(F625*E625,2)</f>
        <v>7160.69</v>
      </c>
      <c r="I625" s="102">
        <f>TRUNC(E625*G625,2)</f>
        <v>9224.36</v>
      </c>
    </row>
    <row r="626" spans="1:9" ht="45">
      <c r="A626" s="13"/>
      <c r="B626" s="14" t="s">
        <v>1016</v>
      </c>
      <c r="C626" s="201" t="s">
        <v>1017</v>
      </c>
      <c r="D626" s="13" t="s">
        <v>17</v>
      </c>
      <c r="E626" s="15">
        <v>1</v>
      </c>
      <c r="F626" s="16">
        <f>TRUNC(461.98045,2)</f>
        <v>461.98</v>
      </c>
      <c r="G626" s="17">
        <f>TRUNC(E626*F626,2)</f>
        <v>461.98</v>
      </c>
      <c r="H626" s="17"/>
      <c r="I626" s="16"/>
    </row>
    <row r="627" spans="1:9" ht="15">
      <c r="A627" s="13"/>
      <c r="B627" s="14" t="s">
        <v>1018</v>
      </c>
      <c r="C627" s="201" t="s">
        <v>1019</v>
      </c>
      <c r="D627" s="13" t="s">
        <v>17</v>
      </c>
      <c r="E627" s="15">
        <v>1.1</v>
      </c>
      <c r="F627" s="16">
        <f>TRUNC(329.6,2)</f>
        <v>329.6</v>
      </c>
      <c r="G627" s="17">
        <f>TRUNC(E627*F627,2)</f>
        <v>362.56</v>
      </c>
      <c r="H627" s="17"/>
      <c r="I627" s="16"/>
    </row>
    <row r="628" spans="1:9" ht="30">
      <c r="A628" s="13"/>
      <c r="B628" s="14" t="s">
        <v>1020</v>
      </c>
      <c r="C628" s="201" t="s">
        <v>1021</v>
      </c>
      <c r="D628" s="13" t="s">
        <v>44</v>
      </c>
      <c r="E628" s="15">
        <v>0.3</v>
      </c>
      <c r="F628" s="16">
        <f>TRUNC(71.6355,2)</f>
        <v>71.63</v>
      </c>
      <c r="G628" s="17">
        <f>TRUNC(E628*F628,2)</f>
        <v>21.48</v>
      </c>
      <c r="H628" s="17"/>
      <c r="I628" s="16"/>
    </row>
    <row r="629" spans="1:9" ht="30">
      <c r="A629" s="13"/>
      <c r="B629" s="14" t="s">
        <v>45</v>
      </c>
      <c r="C629" s="201" t="s">
        <v>46</v>
      </c>
      <c r="D629" s="13" t="s">
        <v>47</v>
      </c>
      <c r="E629" s="15">
        <v>2.06</v>
      </c>
      <c r="F629" s="16">
        <f>TRUNC(15.87,2)</f>
        <v>15.87</v>
      </c>
      <c r="G629" s="17">
        <f>TRUNC(E629*F629,2)</f>
        <v>32.69</v>
      </c>
      <c r="H629" s="17"/>
      <c r="I629" s="16"/>
    </row>
    <row r="630" spans="1:9" ht="30">
      <c r="A630" s="13"/>
      <c r="B630" s="14" t="s">
        <v>1022</v>
      </c>
      <c r="C630" s="201" t="s">
        <v>1023</v>
      </c>
      <c r="D630" s="13" t="s">
        <v>47</v>
      </c>
      <c r="E630" s="15">
        <v>2.06</v>
      </c>
      <c r="F630" s="16">
        <f>TRUNC(21.96,2)</f>
        <v>21.96</v>
      </c>
      <c r="G630" s="17">
        <f>TRUNC(E630*F630,2)</f>
        <v>45.23</v>
      </c>
      <c r="H630" s="17"/>
      <c r="I630" s="16"/>
    </row>
    <row r="631" spans="1:9" ht="15">
      <c r="A631" s="13"/>
      <c r="B631" s="14"/>
      <c r="C631" s="201"/>
      <c r="D631" s="13"/>
      <c r="E631" s="15" t="s">
        <v>33</v>
      </c>
      <c r="F631" s="16"/>
      <c r="G631" s="17">
        <f>TRUNC(SUM(G627:G630),2)</f>
        <v>461.96</v>
      </c>
      <c r="H631" s="17"/>
      <c r="I631" s="16"/>
    </row>
    <row r="632" spans="1:9" s="195" customFormat="1" ht="30">
      <c r="A632" s="174" t="s">
        <v>79</v>
      </c>
      <c r="B632" s="175" t="s">
        <v>1026</v>
      </c>
      <c r="C632" s="290" t="s">
        <v>1027</v>
      </c>
      <c r="D632" s="176" t="s">
        <v>17</v>
      </c>
      <c r="E632" s="177">
        <v>902.97</v>
      </c>
      <c r="F632" s="101">
        <f>TRUNC(F633,2)</f>
        <v>6.16</v>
      </c>
      <c r="G632" s="101">
        <f>TRUNC(F632*1.2882,2)</f>
        <v>7.93</v>
      </c>
      <c r="H632" s="101">
        <f>TRUNC(F632*E632,2)</f>
        <v>5562.29</v>
      </c>
      <c r="I632" s="102">
        <f>TRUNC(E632*G632,2)</f>
        <v>7160.55</v>
      </c>
    </row>
    <row r="633" spans="1:9" ht="30">
      <c r="A633" s="13"/>
      <c r="B633" s="14" t="s">
        <v>1026</v>
      </c>
      <c r="C633" s="201" t="s">
        <v>1027</v>
      </c>
      <c r="D633" s="13" t="s">
        <v>17</v>
      </c>
      <c r="E633" s="15">
        <v>1</v>
      </c>
      <c r="F633" s="30">
        <f>TRUNC(6.1677765,2)</f>
        <v>6.16</v>
      </c>
      <c r="G633" s="17">
        <f>TRUNC(E633*F633,2)</f>
        <v>6.16</v>
      </c>
      <c r="H633" s="17"/>
      <c r="I633" s="16"/>
    </row>
    <row r="634" spans="1:9" ht="30">
      <c r="A634" s="13"/>
      <c r="B634" s="14" t="s">
        <v>45</v>
      </c>
      <c r="C634" s="201" t="s">
        <v>46</v>
      </c>
      <c r="D634" s="13" t="s">
        <v>47</v>
      </c>
      <c r="E634" s="15">
        <v>0.10300000000000001</v>
      </c>
      <c r="F634" s="30">
        <f>TRUNC(15.87,2)</f>
        <v>15.87</v>
      </c>
      <c r="G634" s="17">
        <f>TRUNC(E634*F634,2)</f>
        <v>1.63</v>
      </c>
      <c r="H634" s="17"/>
      <c r="I634" s="16"/>
    </row>
    <row r="635" spans="1:9" ht="15.75">
      <c r="A635" s="13"/>
      <c r="B635" s="14" t="s">
        <v>363</v>
      </c>
      <c r="C635" s="201" t="s">
        <v>364</v>
      </c>
      <c r="D635" s="13" t="s">
        <v>47</v>
      </c>
      <c r="E635" s="15">
        <v>0.10300000000000001</v>
      </c>
      <c r="F635" s="30">
        <f>TRUNC(21.96,2)</f>
        <v>21.96</v>
      </c>
      <c r="G635" s="17">
        <f>TRUNC(E635*F635,2)</f>
        <v>2.26</v>
      </c>
      <c r="H635" s="17"/>
      <c r="I635" s="16"/>
    </row>
    <row r="636" spans="1:9" ht="15.75">
      <c r="A636" s="13"/>
      <c r="B636" s="14" t="s">
        <v>743</v>
      </c>
      <c r="C636" s="201" t="s">
        <v>744</v>
      </c>
      <c r="D636" s="13" t="s">
        <v>48</v>
      </c>
      <c r="E636" s="15">
        <v>0.005</v>
      </c>
      <c r="F636" s="30">
        <f>TRUNC(454.2573,2)</f>
        <v>454.25</v>
      </c>
      <c r="G636" s="17">
        <f>TRUNC(E636*F636,2)</f>
        <v>2.27</v>
      </c>
      <c r="H636" s="17"/>
      <c r="I636" s="16"/>
    </row>
    <row r="637" spans="1:9" ht="15.75">
      <c r="A637" s="13"/>
      <c r="B637" s="14"/>
      <c r="C637" s="201"/>
      <c r="D637" s="13"/>
      <c r="E637" s="15" t="s">
        <v>33</v>
      </c>
      <c r="F637" s="30"/>
      <c r="G637" s="17">
        <f>TRUNC(SUM(G634:G636),2)</f>
        <v>6.16</v>
      </c>
      <c r="H637" s="17"/>
      <c r="I637" s="16"/>
    </row>
    <row r="638" spans="1:9" s="195" customFormat="1" ht="45">
      <c r="A638" s="174" t="s">
        <v>80</v>
      </c>
      <c r="B638" s="175" t="s">
        <v>1024</v>
      </c>
      <c r="C638" s="290" t="s">
        <v>1025</v>
      </c>
      <c r="D638" s="176" t="s">
        <v>17</v>
      </c>
      <c r="E638" s="177">
        <f>E632</f>
        <v>902.97</v>
      </c>
      <c r="F638" s="101">
        <f>TRUNC(F639,2)</f>
        <v>29.63</v>
      </c>
      <c r="G638" s="101">
        <f>TRUNC(F638*1.2882,2)</f>
        <v>38.16</v>
      </c>
      <c r="H638" s="101">
        <f>TRUNC(F638*E638,2)</f>
        <v>26755</v>
      </c>
      <c r="I638" s="102">
        <f>TRUNC(E638*G638,2)</f>
        <v>34457.33</v>
      </c>
    </row>
    <row r="639" spans="1:9" ht="45">
      <c r="A639" s="13"/>
      <c r="B639" s="14" t="s">
        <v>1024</v>
      </c>
      <c r="C639" s="201" t="s">
        <v>1025</v>
      </c>
      <c r="D639" s="13" t="s">
        <v>17</v>
      </c>
      <c r="E639" s="15">
        <v>1</v>
      </c>
      <c r="F639" s="30">
        <f>TRUNC(29.6351562,2)</f>
        <v>29.63</v>
      </c>
      <c r="G639" s="17">
        <f>TRUNC(E639*F639,2)</f>
        <v>29.63</v>
      </c>
      <c r="H639" s="17"/>
      <c r="I639" s="16"/>
    </row>
    <row r="640" spans="1:9" ht="30">
      <c r="A640" s="13"/>
      <c r="B640" s="14" t="s">
        <v>45</v>
      </c>
      <c r="C640" s="201" t="s">
        <v>46</v>
      </c>
      <c r="D640" s="13" t="s">
        <v>47</v>
      </c>
      <c r="E640" s="15">
        <v>0.515</v>
      </c>
      <c r="F640" s="30">
        <f>TRUNC(15.87,2)</f>
        <v>15.87</v>
      </c>
      <c r="G640" s="17">
        <f>TRUNC(E640*F640,2)</f>
        <v>8.17</v>
      </c>
      <c r="H640" s="17"/>
      <c r="I640" s="16"/>
    </row>
    <row r="641" spans="1:9" ht="15.75">
      <c r="A641" s="13"/>
      <c r="B641" s="14" t="s">
        <v>363</v>
      </c>
      <c r="C641" s="201" t="s">
        <v>364</v>
      </c>
      <c r="D641" s="13" t="s">
        <v>47</v>
      </c>
      <c r="E641" s="15">
        <v>0.515</v>
      </c>
      <c r="F641" s="30">
        <f>TRUNC(21.96,2)</f>
        <v>21.96</v>
      </c>
      <c r="G641" s="17">
        <f>TRUNC(E641*F641,2)</f>
        <v>11.3</v>
      </c>
      <c r="H641" s="17"/>
      <c r="I641" s="16"/>
    </row>
    <row r="642" spans="1:9" ht="15.75">
      <c r="A642" s="13"/>
      <c r="B642" s="14" t="s">
        <v>1012</v>
      </c>
      <c r="C642" s="201" t="s">
        <v>1013</v>
      </c>
      <c r="D642" s="13" t="s">
        <v>48</v>
      </c>
      <c r="E642" s="15">
        <v>0.021</v>
      </c>
      <c r="F642" s="30">
        <f>TRUNC(483.4622,2)</f>
        <v>483.46</v>
      </c>
      <c r="G642" s="17">
        <f>TRUNC(E642*F642,2)</f>
        <v>10.15</v>
      </c>
      <c r="H642" s="17"/>
      <c r="I642" s="16"/>
    </row>
    <row r="643" spans="1:9" ht="15.75">
      <c r="A643" s="13"/>
      <c r="B643" s="14"/>
      <c r="C643" s="201"/>
      <c r="D643" s="13"/>
      <c r="E643" s="15" t="s">
        <v>33</v>
      </c>
      <c r="F643" s="30"/>
      <c r="G643" s="17">
        <f>TRUNC(SUM(G640:G642),2)</f>
        <v>29.62</v>
      </c>
      <c r="H643" s="17"/>
      <c r="I643" s="16"/>
    </row>
    <row r="644" spans="1:9" ht="75">
      <c r="A644" s="103" t="s">
        <v>81</v>
      </c>
      <c r="B644" s="104" t="s">
        <v>1028</v>
      </c>
      <c r="C644" s="197" t="s">
        <v>1029</v>
      </c>
      <c r="D644" s="105" t="s">
        <v>17</v>
      </c>
      <c r="E644" s="102">
        <f>725.71+167.26</f>
        <v>892.97</v>
      </c>
      <c r="F644" s="101">
        <f>TRUNC(G645,2)</f>
        <v>96.54</v>
      </c>
      <c r="G644" s="101">
        <f>TRUNC(F644*1.2882,2)</f>
        <v>124.36</v>
      </c>
      <c r="H644" s="101">
        <f>TRUNC(F644*E644,2)</f>
        <v>86207.32</v>
      </c>
      <c r="I644" s="102">
        <f>TRUNC(E644*G644,2)</f>
        <v>111049.74</v>
      </c>
    </row>
    <row r="645" spans="1:9" ht="75">
      <c r="A645" s="13"/>
      <c r="B645" s="14" t="s">
        <v>1028</v>
      </c>
      <c r="C645" s="201" t="s">
        <v>1029</v>
      </c>
      <c r="D645" s="13" t="s">
        <v>17</v>
      </c>
      <c r="E645" s="15">
        <v>1</v>
      </c>
      <c r="F645" s="16">
        <f>TRUNC(96.54623,2)</f>
        <v>96.54</v>
      </c>
      <c r="G645" s="17">
        <f aca="true" t="shared" si="32" ref="G645:G650">TRUNC(E645*F645,2)</f>
        <v>96.54</v>
      </c>
      <c r="H645" s="17"/>
      <c r="I645" s="16"/>
    </row>
    <row r="646" spans="1:9" ht="15">
      <c r="A646" s="13"/>
      <c r="B646" s="14" t="s">
        <v>1030</v>
      </c>
      <c r="C646" s="201" t="s">
        <v>1031</v>
      </c>
      <c r="D646" s="13" t="s">
        <v>7</v>
      </c>
      <c r="E646" s="15">
        <v>0.32</v>
      </c>
      <c r="F646" s="16">
        <f>TRUNC(23.15,2)</f>
        <v>23.15</v>
      </c>
      <c r="G646" s="17">
        <f t="shared" si="32"/>
        <v>7.4</v>
      </c>
      <c r="H646" s="17"/>
      <c r="I646" s="16"/>
    </row>
    <row r="647" spans="1:9" ht="15">
      <c r="A647" s="13"/>
      <c r="B647" s="14" t="s">
        <v>1032</v>
      </c>
      <c r="C647" s="201" t="s">
        <v>1033</v>
      </c>
      <c r="D647" s="13" t="s">
        <v>7</v>
      </c>
      <c r="E647" s="15">
        <v>0.2</v>
      </c>
      <c r="F647" s="16">
        <f>TRUNC(28.74,2)</f>
        <v>28.74</v>
      </c>
      <c r="G647" s="17">
        <f t="shared" si="32"/>
        <v>5.74</v>
      </c>
      <c r="H647" s="17"/>
      <c r="I647" s="16"/>
    </row>
    <row r="648" spans="1:9" ht="30">
      <c r="A648" s="13"/>
      <c r="B648" s="14" t="s">
        <v>1034</v>
      </c>
      <c r="C648" s="201" t="s">
        <v>1035</v>
      </c>
      <c r="D648" s="13" t="s">
        <v>17</v>
      </c>
      <c r="E648" s="15">
        <v>1.1</v>
      </c>
      <c r="F648" s="16">
        <f>TRUNC(42.53,2)</f>
        <v>42.53</v>
      </c>
      <c r="G648" s="17">
        <f t="shared" si="32"/>
        <v>46.78</v>
      </c>
      <c r="H648" s="17"/>
      <c r="I648" s="16"/>
    </row>
    <row r="649" spans="1:9" ht="30">
      <c r="A649" s="13"/>
      <c r="B649" s="14" t="s">
        <v>45</v>
      </c>
      <c r="C649" s="201" t="s">
        <v>46</v>
      </c>
      <c r="D649" s="13" t="s">
        <v>47</v>
      </c>
      <c r="E649" s="15">
        <v>0.927</v>
      </c>
      <c r="F649" s="16">
        <f>TRUNC(15.87,2)</f>
        <v>15.87</v>
      </c>
      <c r="G649" s="17">
        <f t="shared" si="32"/>
        <v>14.71</v>
      </c>
      <c r="H649" s="17"/>
      <c r="I649" s="16"/>
    </row>
    <row r="650" spans="1:9" ht="15">
      <c r="A650" s="13"/>
      <c r="B650" s="14" t="s">
        <v>1036</v>
      </c>
      <c r="C650" s="201" t="s">
        <v>1037</v>
      </c>
      <c r="D650" s="13" t="s">
        <v>47</v>
      </c>
      <c r="E650" s="15">
        <v>0.927</v>
      </c>
      <c r="F650" s="16">
        <f>TRUNC(23.62,2)</f>
        <v>23.62</v>
      </c>
      <c r="G650" s="17">
        <f t="shared" si="32"/>
        <v>21.89</v>
      </c>
      <c r="H650" s="17"/>
      <c r="I650" s="16"/>
    </row>
    <row r="651" spans="1:9" ht="15">
      <c r="A651" s="13"/>
      <c r="B651" s="14"/>
      <c r="C651" s="201"/>
      <c r="D651" s="13"/>
      <c r="E651" s="15" t="s">
        <v>33</v>
      </c>
      <c r="F651" s="16"/>
      <c r="G651" s="17">
        <f>TRUNC(SUM(G646:G650),2)</f>
        <v>96.52</v>
      </c>
      <c r="H651" s="17"/>
      <c r="I651" s="16"/>
    </row>
    <row r="652" spans="1:9" ht="45">
      <c r="A652" s="103" t="s">
        <v>82</v>
      </c>
      <c r="B652" s="110" t="s">
        <v>1168</v>
      </c>
      <c r="C652" s="210" t="s">
        <v>1169</v>
      </c>
      <c r="D652" s="103" t="s">
        <v>17</v>
      </c>
      <c r="E652" s="111">
        <v>31</v>
      </c>
      <c r="F652" s="111">
        <f>TRUNC(G653,2)</f>
        <v>142.84</v>
      </c>
      <c r="G652" s="111">
        <f>TRUNC(F652*1.2882,2)</f>
        <v>184</v>
      </c>
      <c r="H652" s="111">
        <f>TRUNC(F652*E652,2)</f>
        <v>4428.04</v>
      </c>
      <c r="I652" s="111">
        <f>TRUNC(E652*G652,2)</f>
        <v>5704</v>
      </c>
    </row>
    <row r="653" spans="1:9" ht="45">
      <c r="A653" s="8"/>
      <c r="B653" s="12" t="s">
        <v>1168</v>
      </c>
      <c r="C653" s="200" t="s">
        <v>1169</v>
      </c>
      <c r="D653" s="8" t="s">
        <v>17</v>
      </c>
      <c r="E653" s="11">
        <v>1</v>
      </c>
      <c r="F653" s="7">
        <f>TRUNC(142.8481733,2)</f>
        <v>142.84</v>
      </c>
      <c r="G653" s="7">
        <f aca="true" t="shared" si="33" ref="G653:G660">TRUNC(E653*F653,2)</f>
        <v>142.84</v>
      </c>
      <c r="H653" s="7"/>
      <c r="I653" s="11"/>
    </row>
    <row r="654" spans="1:9" ht="30">
      <c r="A654" s="8"/>
      <c r="B654" s="12" t="s">
        <v>1170</v>
      </c>
      <c r="C654" s="200" t="s">
        <v>1171</v>
      </c>
      <c r="D654" s="8" t="s">
        <v>17</v>
      </c>
      <c r="E654" s="11">
        <v>1.05</v>
      </c>
      <c r="F654" s="7">
        <f>TRUNC(72.1,2)</f>
        <v>72.1</v>
      </c>
      <c r="G654" s="7">
        <f t="shared" si="33"/>
        <v>75.7</v>
      </c>
      <c r="H654" s="7"/>
      <c r="I654" s="11"/>
    </row>
    <row r="655" spans="1:9" ht="15">
      <c r="A655" s="8"/>
      <c r="B655" s="12" t="s">
        <v>1172</v>
      </c>
      <c r="C655" s="200" t="s">
        <v>1173</v>
      </c>
      <c r="D655" s="8" t="s">
        <v>44</v>
      </c>
      <c r="E655" s="11">
        <v>0.1</v>
      </c>
      <c r="F655" s="7">
        <f>TRUNC(35.04,2)</f>
        <v>35.04</v>
      </c>
      <c r="G655" s="7">
        <f t="shared" si="33"/>
        <v>3.5</v>
      </c>
      <c r="H655" s="7"/>
      <c r="I655" s="11"/>
    </row>
    <row r="656" spans="1:9" ht="15">
      <c r="A656" s="8"/>
      <c r="B656" s="12" t="s">
        <v>1174</v>
      </c>
      <c r="C656" s="200" t="s">
        <v>1175</v>
      </c>
      <c r="D656" s="8" t="s">
        <v>44</v>
      </c>
      <c r="E656" s="11">
        <v>0.1</v>
      </c>
      <c r="F656" s="7">
        <f>TRUNC(1.88,2)</f>
        <v>1.88</v>
      </c>
      <c r="G656" s="7">
        <f t="shared" si="33"/>
        <v>0.18</v>
      </c>
      <c r="H656" s="7"/>
      <c r="I656" s="11"/>
    </row>
    <row r="657" spans="1:9" ht="30">
      <c r="A657" s="8"/>
      <c r="B657" s="12" t="s">
        <v>45</v>
      </c>
      <c r="C657" s="200" t="s">
        <v>46</v>
      </c>
      <c r="D657" s="8" t="s">
        <v>47</v>
      </c>
      <c r="E657" s="11">
        <v>1.1330000000000002</v>
      </c>
      <c r="F657" s="7">
        <f>TRUNC(15.87,2)</f>
        <v>15.87</v>
      </c>
      <c r="G657" s="7">
        <f t="shared" si="33"/>
        <v>17.98</v>
      </c>
      <c r="H657" s="7"/>
      <c r="I657" s="11"/>
    </row>
    <row r="658" spans="1:9" ht="15">
      <c r="A658" s="8"/>
      <c r="B658" s="12" t="s">
        <v>1036</v>
      </c>
      <c r="C658" s="200" t="s">
        <v>1037</v>
      </c>
      <c r="D658" s="8" t="s">
        <v>47</v>
      </c>
      <c r="E658" s="11">
        <v>1.1330000000000002</v>
      </c>
      <c r="F658" s="7">
        <f>TRUNC(23.62,2)</f>
        <v>23.62</v>
      </c>
      <c r="G658" s="7">
        <f t="shared" si="33"/>
        <v>26.76</v>
      </c>
      <c r="H658" s="7"/>
      <c r="I658" s="11"/>
    </row>
    <row r="659" spans="1:9" ht="15">
      <c r="A659" s="8"/>
      <c r="B659" s="12" t="s">
        <v>1176</v>
      </c>
      <c r="C659" s="200" t="s">
        <v>1177</v>
      </c>
      <c r="D659" s="8" t="s">
        <v>48</v>
      </c>
      <c r="E659" s="11">
        <v>0.035</v>
      </c>
      <c r="F659" s="7">
        <f>TRUNC(485.4221,2)</f>
        <v>485.42</v>
      </c>
      <c r="G659" s="7">
        <f t="shared" si="33"/>
        <v>16.98</v>
      </c>
      <c r="H659" s="7"/>
      <c r="I659" s="11"/>
    </row>
    <row r="660" spans="1:9" ht="15">
      <c r="A660" s="8"/>
      <c r="B660" s="12" t="s">
        <v>1178</v>
      </c>
      <c r="C660" s="200" t="s">
        <v>1179</v>
      </c>
      <c r="D660" s="8" t="s">
        <v>48</v>
      </c>
      <c r="E660" s="11">
        <v>0.002</v>
      </c>
      <c r="F660" s="7">
        <f>TRUNC(859.6149,2)</f>
        <v>859.61</v>
      </c>
      <c r="G660" s="7">
        <f t="shared" si="33"/>
        <v>1.71</v>
      </c>
      <c r="H660" s="7"/>
      <c r="I660" s="11"/>
    </row>
    <row r="661" spans="1:9" ht="15">
      <c r="A661" s="8"/>
      <c r="B661" s="12"/>
      <c r="C661" s="200"/>
      <c r="D661" s="8"/>
      <c r="E661" s="11" t="s">
        <v>33</v>
      </c>
      <c r="F661" s="7"/>
      <c r="G661" s="7">
        <f>TRUNC(SUM(G654:G660),2)</f>
        <v>142.81</v>
      </c>
      <c r="H661" s="7"/>
      <c r="I661" s="11"/>
    </row>
    <row r="662" spans="1:9" ht="45">
      <c r="A662" s="103" t="s">
        <v>83</v>
      </c>
      <c r="B662" s="110" t="s">
        <v>1180</v>
      </c>
      <c r="C662" s="210" t="s">
        <v>1181</v>
      </c>
      <c r="D662" s="103" t="s">
        <v>17</v>
      </c>
      <c r="E662" s="111">
        <v>33</v>
      </c>
      <c r="F662" s="111">
        <f>TRUNC(G663,2)</f>
        <v>144.47</v>
      </c>
      <c r="G662" s="111">
        <f>TRUNC(F662*1.2882,2)</f>
        <v>186.1</v>
      </c>
      <c r="H662" s="111">
        <f>TRUNC(F662*E662,2)</f>
        <v>4767.51</v>
      </c>
      <c r="I662" s="111">
        <f>TRUNC(E662*G662,2)</f>
        <v>6141.3</v>
      </c>
    </row>
    <row r="663" spans="1:9" ht="45">
      <c r="A663" s="8"/>
      <c r="B663" s="12" t="s">
        <v>1180</v>
      </c>
      <c r="C663" s="200" t="s">
        <v>1181</v>
      </c>
      <c r="D663" s="8" t="s">
        <v>17</v>
      </c>
      <c r="E663" s="11">
        <v>1</v>
      </c>
      <c r="F663" s="7">
        <f>TRUNC(144.4756733,2)</f>
        <v>144.47</v>
      </c>
      <c r="G663" s="7">
        <f aca="true" t="shared" si="34" ref="G663:G670">TRUNC(E663*F663,2)</f>
        <v>144.47</v>
      </c>
      <c r="H663" s="7"/>
      <c r="I663" s="11"/>
    </row>
    <row r="664" spans="1:9" ht="30">
      <c r="A664" s="8"/>
      <c r="B664" s="12" t="s">
        <v>1182</v>
      </c>
      <c r="C664" s="200" t="s">
        <v>1183</v>
      </c>
      <c r="D664" s="8" t="s">
        <v>17</v>
      </c>
      <c r="E664" s="11">
        <v>1.05</v>
      </c>
      <c r="F664" s="7">
        <f>TRUNC(73.65,2)</f>
        <v>73.65</v>
      </c>
      <c r="G664" s="7">
        <f t="shared" si="34"/>
        <v>77.33</v>
      </c>
      <c r="H664" s="7"/>
      <c r="I664" s="11"/>
    </row>
    <row r="665" spans="1:9" ht="15">
      <c r="A665" s="8"/>
      <c r="B665" s="12" t="s">
        <v>1172</v>
      </c>
      <c r="C665" s="200" t="s">
        <v>1173</v>
      </c>
      <c r="D665" s="8" t="s">
        <v>44</v>
      </c>
      <c r="E665" s="11">
        <v>0.1</v>
      </c>
      <c r="F665" s="7">
        <f>TRUNC(35.04,2)</f>
        <v>35.04</v>
      </c>
      <c r="G665" s="7">
        <f t="shared" si="34"/>
        <v>3.5</v>
      </c>
      <c r="H665" s="7"/>
      <c r="I665" s="11"/>
    </row>
    <row r="666" spans="1:9" ht="15">
      <c r="A666" s="8"/>
      <c r="B666" s="12" t="s">
        <v>1174</v>
      </c>
      <c r="C666" s="200" t="s">
        <v>1175</v>
      </c>
      <c r="D666" s="8" t="s">
        <v>44</v>
      </c>
      <c r="E666" s="11">
        <v>0.1</v>
      </c>
      <c r="F666" s="7">
        <f>TRUNC(1.88,2)</f>
        <v>1.88</v>
      </c>
      <c r="G666" s="7">
        <f t="shared" si="34"/>
        <v>0.18</v>
      </c>
      <c r="H666" s="7"/>
      <c r="I666" s="11"/>
    </row>
    <row r="667" spans="1:9" ht="30">
      <c r="A667" s="8"/>
      <c r="B667" s="12" t="s">
        <v>45</v>
      </c>
      <c r="C667" s="200" t="s">
        <v>46</v>
      </c>
      <c r="D667" s="8" t="s">
        <v>47</v>
      </c>
      <c r="E667" s="11">
        <v>1.1330000000000002</v>
      </c>
      <c r="F667" s="7">
        <f>TRUNC(15.87,2)</f>
        <v>15.87</v>
      </c>
      <c r="G667" s="7">
        <f t="shared" si="34"/>
        <v>17.98</v>
      </c>
      <c r="H667" s="7"/>
      <c r="I667" s="11"/>
    </row>
    <row r="668" spans="1:9" ht="15">
      <c r="A668" s="8"/>
      <c r="B668" s="12" t="s">
        <v>1036</v>
      </c>
      <c r="C668" s="200" t="s">
        <v>1037</v>
      </c>
      <c r="D668" s="8" t="s">
        <v>47</v>
      </c>
      <c r="E668" s="11">
        <v>1.1330000000000002</v>
      </c>
      <c r="F668" s="7">
        <f>TRUNC(23.62,2)</f>
        <v>23.62</v>
      </c>
      <c r="G668" s="7">
        <f t="shared" si="34"/>
        <v>26.76</v>
      </c>
      <c r="H668" s="7"/>
      <c r="I668" s="11"/>
    </row>
    <row r="669" spans="1:9" ht="15">
      <c r="A669" s="8"/>
      <c r="B669" s="12" t="s">
        <v>1176</v>
      </c>
      <c r="C669" s="200" t="s">
        <v>1177</v>
      </c>
      <c r="D669" s="8" t="s">
        <v>48</v>
      </c>
      <c r="E669" s="11">
        <v>0.035</v>
      </c>
      <c r="F669" s="7">
        <f>TRUNC(485.4221,2)</f>
        <v>485.42</v>
      </c>
      <c r="G669" s="7">
        <f t="shared" si="34"/>
        <v>16.98</v>
      </c>
      <c r="H669" s="7"/>
      <c r="I669" s="11"/>
    </row>
    <row r="670" spans="1:9" ht="15">
      <c r="A670" s="8"/>
      <c r="B670" s="12" t="s">
        <v>1178</v>
      </c>
      <c r="C670" s="200" t="s">
        <v>1179</v>
      </c>
      <c r="D670" s="8" t="s">
        <v>48</v>
      </c>
      <c r="E670" s="11">
        <v>0.002</v>
      </c>
      <c r="F670" s="7">
        <f>TRUNC(859.6149,2)</f>
        <v>859.61</v>
      </c>
      <c r="G670" s="7">
        <f t="shared" si="34"/>
        <v>1.71</v>
      </c>
      <c r="H670" s="7"/>
      <c r="I670" s="11"/>
    </row>
    <row r="671" spans="1:9" ht="15">
      <c r="A671" s="8"/>
      <c r="B671" s="12"/>
      <c r="C671" s="200"/>
      <c r="D671" s="8"/>
      <c r="E671" s="11" t="s">
        <v>33</v>
      </c>
      <c r="F671" s="7"/>
      <c r="G671" s="7">
        <f>TRUNC(SUM(G664:G670),2)</f>
        <v>144.44</v>
      </c>
      <c r="H671" s="7"/>
      <c r="I671" s="11"/>
    </row>
    <row r="672" spans="1:9" s="195" customFormat="1" ht="60">
      <c r="A672" s="106" t="s">
        <v>86</v>
      </c>
      <c r="B672" s="107" t="s">
        <v>1521</v>
      </c>
      <c r="C672" s="204" t="s">
        <v>1522</v>
      </c>
      <c r="D672" s="113" t="s">
        <v>17</v>
      </c>
      <c r="E672" s="113">
        <v>240</v>
      </c>
      <c r="F672" s="108">
        <f>TRUNC(F673,2)</f>
        <v>76.66</v>
      </c>
      <c r="G672" s="108">
        <f>TRUNC(F672*1.2882,2)</f>
        <v>98.75</v>
      </c>
      <c r="H672" s="108">
        <f>TRUNC(F672*E672,2)</f>
        <v>18398.4</v>
      </c>
      <c r="I672" s="109">
        <f>TRUNC(E672*G672,2)</f>
        <v>23700</v>
      </c>
    </row>
    <row r="673" spans="1:9" ht="60">
      <c r="A673" s="23"/>
      <c r="B673" s="24" t="s">
        <v>1521</v>
      </c>
      <c r="C673" s="205" t="s">
        <v>1522</v>
      </c>
      <c r="D673" s="25" t="s">
        <v>17</v>
      </c>
      <c r="E673" s="25">
        <v>1</v>
      </c>
      <c r="F673" s="25">
        <f>G683</f>
        <v>76.66</v>
      </c>
      <c r="G673" s="25">
        <f aca="true" t="shared" si="35" ref="G673:G682">TRUNC(E673*F673,2)</f>
        <v>76.66</v>
      </c>
      <c r="H673" s="25"/>
      <c r="I673" s="26"/>
    </row>
    <row r="674" spans="1:9" ht="15">
      <c r="A674" s="121"/>
      <c r="B674" s="119" t="s">
        <v>1523</v>
      </c>
      <c r="C674" s="206" t="s">
        <v>1524</v>
      </c>
      <c r="D674" s="120" t="s">
        <v>44</v>
      </c>
      <c r="E674" s="120">
        <v>14</v>
      </c>
      <c r="F674" s="120">
        <f>TRUNC(0.7,2)</f>
        <v>0.7</v>
      </c>
      <c r="G674" s="120">
        <f t="shared" si="35"/>
        <v>9.8</v>
      </c>
      <c r="H674" s="120"/>
      <c r="I674" s="122"/>
    </row>
    <row r="675" spans="1:9" ht="15">
      <c r="A675" s="121"/>
      <c r="B675" s="119" t="s">
        <v>842</v>
      </c>
      <c r="C675" s="206" t="s">
        <v>843</v>
      </c>
      <c r="D675" s="120" t="s">
        <v>44</v>
      </c>
      <c r="E675" s="120">
        <v>25.2</v>
      </c>
      <c r="F675" s="120">
        <f>TRUNC(0.57,2)</f>
        <v>0.57</v>
      </c>
      <c r="G675" s="120">
        <f t="shared" si="35"/>
        <v>14.36</v>
      </c>
      <c r="H675" s="120"/>
      <c r="I675" s="122"/>
    </row>
    <row r="676" spans="1:9" ht="15">
      <c r="A676" s="121"/>
      <c r="B676" s="119" t="s">
        <v>844</v>
      </c>
      <c r="C676" s="206" t="s">
        <v>845</v>
      </c>
      <c r="D676" s="120" t="s">
        <v>48</v>
      </c>
      <c r="E676" s="120">
        <v>0.044</v>
      </c>
      <c r="F676" s="120">
        <f>TRUNC(118.5,2)</f>
        <v>118.5</v>
      </c>
      <c r="G676" s="120">
        <f t="shared" si="35"/>
        <v>5.21</v>
      </c>
      <c r="H676" s="120"/>
      <c r="I676" s="122"/>
    </row>
    <row r="677" spans="1:9" ht="30">
      <c r="A677" s="121"/>
      <c r="B677" s="119" t="s">
        <v>45</v>
      </c>
      <c r="C677" s="206" t="s">
        <v>46</v>
      </c>
      <c r="D677" s="120" t="s">
        <v>47</v>
      </c>
      <c r="E677" s="120">
        <v>0.7725</v>
      </c>
      <c r="F677" s="120">
        <f>TRUNC(15.87,2)</f>
        <v>15.87</v>
      </c>
      <c r="G677" s="120">
        <f t="shared" si="35"/>
        <v>12.25</v>
      </c>
      <c r="H677" s="120"/>
      <c r="I677" s="122"/>
    </row>
    <row r="678" spans="1:9" ht="30">
      <c r="A678" s="121"/>
      <c r="B678" s="119" t="s">
        <v>1525</v>
      </c>
      <c r="C678" s="206" t="s">
        <v>1526</v>
      </c>
      <c r="D678" s="120" t="s">
        <v>47</v>
      </c>
      <c r="E678" s="120">
        <v>1.1844999999999999</v>
      </c>
      <c r="F678" s="120">
        <f>TRUNC(21.96,2)</f>
        <v>21.96</v>
      </c>
      <c r="G678" s="120">
        <f t="shared" si="35"/>
        <v>26.01</v>
      </c>
      <c r="H678" s="120"/>
      <c r="I678" s="122"/>
    </row>
    <row r="679" spans="1:9" ht="15">
      <c r="A679" s="121"/>
      <c r="B679" s="119" t="s">
        <v>1527</v>
      </c>
      <c r="C679" s="206" t="s">
        <v>1528</v>
      </c>
      <c r="D679" s="120" t="s">
        <v>7</v>
      </c>
      <c r="E679" s="120">
        <v>0.08</v>
      </c>
      <c r="F679" s="120">
        <f>TRUNC(29.26,2)</f>
        <v>29.26</v>
      </c>
      <c r="G679" s="120">
        <f t="shared" si="35"/>
        <v>2.34</v>
      </c>
      <c r="H679" s="120"/>
      <c r="I679" s="122"/>
    </row>
    <row r="680" spans="1:9" ht="15">
      <c r="A680" s="121"/>
      <c r="B680" s="119" t="s">
        <v>1529</v>
      </c>
      <c r="C680" s="206" t="s">
        <v>1530</v>
      </c>
      <c r="D680" s="120" t="s">
        <v>7</v>
      </c>
      <c r="E680" s="120">
        <v>0.1</v>
      </c>
      <c r="F680" s="120">
        <f>TRUNC(29.26,2)</f>
        <v>29.26</v>
      </c>
      <c r="G680" s="120">
        <f t="shared" si="35"/>
        <v>2.92</v>
      </c>
      <c r="H680" s="120"/>
      <c r="I680" s="122"/>
    </row>
    <row r="681" spans="1:9" ht="15">
      <c r="A681" s="121"/>
      <c r="B681" s="119" t="s">
        <v>1531</v>
      </c>
      <c r="C681" s="206" t="s">
        <v>1532</v>
      </c>
      <c r="D681" s="120" t="s">
        <v>47</v>
      </c>
      <c r="E681" s="120">
        <v>0.65</v>
      </c>
      <c r="F681" s="120">
        <f>TRUNC(1.4552,2)</f>
        <v>1.45</v>
      </c>
      <c r="G681" s="120">
        <f t="shared" si="35"/>
        <v>0.94</v>
      </c>
      <c r="H681" s="120"/>
      <c r="I681" s="122"/>
    </row>
    <row r="682" spans="1:9" ht="15">
      <c r="A682" s="121"/>
      <c r="B682" s="119" t="s">
        <v>1533</v>
      </c>
      <c r="C682" s="206" t="s">
        <v>1534</v>
      </c>
      <c r="D682" s="120" t="s">
        <v>47</v>
      </c>
      <c r="E682" s="120">
        <v>0.5</v>
      </c>
      <c r="F682" s="120">
        <f>TRUNC(5.664,2)</f>
        <v>5.66</v>
      </c>
      <c r="G682" s="120">
        <f t="shared" si="35"/>
        <v>2.83</v>
      </c>
      <c r="H682" s="120"/>
      <c r="I682" s="122"/>
    </row>
    <row r="683" spans="1:9" ht="15">
      <c r="A683" s="123"/>
      <c r="B683" s="124"/>
      <c r="C683" s="207"/>
      <c r="D683" s="125"/>
      <c r="E683" s="125" t="s">
        <v>33</v>
      </c>
      <c r="F683" s="125"/>
      <c r="G683" s="125">
        <f>TRUNC(SUM(G674:G682),2)</f>
        <v>76.66</v>
      </c>
      <c r="H683" s="125"/>
      <c r="I683" s="126"/>
    </row>
    <row r="684" spans="1:9" ht="60">
      <c r="A684" s="114" t="s">
        <v>87</v>
      </c>
      <c r="B684" s="127" t="s">
        <v>1535</v>
      </c>
      <c r="C684" s="209" t="s">
        <v>1536</v>
      </c>
      <c r="D684" s="114" t="s">
        <v>23</v>
      </c>
      <c r="E684" s="128">
        <v>355.26</v>
      </c>
      <c r="F684" s="118">
        <f>TRUNC(G685,2)</f>
        <v>23.77</v>
      </c>
      <c r="G684" s="118">
        <f>TRUNC(F684*1.2882,2)</f>
        <v>30.62</v>
      </c>
      <c r="H684" s="118">
        <f>TRUNC(F684*E684,2)</f>
        <v>8444.53</v>
      </c>
      <c r="I684" s="117">
        <f>TRUNC(E684*G684,2)</f>
        <v>10878.06</v>
      </c>
    </row>
    <row r="685" spans="1:9" ht="60">
      <c r="A685" s="8"/>
      <c r="B685" s="12" t="s">
        <v>1535</v>
      </c>
      <c r="C685" s="200" t="s">
        <v>1536</v>
      </c>
      <c r="D685" s="8" t="s">
        <v>23</v>
      </c>
      <c r="E685" s="11">
        <v>1</v>
      </c>
      <c r="F685" s="7">
        <f>G692</f>
        <v>23.77</v>
      </c>
      <c r="G685" s="7">
        <f aca="true" t="shared" si="36" ref="G685:G691">TRUNC(E685*F685,2)</f>
        <v>23.77</v>
      </c>
      <c r="H685" s="7"/>
      <c r="I685" s="11"/>
    </row>
    <row r="686" spans="1:9" ht="15">
      <c r="A686" s="8"/>
      <c r="B686" s="12" t="s">
        <v>1523</v>
      </c>
      <c r="C686" s="200" t="s">
        <v>1524</v>
      </c>
      <c r="D686" s="8" t="s">
        <v>44</v>
      </c>
      <c r="E686" s="11">
        <v>1.5</v>
      </c>
      <c r="F686" s="7">
        <f>TRUNC(0.7,2)</f>
        <v>0.7</v>
      </c>
      <c r="G686" s="7">
        <f t="shared" si="36"/>
        <v>1.05</v>
      </c>
      <c r="H686" s="7"/>
      <c r="I686" s="11"/>
    </row>
    <row r="687" spans="1:9" ht="15">
      <c r="A687" s="8"/>
      <c r="B687" s="12" t="s">
        <v>842</v>
      </c>
      <c r="C687" s="200" t="s">
        <v>843</v>
      </c>
      <c r="D687" s="8" t="s">
        <v>44</v>
      </c>
      <c r="E687" s="11">
        <v>1.5</v>
      </c>
      <c r="F687" s="7">
        <f>TRUNC(0.57,2)</f>
        <v>0.57</v>
      </c>
      <c r="G687" s="7">
        <f t="shared" si="36"/>
        <v>0.85</v>
      </c>
      <c r="H687" s="7"/>
      <c r="I687" s="11"/>
    </row>
    <row r="688" spans="1:9" ht="30">
      <c r="A688" s="8"/>
      <c r="B688" s="12" t="s">
        <v>45</v>
      </c>
      <c r="C688" s="200" t="s">
        <v>46</v>
      </c>
      <c r="D688" s="8" t="s">
        <v>47</v>
      </c>
      <c r="E688" s="11">
        <v>0.41200000000000003</v>
      </c>
      <c r="F688" s="7">
        <f>TRUNC(15.87,2)</f>
        <v>15.87</v>
      </c>
      <c r="G688" s="7">
        <f t="shared" si="36"/>
        <v>6.53</v>
      </c>
      <c r="H688" s="7"/>
      <c r="I688" s="11"/>
    </row>
    <row r="689" spans="1:9" ht="30">
      <c r="A689" s="8"/>
      <c r="B689" s="12" t="s">
        <v>1525</v>
      </c>
      <c r="C689" s="200" t="s">
        <v>1526</v>
      </c>
      <c r="D689" s="8" t="s">
        <v>47</v>
      </c>
      <c r="E689" s="11">
        <v>0.6695000000000001</v>
      </c>
      <c r="F689" s="7">
        <f>TRUNC(21.96,2)</f>
        <v>21.96</v>
      </c>
      <c r="G689" s="7">
        <f t="shared" si="36"/>
        <v>14.7</v>
      </c>
      <c r="H689" s="7"/>
      <c r="I689" s="11"/>
    </row>
    <row r="690" spans="1:9" ht="15">
      <c r="A690" s="8"/>
      <c r="B690" s="12" t="s">
        <v>1527</v>
      </c>
      <c r="C690" s="200" t="s">
        <v>1528</v>
      </c>
      <c r="D690" s="8" t="s">
        <v>7</v>
      </c>
      <c r="E690" s="11">
        <v>0.01</v>
      </c>
      <c r="F690" s="7">
        <f>TRUNC(29.26,2)</f>
        <v>29.26</v>
      </c>
      <c r="G690" s="7">
        <f t="shared" si="36"/>
        <v>0.29</v>
      </c>
      <c r="H690" s="7"/>
      <c r="I690" s="11"/>
    </row>
    <row r="691" spans="1:9" ht="15">
      <c r="A691" s="8"/>
      <c r="B691" s="12" t="s">
        <v>1529</v>
      </c>
      <c r="C691" s="200" t="s">
        <v>1530</v>
      </c>
      <c r="D691" s="8" t="s">
        <v>7</v>
      </c>
      <c r="E691" s="11">
        <v>0.012</v>
      </c>
      <c r="F691" s="7">
        <f>TRUNC(29.26,2)</f>
        <v>29.26</v>
      </c>
      <c r="G691" s="7">
        <f t="shared" si="36"/>
        <v>0.35</v>
      </c>
      <c r="H691" s="7"/>
      <c r="I691" s="11"/>
    </row>
    <row r="692" spans="1:9" ht="15">
      <c r="A692" s="8"/>
      <c r="B692" s="12"/>
      <c r="C692" s="200"/>
      <c r="D692" s="8"/>
      <c r="E692" s="11" t="s">
        <v>33</v>
      </c>
      <c r="F692" s="7"/>
      <c r="G692" s="7">
        <f>TRUNC(SUM(G686:G691),2)</f>
        <v>23.77</v>
      </c>
      <c r="H692" s="7"/>
      <c r="I692" s="11"/>
    </row>
    <row r="693" spans="1:9" ht="30">
      <c r="A693" s="103" t="s">
        <v>88</v>
      </c>
      <c r="B693" s="110" t="s">
        <v>1537</v>
      </c>
      <c r="C693" s="210" t="s">
        <v>1538</v>
      </c>
      <c r="D693" s="103" t="s">
        <v>17</v>
      </c>
      <c r="E693" s="111">
        <v>6.88</v>
      </c>
      <c r="F693" s="101">
        <f>TRUNC(F694,2)</f>
        <v>170.43</v>
      </c>
      <c r="G693" s="101">
        <f>TRUNC(F693*1.2882,2)</f>
        <v>219.54</v>
      </c>
      <c r="H693" s="101">
        <f>TRUNC(F693*E693,2)</f>
        <v>1172.55</v>
      </c>
      <c r="I693" s="102">
        <f>TRUNC(E693*G693,2)</f>
        <v>1510.43</v>
      </c>
    </row>
    <row r="694" spans="1:9" ht="30">
      <c r="A694" s="8"/>
      <c r="B694" s="12" t="s">
        <v>1537</v>
      </c>
      <c r="C694" s="200" t="s">
        <v>1538</v>
      </c>
      <c r="D694" s="8" t="s">
        <v>17</v>
      </c>
      <c r="E694" s="11">
        <v>1</v>
      </c>
      <c r="F694" s="7">
        <f>G700</f>
        <v>170.43</v>
      </c>
      <c r="G694" s="7">
        <f aca="true" t="shared" si="37" ref="G694:G699">TRUNC(E694*F694,2)</f>
        <v>170.43</v>
      </c>
      <c r="H694" s="7"/>
      <c r="I694" s="11"/>
    </row>
    <row r="695" spans="1:9" ht="15">
      <c r="A695" s="8"/>
      <c r="B695" s="12" t="s">
        <v>1539</v>
      </c>
      <c r="C695" s="200" t="s">
        <v>1540</v>
      </c>
      <c r="D695" s="8" t="s">
        <v>17</v>
      </c>
      <c r="E695" s="11">
        <v>1.0864</v>
      </c>
      <c r="F695" s="7">
        <f>TRUNC(110.48,2)</f>
        <v>110.48</v>
      </c>
      <c r="G695" s="7">
        <f t="shared" si="37"/>
        <v>120.02</v>
      </c>
      <c r="H695" s="7"/>
      <c r="I695" s="11"/>
    </row>
    <row r="696" spans="1:9" ht="15">
      <c r="A696" s="8"/>
      <c r="B696" s="12" t="s">
        <v>1541</v>
      </c>
      <c r="C696" s="200" t="s">
        <v>1542</v>
      </c>
      <c r="D696" s="8" t="s">
        <v>44</v>
      </c>
      <c r="E696" s="11">
        <v>9.13</v>
      </c>
      <c r="F696" s="7">
        <f>TRUNC(2.15,2)</f>
        <v>2.15</v>
      </c>
      <c r="G696" s="7">
        <f t="shared" si="37"/>
        <v>19.62</v>
      </c>
      <c r="H696" s="7"/>
      <c r="I696" s="11"/>
    </row>
    <row r="697" spans="1:9" ht="15">
      <c r="A697" s="8"/>
      <c r="B697" s="12" t="s">
        <v>1543</v>
      </c>
      <c r="C697" s="200" t="s">
        <v>1544</v>
      </c>
      <c r="D697" s="8" t="s">
        <v>44</v>
      </c>
      <c r="E697" s="11">
        <v>0.141</v>
      </c>
      <c r="F697" s="7">
        <f>TRUNC(4.11,2)</f>
        <v>4.11</v>
      </c>
      <c r="G697" s="7">
        <f t="shared" si="37"/>
        <v>0.57</v>
      </c>
      <c r="H697" s="7"/>
      <c r="I697" s="11"/>
    </row>
    <row r="698" spans="1:9" ht="15">
      <c r="A698" s="8"/>
      <c r="B698" s="12" t="s">
        <v>49</v>
      </c>
      <c r="C698" s="200" t="s">
        <v>50</v>
      </c>
      <c r="D698" s="8" t="s">
        <v>47</v>
      </c>
      <c r="E698" s="11">
        <v>0.2064</v>
      </c>
      <c r="F698" s="7">
        <f>TRUNC(23.64,2)</f>
        <v>23.64</v>
      </c>
      <c r="G698" s="7">
        <f t="shared" si="37"/>
        <v>4.87</v>
      </c>
      <c r="H698" s="7"/>
      <c r="I698" s="11"/>
    </row>
    <row r="699" spans="1:9" ht="15">
      <c r="A699" s="8"/>
      <c r="B699" s="12" t="s">
        <v>1096</v>
      </c>
      <c r="C699" s="200" t="s">
        <v>1097</v>
      </c>
      <c r="D699" s="8" t="s">
        <v>47</v>
      </c>
      <c r="E699" s="11">
        <v>0.8038</v>
      </c>
      <c r="F699" s="7">
        <f>TRUNC(31.54,2)</f>
        <v>31.54</v>
      </c>
      <c r="G699" s="7">
        <f t="shared" si="37"/>
        <v>25.35</v>
      </c>
      <c r="H699" s="7"/>
      <c r="I699" s="11"/>
    </row>
    <row r="700" spans="1:9" ht="15">
      <c r="A700" s="8"/>
      <c r="B700" s="12"/>
      <c r="C700" s="200"/>
      <c r="D700" s="8"/>
      <c r="E700" s="11" t="s">
        <v>33</v>
      </c>
      <c r="F700" s="7"/>
      <c r="G700" s="7">
        <f>TRUNC(SUM(G695:G699),2)</f>
        <v>170.43</v>
      </c>
      <c r="H700" s="7"/>
      <c r="I700" s="11"/>
    </row>
    <row r="701" spans="1:13" ht="75">
      <c r="A701" s="407" t="s">
        <v>89</v>
      </c>
      <c r="B701" s="170" t="s">
        <v>1594</v>
      </c>
      <c r="C701" s="171" t="s">
        <v>1595</v>
      </c>
      <c r="D701" s="170" t="s">
        <v>1596</v>
      </c>
      <c r="E701" s="111">
        <f>29.7*12</f>
        <v>356.4</v>
      </c>
      <c r="F701" s="408">
        <f>TRUNC((F702),2)</f>
        <v>13</v>
      </c>
      <c r="G701" s="409">
        <f>TRUNC(F701*1.2882,2)</f>
        <v>16.74</v>
      </c>
      <c r="H701" s="172">
        <f>E701*F701</f>
        <v>4633.2</v>
      </c>
      <c r="I701" s="172">
        <f>TRUNC((E701*G701),2)</f>
        <v>5966.13</v>
      </c>
      <c r="J701" s="129"/>
      <c r="K701" s="129"/>
      <c r="L701" s="129"/>
      <c r="M701" s="129"/>
    </row>
    <row r="702" spans="1:13" s="406" customFormat="1" ht="75">
      <c r="A702" s="403"/>
      <c r="B702" s="212" t="s">
        <v>1594</v>
      </c>
      <c r="C702" s="213" t="s">
        <v>1595</v>
      </c>
      <c r="D702" s="212" t="s">
        <v>1596</v>
      </c>
      <c r="E702" s="212">
        <v>1</v>
      </c>
      <c r="F702" s="404">
        <f>TRUNC(13,2)</f>
        <v>13</v>
      </c>
      <c r="G702" s="129">
        <f>TRUNC(E702*F702,2)</f>
        <v>13</v>
      </c>
      <c r="H702" s="405"/>
      <c r="I702" s="405"/>
      <c r="J702" s="405"/>
      <c r="K702" s="405"/>
      <c r="L702" s="405"/>
      <c r="M702" s="405"/>
    </row>
    <row r="703" spans="1:13" s="406" customFormat="1" ht="30">
      <c r="A703" s="403"/>
      <c r="B703" s="212" t="s">
        <v>1597</v>
      </c>
      <c r="C703" s="213" t="s">
        <v>1598</v>
      </c>
      <c r="D703" s="212" t="s">
        <v>1596</v>
      </c>
      <c r="E703" s="212">
        <v>1</v>
      </c>
      <c r="F703" s="404">
        <v>13</v>
      </c>
      <c r="G703" s="129">
        <f>TRUNC(E703*F703,2)</f>
        <v>13</v>
      </c>
      <c r="H703" s="405"/>
      <c r="I703" s="405"/>
      <c r="J703" s="405"/>
      <c r="K703" s="405"/>
      <c r="L703" s="405"/>
      <c r="M703" s="405"/>
    </row>
    <row r="704" spans="1:13" s="406" customFormat="1" ht="15.75">
      <c r="A704" s="403"/>
      <c r="B704" s="212"/>
      <c r="C704" s="213"/>
      <c r="D704" s="212"/>
      <c r="E704" s="212" t="s">
        <v>33</v>
      </c>
      <c r="F704" s="404"/>
      <c r="G704" s="129">
        <f>TRUNC(SUM(G703:G703),2)</f>
        <v>13</v>
      </c>
      <c r="H704" s="405"/>
      <c r="I704" s="405"/>
      <c r="J704" s="405"/>
      <c r="K704" s="405"/>
      <c r="L704" s="405"/>
      <c r="M704" s="405"/>
    </row>
    <row r="705" spans="1:13" ht="45">
      <c r="A705" s="407" t="s">
        <v>1545</v>
      </c>
      <c r="B705" s="170" t="s">
        <v>1599</v>
      </c>
      <c r="C705" s="171" t="s">
        <v>1600</v>
      </c>
      <c r="D705" s="170" t="s">
        <v>17</v>
      </c>
      <c r="E705" s="111">
        <v>17.8</v>
      </c>
      <c r="F705" s="408">
        <f>TRUNC((F706),2)</f>
        <v>6.31</v>
      </c>
      <c r="G705" s="409">
        <f>TRUNC(F705*1.2882,2)</f>
        <v>8.12</v>
      </c>
      <c r="H705" s="172">
        <f>E705*F705</f>
        <v>112.318</v>
      </c>
      <c r="I705" s="172">
        <f>TRUNC((E705*G705),2)</f>
        <v>144.53</v>
      </c>
      <c r="J705" s="129"/>
      <c r="K705" s="129"/>
      <c r="L705" s="129"/>
      <c r="M705" s="129"/>
    </row>
    <row r="706" spans="1:13" s="406" customFormat="1" ht="45">
      <c r="A706" s="403"/>
      <c r="B706" s="212" t="s">
        <v>1599</v>
      </c>
      <c r="C706" s="213" t="s">
        <v>1600</v>
      </c>
      <c r="D706" s="212" t="s">
        <v>17</v>
      </c>
      <c r="E706" s="212">
        <v>1</v>
      </c>
      <c r="F706" s="404">
        <f>TRUNC(6.314,2)</f>
        <v>6.31</v>
      </c>
      <c r="G706" s="129">
        <f>TRUNC(E706*F706,2)</f>
        <v>6.31</v>
      </c>
      <c r="H706" s="405"/>
      <c r="I706" s="405"/>
      <c r="J706" s="405"/>
      <c r="K706" s="405"/>
      <c r="L706" s="405"/>
      <c r="M706" s="405"/>
    </row>
    <row r="707" spans="1:13" s="406" customFormat="1" ht="15.75">
      <c r="A707" s="403"/>
      <c r="B707" s="212" t="s">
        <v>1601</v>
      </c>
      <c r="C707" s="213" t="s">
        <v>1602</v>
      </c>
      <c r="D707" s="212" t="s">
        <v>23</v>
      </c>
      <c r="E707" s="212">
        <v>0.05</v>
      </c>
      <c r="F707" s="404">
        <v>126.28</v>
      </c>
      <c r="G707" s="129">
        <f>TRUNC(E707*F707,2)</f>
        <v>6.31</v>
      </c>
      <c r="H707" s="405"/>
      <c r="I707" s="405"/>
      <c r="J707" s="405"/>
      <c r="K707" s="405"/>
      <c r="L707" s="405"/>
      <c r="M707" s="405"/>
    </row>
    <row r="708" spans="1:13" s="406" customFormat="1" ht="15.75">
      <c r="A708" s="403"/>
      <c r="B708" s="212"/>
      <c r="C708" s="213"/>
      <c r="D708" s="212"/>
      <c r="E708" s="212" t="s">
        <v>33</v>
      </c>
      <c r="F708" s="404"/>
      <c r="G708" s="129">
        <f>TRUNC(SUM(G707:G707),2)</f>
        <v>6.31</v>
      </c>
      <c r="H708" s="405"/>
      <c r="I708" s="405"/>
      <c r="J708" s="405"/>
      <c r="K708" s="405"/>
      <c r="L708" s="405"/>
      <c r="M708" s="405"/>
    </row>
    <row r="709" spans="1:13" ht="30">
      <c r="A709" s="407" t="s">
        <v>90</v>
      </c>
      <c r="B709" s="170" t="s">
        <v>1603</v>
      </c>
      <c r="C709" s="171" t="s">
        <v>1604</v>
      </c>
      <c r="D709" s="170" t="s">
        <v>17</v>
      </c>
      <c r="E709" s="111">
        <v>297</v>
      </c>
      <c r="F709" s="408">
        <f>TRUNC((F710),2)</f>
        <v>6.53</v>
      </c>
      <c r="G709" s="409">
        <f>TRUNC(F709*1.2882,2)</f>
        <v>8.41</v>
      </c>
      <c r="H709" s="172">
        <f>E709*F709</f>
        <v>1939.41</v>
      </c>
      <c r="I709" s="172">
        <f>TRUNC((E709*G709),2)</f>
        <v>2497.77</v>
      </c>
      <c r="J709" s="129"/>
      <c r="K709" s="129"/>
      <c r="L709" s="129"/>
      <c r="M709" s="129"/>
    </row>
    <row r="710" spans="1:13" s="406" customFormat="1" ht="30">
      <c r="A710" s="403"/>
      <c r="B710" s="212" t="s">
        <v>1603</v>
      </c>
      <c r="C710" s="213" t="s">
        <v>1604</v>
      </c>
      <c r="D710" s="212" t="s">
        <v>17</v>
      </c>
      <c r="E710" s="212">
        <v>1</v>
      </c>
      <c r="F710" s="404">
        <f>TRUNC(6.53844,2)</f>
        <v>6.53</v>
      </c>
      <c r="G710" s="129">
        <f>TRUNC(E710*F710,2)</f>
        <v>6.53</v>
      </c>
      <c r="H710" s="405"/>
      <c r="I710" s="405"/>
      <c r="J710" s="405"/>
      <c r="K710" s="405"/>
      <c r="L710" s="405"/>
      <c r="M710" s="405"/>
    </row>
    <row r="711" spans="1:13" s="406" customFormat="1" ht="30">
      <c r="A711" s="403"/>
      <c r="B711" s="212" t="s">
        <v>45</v>
      </c>
      <c r="C711" s="213" t="s">
        <v>46</v>
      </c>
      <c r="D711" s="212" t="s">
        <v>47</v>
      </c>
      <c r="E711" s="212">
        <v>0.41200000000000003</v>
      </c>
      <c r="F711" s="404">
        <v>15.87</v>
      </c>
      <c r="G711" s="129">
        <f>TRUNC(E711*F711,2)</f>
        <v>6.53</v>
      </c>
      <c r="H711" s="405"/>
      <c r="I711" s="405"/>
      <c r="J711" s="405"/>
      <c r="K711" s="405"/>
      <c r="L711" s="405"/>
      <c r="M711" s="405"/>
    </row>
    <row r="712" spans="1:13" s="406" customFormat="1" ht="15.75">
      <c r="A712" s="403"/>
      <c r="B712" s="212"/>
      <c r="C712" s="213"/>
      <c r="D712" s="212"/>
      <c r="E712" s="212" t="s">
        <v>33</v>
      </c>
      <c r="F712" s="404"/>
      <c r="G712" s="129">
        <f>TRUNC(SUM(G711:G711),2)</f>
        <v>6.53</v>
      </c>
      <c r="H712" s="405"/>
      <c r="I712" s="405"/>
      <c r="J712" s="405"/>
      <c r="K712" s="405"/>
      <c r="L712" s="405"/>
      <c r="M712" s="405"/>
    </row>
    <row r="713" spans="1:13" ht="15.75">
      <c r="A713" s="407" t="s">
        <v>91</v>
      </c>
      <c r="B713" s="170" t="s">
        <v>1605</v>
      </c>
      <c r="C713" s="171" t="s">
        <v>1606</v>
      </c>
      <c r="D713" s="170" t="s">
        <v>17</v>
      </c>
      <c r="E713" s="111">
        <f>17.8*10</f>
        <v>178</v>
      </c>
      <c r="F713" s="408">
        <f>TRUNC((F714),2)</f>
        <v>0.53</v>
      </c>
      <c r="G713" s="409">
        <f>TRUNC(F713*1.2882,2)</f>
        <v>0.68</v>
      </c>
      <c r="H713" s="172">
        <f>E713*F713</f>
        <v>94.34</v>
      </c>
      <c r="I713" s="172">
        <f>TRUNC((E713*G713),2)</f>
        <v>121.04</v>
      </c>
      <c r="J713" s="129"/>
      <c r="K713" s="129"/>
      <c r="L713" s="129"/>
      <c r="M713" s="129"/>
    </row>
    <row r="714" spans="1:13" s="406" customFormat="1" ht="15.75">
      <c r="A714" s="403"/>
      <c r="B714" s="212" t="s">
        <v>1605</v>
      </c>
      <c r="C714" s="213" t="s">
        <v>1606</v>
      </c>
      <c r="D714" s="212" t="s">
        <v>17</v>
      </c>
      <c r="E714" s="212">
        <v>1</v>
      </c>
      <c r="F714" s="404">
        <f>TRUNC(0.5394213,2)</f>
        <v>0.53</v>
      </c>
      <c r="G714" s="129">
        <f>TRUNC(E714*F714,2)</f>
        <v>0.53</v>
      </c>
      <c r="H714" s="405"/>
      <c r="I714" s="405"/>
      <c r="J714" s="405"/>
      <c r="K714" s="405"/>
      <c r="L714" s="405"/>
      <c r="M714" s="405"/>
    </row>
    <row r="715" spans="1:13" s="406" customFormat="1" ht="30">
      <c r="A715" s="403"/>
      <c r="B715" s="212" t="s">
        <v>45</v>
      </c>
      <c r="C715" s="213" t="s">
        <v>46</v>
      </c>
      <c r="D715" s="212" t="s">
        <v>47</v>
      </c>
      <c r="E715" s="212">
        <v>0.03399</v>
      </c>
      <c r="F715" s="404">
        <v>15.87</v>
      </c>
      <c r="G715" s="129">
        <f>TRUNC(E715*F715,2)</f>
        <v>0.53</v>
      </c>
      <c r="H715" s="405"/>
      <c r="I715" s="405"/>
      <c r="J715" s="405"/>
      <c r="K715" s="405"/>
      <c r="L715" s="405"/>
      <c r="M715" s="405"/>
    </row>
    <row r="716" spans="1:13" s="406" customFormat="1" ht="15.75">
      <c r="A716" s="403"/>
      <c r="B716" s="212"/>
      <c r="C716" s="213"/>
      <c r="D716" s="212"/>
      <c r="E716" s="212" t="s">
        <v>33</v>
      </c>
      <c r="F716" s="404"/>
      <c r="G716" s="129">
        <f>TRUNC(SUM(G715:G715),2)</f>
        <v>0.53</v>
      </c>
      <c r="H716" s="405"/>
      <c r="I716" s="405"/>
      <c r="J716" s="405"/>
      <c r="K716" s="405"/>
      <c r="L716" s="405"/>
      <c r="M716" s="405"/>
    </row>
    <row r="717" spans="1:13" ht="45">
      <c r="A717" s="407" t="s">
        <v>1616</v>
      </c>
      <c r="B717" s="170" t="s">
        <v>1607</v>
      </c>
      <c r="C717" s="171" t="s">
        <v>1608</v>
      </c>
      <c r="D717" s="170" t="s">
        <v>1609</v>
      </c>
      <c r="E717" s="111">
        <f>29.7*15*2</f>
        <v>891</v>
      </c>
      <c r="F717" s="408">
        <f>TRUNC((F718),2)</f>
        <v>0.2</v>
      </c>
      <c r="G717" s="409">
        <f>TRUNC(F717*1.2882,2)</f>
        <v>0.25</v>
      </c>
      <c r="H717" s="172">
        <f>E717*F717</f>
        <v>178.20000000000002</v>
      </c>
      <c r="I717" s="172">
        <f>TRUNC((E717*G717),2)</f>
        <v>222.75</v>
      </c>
      <c r="J717" s="129"/>
      <c r="K717" s="129"/>
      <c r="L717" s="129"/>
      <c r="M717" s="129"/>
    </row>
    <row r="718" spans="1:13" s="406" customFormat="1" ht="45">
      <c r="A718" s="403"/>
      <c r="B718" s="212" t="s">
        <v>1607</v>
      </c>
      <c r="C718" s="213" t="s">
        <v>1608</v>
      </c>
      <c r="D718" s="212" t="s">
        <v>1609</v>
      </c>
      <c r="E718" s="212">
        <v>1</v>
      </c>
      <c r="F718" s="404">
        <f>TRUNC(0.200541165,2)</f>
        <v>0.2</v>
      </c>
      <c r="G718" s="129">
        <f>TRUNC(E718*F718,2)</f>
        <v>0.2</v>
      </c>
      <c r="H718" s="405"/>
      <c r="I718" s="405"/>
      <c r="J718" s="405"/>
      <c r="K718" s="405"/>
      <c r="L718" s="405"/>
      <c r="M718" s="405"/>
    </row>
    <row r="719" spans="1:13" s="406" customFormat="1" ht="15.75">
      <c r="A719" s="403"/>
      <c r="B719" s="212" t="s">
        <v>1610</v>
      </c>
      <c r="C719" s="213" t="s">
        <v>1611</v>
      </c>
      <c r="D719" s="212" t="s">
        <v>47</v>
      </c>
      <c r="E719" s="212">
        <v>0.00121</v>
      </c>
      <c r="F719" s="404">
        <v>167.1819</v>
      </c>
      <c r="G719" s="129">
        <f>TRUNC(E719*F719,2)</f>
        <v>0.2</v>
      </c>
      <c r="H719" s="405"/>
      <c r="I719" s="405"/>
      <c r="J719" s="405"/>
      <c r="K719" s="405"/>
      <c r="L719" s="405"/>
      <c r="M719" s="405"/>
    </row>
    <row r="720" spans="1:13" s="406" customFormat="1" ht="15.75">
      <c r="A720" s="403"/>
      <c r="B720" s="212"/>
      <c r="C720" s="213"/>
      <c r="D720" s="212"/>
      <c r="E720" s="212" t="s">
        <v>33</v>
      </c>
      <c r="F720" s="404"/>
      <c r="G720" s="129">
        <f>TRUNC(SUM(G719:G719),2)</f>
        <v>0.2</v>
      </c>
      <c r="H720" s="405"/>
      <c r="I720" s="405"/>
      <c r="J720" s="405"/>
      <c r="K720" s="405"/>
      <c r="L720" s="405"/>
      <c r="M720" s="405"/>
    </row>
    <row r="721" spans="1:13" ht="30">
      <c r="A721" s="407" t="s">
        <v>1593</v>
      </c>
      <c r="B721" s="170" t="s">
        <v>1612</v>
      </c>
      <c r="C721" s="171" t="s">
        <v>1613</v>
      </c>
      <c r="D721" s="170" t="s">
        <v>17</v>
      </c>
      <c r="E721" s="111">
        <f>29.7*2</f>
        <v>59.4</v>
      </c>
      <c r="F721" s="408">
        <f>TRUNC((F722),2)</f>
        <v>0.87</v>
      </c>
      <c r="G721" s="409">
        <f>TRUNC(F721*1.2882,2)</f>
        <v>1.12</v>
      </c>
      <c r="H721" s="172">
        <f>E721*F721</f>
        <v>51.678</v>
      </c>
      <c r="I721" s="172">
        <f>TRUNC((E721*G721),2)</f>
        <v>66.52</v>
      </c>
      <c r="J721" s="129"/>
      <c r="K721" s="129"/>
      <c r="L721" s="129"/>
      <c r="M721" s="129"/>
    </row>
    <row r="722" spans="1:13" s="406" customFormat="1" ht="30">
      <c r="A722" s="403"/>
      <c r="B722" s="212" t="s">
        <v>1612</v>
      </c>
      <c r="C722" s="213" t="s">
        <v>1613</v>
      </c>
      <c r="D722" s="212" t="s">
        <v>17</v>
      </c>
      <c r="E722" s="212">
        <v>1</v>
      </c>
      <c r="F722" s="404">
        <f>TRUNC(0.8723975,2)</f>
        <v>0.87</v>
      </c>
      <c r="G722" s="129">
        <f>TRUNC(E722*F722,2)</f>
        <v>0.87</v>
      </c>
      <c r="H722" s="405"/>
      <c r="I722" s="405"/>
      <c r="J722" s="405"/>
      <c r="K722" s="405"/>
      <c r="L722" s="405"/>
      <c r="M722" s="405"/>
    </row>
    <row r="723" spans="1:13" s="406" customFormat="1" ht="30">
      <c r="A723" s="403"/>
      <c r="B723" s="212" t="s">
        <v>45</v>
      </c>
      <c r="C723" s="213" t="s">
        <v>46</v>
      </c>
      <c r="D723" s="212" t="s">
        <v>47</v>
      </c>
      <c r="E723" s="212">
        <v>0.013389999999999999</v>
      </c>
      <c r="F723" s="404">
        <v>15.87</v>
      </c>
      <c r="G723" s="129">
        <f>TRUNC(E723*F723,2)</f>
        <v>0.21</v>
      </c>
      <c r="H723" s="405"/>
      <c r="I723" s="405"/>
      <c r="J723" s="405"/>
      <c r="K723" s="405"/>
      <c r="L723" s="405"/>
      <c r="M723" s="405"/>
    </row>
    <row r="724" spans="1:13" s="406" customFormat="1" ht="15.75">
      <c r="A724" s="403"/>
      <c r="B724" s="212" t="s">
        <v>1614</v>
      </c>
      <c r="C724" s="213" t="s">
        <v>1615</v>
      </c>
      <c r="D724" s="212" t="s">
        <v>47</v>
      </c>
      <c r="E724" s="212">
        <v>0.013</v>
      </c>
      <c r="F724" s="404">
        <v>53.6718</v>
      </c>
      <c r="G724" s="129">
        <f>TRUNC(E724*F724,2)</f>
        <v>0.69</v>
      </c>
      <c r="H724" s="405"/>
      <c r="I724" s="405"/>
      <c r="J724" s="405"/>
      <c r="K724" s="405"/>
      <c r="L724" s="405"/>
      <c r="M724" s="405"/>
    </row>
    <row r="725" spans="1:13" s="406" customFormat="1" ht="15.75">
      <c r="A725" s="403"/>
      <c r="B725" s="212"/>
      <c r="C725" s="213"/>
      <c r="D725" s="212"/>
      <c r="E725" s="212" t="s">
        <v>33</v>
      </c>
      <c r="F725" s="404"/>
      <c r="G725" s="129">
        <f>TRUNC(SUM(G723:G724),2)</f>
        <v>0.9</v>
      </c>
      <c r="H725" s="405"/>
      <c r="I725" s="405"/>
      <c r="J725" s="405"/>
      <c r="K725" s="405"/>
      <c r="L725" s="405"/>
      <c r="M725" s="405"/>
    </row>
    <row r="726" spans="1:9" s="203" customFormat="1" ht="15.75">
      <c r="A726" s="45" t="s">
        <v>18</v>
      </c>
      <c r="B726" s="27"/>
      <c r="C726" s="202"/>
      <c r="D726" s="45"/>
      <c r="E726" s="28"/>
      <c r="F726" s="29"/>
      <c r="G726" s="480" t="s">
        <v>92</v>
      </c>
      <c r="H726" s="481"/>
      <c r="I726" s="29"/>
    </row>
    <row r="727" spans="1:9" ht="14.25" customHeight="1">
      <c r="A727" s="4" t="s">
        <v>22</v>
      </c>
      <c r="B727" s="5"/>
      <c r="C727" s="485" t="s">
        <v>25</v>
      </c>
      <c r="D727" s="485"/>
      <c r="E727" s="485"/>
      <c r="F727" s="485"/>
      <c r="G727" s="485"/>
      <c r="H727" s="485"/>
      <c r="I727" s="485"/>
    </row>
    <row r="728" spans="1:9" s="220" customFormat="1" ht="30.75">
      <c r="A728" s="261" t="s">
        <v>392</v>
      </c>
      <c r="B728" s="262" t="s">
        <v>248</v>
      </c>
      <c r="C728" s="210" t="s">
        <v>968</v>
      </c>
      <c r="D728" s="261" t="s">
        <v>385</v>
      </c>
      <c r="E728" s="111">
        <v>4</v>
      </c>
      <c r="F728" s="111">
        <f>TRUNC(F729,2)</f>
        <v>1892</v>
      </c>
      <c r="G728" s="111">
        <f>TRUNC(F728*1.2285,2)</f>
        <v>2324.32</v>
      </c>
      <c r="H728" s="111">
        <f>TRUNC(F728*E728,2)</f>
        <v>7568</v>
      </c>
      <c r="I728" s="111">
        <f>TRUNC(E728*G728,2)</f>
        <v>9297.28</v>
      </c>
    </row>
    <row r="729" spans="1:9" s="222" customFormat="1" ht="31.5">
      <c r="A729" s="81"/>
      <c r="B729" s="82" t="s">
        <v>248</v>
      </c>
      <c r="C729" s="221" t="s">
        <v>393</v>
      </c>
      <c r="D729" s="81" t="s">
        <v>386</v>
      </c>
      <c r="E729" s="33">
        <v>1</v>
      </c>
      <c r="F729" s="83">
        <f>E736</f>
        <v>1892</v>
      </c>
      <c r="G729" s="83">
        <f>TRUNC(E729*F729,2)</f>
        <v>1892</v>
      </c>
      <c r="H729" s="83"/>
      <c r="I729" s="33"/>
    </row>
    <row r="730" spans="1:9" s="220" customFormat="1" ht="15">
      <c r="A730" s="84"/>
      <c r="B730" s="85"/>
      <c r="C730" s="200"/>
      <c r="D730" s="84"/>
      <c r="E730" s="11"/>
      <c r="F730" s="86"/>
      <c r="G730" s="86"/>
      <c r="H730" s="86"/>
      <c r="I730" s="11"/>
    </row>
    <row r="731" spans="1:9" s="220" customFormat="1" ht="15">
      <c r="A731" s="84"/>
      <c r="B731" s="85"/>
      <c r="C731" s="200"/>
      <c r="D731" s="84"/>
      <c r="E731" s="11" t="s">
        <v>387</v>
      </c>
      <c r="F731" s="86"/>
      <c r="G731" s="86"/>
      <c r="H731" s="86"/>
      <c r="I731" s="11"/>
    </row>
    <row r="732" spans="1:9" s="220" customFormat="1" ht="15">
      <c r="A732" s="87"/>
      <c r="B732" s="88"/>
      <c r="C732" s="223"/>
      <c r="D732" s="87"/>
      <c r="E732" s="89"/>
      <c r="F732" s="90"/>
      <c r="G732" s="90"/>
      <c r="H732" s="90"/>
      <c r="I732" s="89"/>
    </row>
    <row r="733" spans="1:9" s="222" customFormat="1" ht="31.5">
      <c r="A733" s="91"/>
      <c r="B733" s="92" t="s">
        <v>388</v>
      </c>
      <c r="C733" s="224" t="s">
        <v>393</v>
      </c>
      <c r="D733" s="91" t="s">
        <v>386</v>
      </c>
      <c r="E733" s="93">
        <v>1892</v>
      </c>
      <c r="F733" s="94"/>
      <c r="G733" s="94"/>
      <c r="H733" s="94"/>
      <c r="I733" s="93"/>
    </row>
    <row r="734" spans="1:9" s="222" customFormat="1" ht="31.5">
      <c r="A734" s="91"/>
      <c r="B734" s="92" t="s">
        <v>389</v>
      </c>
      <c r="C734" s="224" t="s">
        <v>393</v>
      </c>
      <c r="D734" s="91" t="s">
        <v>386</v>
      </c>
      <c r="E734" s="93">
        <v>2060</v>
      </c>
      <c r="F734" s="94"/>
      <c r="G734" s="94"/>
      <c r="H734" s="94"/>
      <c r="I734" s="93"/>
    </row>
    <row r="735" spans="1:9" s="222" customFormat="1" ht="31.5">
      <c r="A735" s="91"/>
      <c r="B735" s="92" t="s">
        <v>390</v>
      </c>
      <c r="C735" s="224" t="s">
        <v>393</v>
      </c>
      <c r="D735" s="91" t="s">
        <v>386</v>
      </c>
      <c r="E735" s="93">
        <v>1460</v>
      </c>
      <c r="F735" s="94"/>
      <c r="G735" s="94"/>
      <c r="H735" s="94"/>
      <c r="I735" s="93"/>
    </row>
    <row r="736" spans="1:9" s="220" customFormat="1" ht="15">
      <c r="A736" s="84"/>
      <c r="B736" s="85"/>
      <c r="C736" s="200"/>
      <c r="D736" s="95" t="s">
        <v>391</v>
      </c>
      <c r="E736" s="11">
        <f>MEDIAN(E733,E734,E735)</f>
        <v>1892</v>
      </c>
      <c r="F736" s="86"/>
      <c r="G736" s="86"/>
      <c r="H736" s="86"/>
      <c r="I736" s="11"/>
    </row>
    <row r="737" spans="1:9" s="220" customFormat="1" ht="15">
      <c r="A737" s="84"/>
      <c r="B737" s="85"/>
      <c r="C737" s="200"/>
      <c r="D737" s="95"/>
      <c r="E737" s="11"/>
      <c r="F737" s="86"/>
      <c r="G737" s="86"/>
      <c r="H737" s="86"/>
      <c r="I737" s="11"/>
    </row>
    <row r="738" spans="1:9" s="220" customFormat="1" ht="30.75">
      <c r="A738" s="261" t="s">
        <v>1038</v>
      </c>
      <c r="B738" s="262" t="s">
        <v>248</v>
      </c>
      <c r="C738" s="210" t="s">
        <v>969</v>
      </c>
      <c r="D738" s="261" t="s">
        <v>385</v>
      </c>
      <c r="E738" s="111">
        <v>1</v>
      </c>
      <c r="F738" s="111">
        <f>TRUNC(F739,2)</f>
        <v>1514</v>
      </c>
      <c r="G738" s="111">
        <f>TRUNC(F738*1.2285,2)</f>
        <v>1859.94</v>
      </c>
      <c r="H738" s="111">
        <f>TRUNC(F738*E738,2)</f>
        <v>1514</v>
      </c>
      <c r="I738" s="111">
        <f>TRUNC(E738*G738,2)</f>
        <v>1859.94</v>
      </c>
    </row>
    <row r="739" spans="1:9" s="222" customFormat="1" ht="31.5">
      <c r="A739" s="81"/>
      <c r="B739" s="82" t="s">
        <v>248</v>
      </c>
      <c r="C739" s="221" t="s">
        <v>394</v>
      </c>
      <c r="D739" s="81" t="s">
        <v>386</v>
      </c>
      <c r="E739" s="33">
        <v>1</v>
      </c>
      <c r="F739" s="83">
        <f>E746</f>
        <v>1514</v>
      </c>
      <c r="G739" s="83">
        <f>TRUNC(E739*F739,2)</f>
        <v>1514</v>
      </c>
      <c r="H739" s="83"/>
      <c r="I739" s="33"/>
    </row>
    <row r="740" spans="1:9" s="220" customFormat="1" ht="15">
      <c r="A740" s="84"/>
      <c r="B740" s="85"/>
      <c r="C740" s="200"/>
      <c r="D740" s="84"/>
      <c r="E740" s="11"/>
      <c r="F740" s="86"/>
      <c r="G740" s="86"/>
      <c r="H740" s="86"/>
      <c r="I740" s="11"/>
    </row>
    <row r="741" spans="1:9" s="220" customFormat="1" ht="15">
      <c r="A741" s="84"/>
      <c r="B741" s="85"/>
      <c r="C741" s="200"/>
      <c r="D741" s="84"/>
      <c r="E741" s="11" t="s">
        <v>387</v>
      </c>
      <c r="F741" s="86"/>
      <c r="G741" s="86"/>
      <c r="H741" s="86"/>
      <c r="I741" s="11"/>
    </row>
    <row r="742" spans="1:9" s="220" customFormat="1" ht="15">
      <c r="A742" s="87"/>
      <c r="B742" s="88"/>
      <c r="C742" s="223"/>
      <c r="D742" s="87"/>
      <c r="E742" s="89"/>
      <c r="F742" s="90"/>
      <c r="G742" s="90"/>
      <c r="H742" s="90"/>
      <c r="I742" s="89"/>
    </row>
    <row r="743" spans="1:9" s="222" customFormat="1" ht="31.5">
      <c r="A743" s="91"/>
      <c r="B743" s="92" t="s">
        <v>388</v>
      </c>
      <c r="C743" s="224" t="s">
        <v>394</v>
      </c>
      <c r="D743" s="91" t="s">
        <v>386</v>
      </c>
      <c r="E743" s="93">
        <v>1514</v>
      </c>
      <c r="F743" s="94"/>
      <c r="G743" s="94"/>
      <c r="H743" s="94"/>
      <c r="I743" s="93"/>
    </row>
    <row r="744" spans="1:9" s="222" customFormat="1" ht="31.5">
      <c r="A744" s="91"/>
      <c r="B744" s="92" t="s">
        <v>389</v>
      </c>
      <c r="C744" s="224" t="s">
        <v>394</v>
      </c>
      <c r="D744" s="91" t="s">
        <v>386</v>
      </c>
      <c r="E744" s="93">
        <v>1560</v>
      </c>
      <c r="F744" s="94"/>
      <c r="G744" s="94"/>
      <c r="H744" s="94"/>
      <c r="I744" s="93"/>
    </row>
    <row r="745" spans="1:9" s="222" customFormat="1" ht="31.5">
      <c r="A745" s="91"/>
      <c r="B745" s="92" t="s">
        <v>390</v>
      </c>
      <c r="C745" s="224" t="s">
        <v>394</v>
      </c>
      <c r="D745" s="91" t="s">
        <v>386</v>
      </c>
      <c r="E745" s="93">
        <v>1140</v>
      </c>
      <c r="F745" s="94"/>
      <c r="G745" s="94"/>
      <c r="H745" s="94"/>
      <c r="I745" s="93"/>
    </row>
    <row r="746" spans="1:9" s="220" customFormat="1" ht="15">
      <c r="A746" s="84"/>
      <c r="B746" s="85"/>
      <c r="C746" s="200"/>
      <c r="D746" s="95" t="s">
        <v>391</v>
      </c>
      <c r="E746" s="11">
        <f>MEDIAN(E743,E744,E745)</f>
        <v>1514</v>
      </c>
      <c r="F746" s="86"/>
      <c r="G746" s="86"/>
      <c r="H746" s="86"/>
      <c r="I746" s="11"/>
    </row>
    <row r="747" spans="1:9" s="220" customFormat="1" ht="15">
      <c r="A747" s="84"/>
      <c r="B747" s="85"/>
      <c r="C747" s="200"/>
      <c r="D747" s="95"/>
      <c r="E747" s="11"/>
      <c r="F747" s="86"/>
      <c r="G747" s="86"/>
      <c r="H747" s="86"/>
      <c r="I747" s="11"/>
    </row>
    <row r="748" spans="1:9" s="220" customFormat="1" ht="30.75">
      <c r="A748" s="261" t="s">
        <v>1039</v>
      </c>
      <c r="B748" s="262" t="s">
        <v>248</v>
      </c>
      <c r="C748" s="210" t="s">
        <v>970</v>
      </c>
      <c r="D748" s="261" t="s">
        <v>385</v>
      </c>
      <c r="E748" s="111">
        <v>2</v>
      </c>
      <c r="F748" s="111">
        <f>TRUNC(F749,2)</f>
        <v>1665</v>
      </c>
      <c r="G748" s="111">
        <f>TRUNC(F748*1.2285,2)</f>
        <v>2045.45</v>
      </c>
      <c r="H748" s="111">
        <f>TRUNC(F748*E748,2)</f>
        <v>3330</v>
      </c>
      <c r="I748" s="111">
        <f>TRUNC(E748*G748,2)</f>
        <v>4090.9</v>
      </c>
    </row>
    <row r="749" spans="1:9" s="222" customFormat="1" ht="31.5">
      <c r="A749" s="81"/>
      <c r="B749" s="82" t="s">
        <v>248</v>
      </c>
      <c r="C749" s="221" t="s">
        <v>395</v>
      </c>
      <c r="D749" s="81" t="s">
        <v>386</v>
      </c>
      <c r="E749" s="33">
        <v>1</v>
      </c>
      <c r="F749" s="83">
        <f>E756</f>
        <v>1665</v>
      </c>
      <c r="G749" s="83">
        <f>TRUNC(E749*F749,2)</f>
        <v>1665</v>
      </c>
      <c r="H749" s="83"/>
      <c r="I749" s="33"/>
    </row>
    <row r="750" spans="1:9" s="220" customFormat="1" ht="15">
      <c r="A750" s="84"/>
      <c r="B750" s="85"/>
      <c r="C750" s="200"/>
      <c r="D750" s="84"/>
      <c r="E750" s="11"/>
      <c r="F750" s="86"/>
      <c r="G750" s="86"/>
      <c r="H750" s="86"/>
      <c r="I750" s="11"/>
    </row>
    <row r="751" spans="1:9" s="220" customFormat="1" ht="15">
      <c r="A751" s="84"/>
      <c r="B751" s="85"/>
      <c r="C751" s="200"/>
      <c r="D751" s="84"/>
      <c r="E751" s="11" t="s">
        <v>387</v>
      </c>
      <c r="F751" s="86"/>
      <c r="G751" s="86"/>
      <c r="H751" s="86"/>
      <c r="I751" s="11"/>
    </row>
    <row r="752" spans="1:9" s="220" customFormat="1" ht="15">
      <c r="A752" s="87"/>
      <c r="B752" s="88"/>
      <c r="C752" s="223"/>
      <c r="D752" s="87"/>
      <c r="E752" s="89"/>
      <c r="F752" s="90"/>
      <c r="G752" s="90"/>
      <c r="H752" s="90"/>
      <c r="I752" s="89"/>
    </row>
    <row r="753" spans="1:9" s="222" customFormat="1" ht="31.5">
      <c r="A753" s="91"/>
      <c r="B753" s="92" t="s">
        <v>388</v>
      </c>
      <c r="C753" s="224" t="s">
        <v>395</v>
      </c>
      <c r="D753" s="91" t="s">
        <v>386</v>
      </c>
      <c r="E753" s="93">
        <v>1665</v>
      </c>
      <c r="F753" s="94"/>
      <c r="G753" s="94"/>
      <c r="H753" s="94"/>
      <c r="I753" s="93"/>
    </row>
    <row r="754" spans="1:9" s="222" customFormat="1" ht="31.5">
      <c r="A754" s="91"/>
      <c r="B754" s="92" t="s">
        <v>389</v>
      </c>
      <c r="C754" s="224" t="s">
        <v>395</v>
      </c>
      <c r="D754" s="91" t="s">
        <v>386</v>
      </c>
      <c r="E754" s="93">
        <v>1770</v>
      </c>
      <c r="F754" s="94"/>
      <c r="G754" s="94"/>
      <c r="H754" s="94"/>
      <c r="I754" s="93"/>
    </row>
    <row r="755" spans="1:9" s="222" customFormat="1" ht="31.5">
      <c r="A755" s="91"/>
      <c r="B755" s="92" t="s">
        <v>390</v>
      </c>
      <c r="C755" s="224" t="s">
        <v>395</v>
      </c>
      <c r="D755" s="91" t="s">
        <v>386</v>
      </c>
      <c r="E755" s="93">
        <v>1275</v>
      </c>
      <c r="F755" s="94"/>
      <c r="G755" s="94"/>
      <c r="H755" s="94"/>
      <c r="I755" s="93"/>
    </row>
    <row r="756" spans="1:9" s="220" customFormat="1" ht="15">
      <c r="A756" s="84"/>
      <c r="B756" s="85"/>
      <c r="C756" s="200"/>
      <c r="D756" s="95" t="s">
        <v>391</v>
      </c>
      <c r="E756" s="11">
        <f>MEDIAN(E753,E754,E755)</f>
        <v>1665</v>
      </c>
      <c r="F756" s="86"/>
      <c r="G756" s="86"/>
      <c r="H756" s="86"/>
      <c r="I756" s="11"/>
    </row>
    <row r="757" spans="1:9" s="220" customFormat="1" ht="15">
      <c r="A757" s="84"/>
      <c r="B757" s="85"/>
      <c r="C757" s="200"/>
      <c r="D757" s="95"/>
      <c r="E757" s="11"/>
      <c r="F757" s="86"/>
      <c r="G757" s="86"/>
      <c r="H757" s="86"/>
      <c r="I757" s="11"/>
    </row>
    <row r="758" spans="1:9" s="220" customFormat="1" ht="30.75">
      <c r="A758" s="261" t="s">
        <v>1040</v>
      </c>
      <c r="B758" s="262" t="s">
        <v>248</v>
      </c>
      <c r="C758" s="210" t="s">
        <v>971</v>
      </c>
      <c r="D758" s="261" t="s">
        <v>385</v>
      </c>
      <c r="E758" s="111">
        <v>1</v>
      </c>
      <c r="F758" s="111">
        <f>TRUNC(F759,2)</f>
        <v>530</v>
      </c>
      <c r="G758" s="111">
        <f>TRUNC(F758*1.2285,2)</f>
        <v>651.1</v>
      </c>
      <c r="H758" s="111">
        <f>TRUNC(F758*E758,2)</f>
        <v>530</v>
      </c>
      <c r="I758" s="111">
        <f>TRUNC(E758*G758,2)</f>
        <v>651.1</v>
      </c>
    </row>
    <row r="759" spans="1:9" s="222" customFormat="1" ht="31.5">
      <c r="A759" s="81"/>
      <c r="B759" s="82" t="s">
        <v>248</v>
      </c>
      <c r="C759" s="221" t="s">
        <v>396</v>
      </c>
      <c r="D759" s="81" t="s">
        <v>386</v>
      </c>
      <c r="E759" s="33">
        <v>1</v>
      </c>
      <c r="F759" s="83">
        <f>E766</f>
        <v>530</v>
      </c>
      <c r="G759" s="83">
        <f>TRUNC(E759*F759,2)</f>
        <v>530</v>
      </c>
      <c r="H759" s="83"/>
      <c r="I759" s="33"/>
    </row>
    <row r="760" spans="1:9" s="220" customFormat="1" ht="15">
      <c r="A760" s="84"/>
      <c r="B760" s="85"/>
      <c r="C760" s="200"/>
      <c r="D760" s="84"/>
      <c r="E760" s="11"/>
      <c r="F760" s="86"/>
      <c r="G760" s="86"/>
      <c r="H760" s="86"/>
      <c r="I760" s="11"/>
    </row>
    <row r="761" spans="1:9" s="220" customFormat="1" ht="15">
      <c r="A761" s="84"/>
      <c r="B761" s="85"/>
      <c r="C761" s="200"/>
      <c r="D761" s="84"/>
      <c r="E761" s="11" t="s">
        <v>387</v>
      </c>
      <c r="F761" s="86"/>
      <c r="G761" s="86"/>
      <c r="H761" s="86"/>
      <c r="I761" s="11"/>
    </row>
    <row r="762" spans="1:9" s="220" customFormat="1" ht="15">
      <c r="A762" s="87"/>
      <c r="B762" s="88"/>
      <c r="C762" s="223"/>
      <c r="D762" s="87"/>
      <c r="E762" s="89"/>
      <c r="F762" s="90"/>
      <c r="G762" s="90"/>
      <c r="H762" s="90"/>
      <c r="I762" s="89"/>
    </row>
    <row r="763" spans="1:9" s="222" customFormat="1" ht="31.5">
      <c r="A763" s="91"/>
      <c r="B763" s="92" t="s">
        <v>388</v>
      </c>
      <c r="C763" s="224" t="s">
        <v>396</v>
      </c>
      <c r="D763" s="91" t="s">
        <v>386</v>
      </c>
      <c r="E763" s="93">
        <v>655</v>
      </c>
      <c r="F763" s="94"/>
      <c r="G763" s="94"/>
      <c r="H763" s="94"/>
      <c r="I763" s="93"/>
    </row>
    <row r="764" spans="1:9" s="222" customFormat="1" ht="31.5">
      <c r="A764" s="91"/>
      <c r="B764" s="92" t="s">
        <v>389</v>
      </c>
      <c r="C764" s="224" t="s">
        <v>396</v>
      </c>
      <c r="D764" s="91" t="s">
        <v>386</v>
      </c>
      <c r="E764" s="93">
        <v>530</v>
      </c>
      <c r="F764" s="94"/>
      <c r="G764" s="94"/>
      <c r="H764" s="94"/>
      <c r="I764" s="93"/>
    </row>
    <row r="765" spans="1:9" s="222" customFormat="1" ht="31.5">
      <c r="A765" s="91"/>
      <c r="B765" s="92" t="s">
        <v>390</v>
      </c>
      <c r="C765" s="224" t="s">
        <v>396</v>
      </c>
      <c r="D765" s="91" t="s">
        <v>386</v>
      </c>
      <c r="E765" s="93">
        <v>470</v>
      </c>
      <c r="F765" s="94"/>
      <c r="G765" s="94"/>
      <c r="H765" s="94"/>
      <c r="I765" s="93"/>
    </row>
    <row r="766" spans="1:9" s="220" customFormat="1" ht="15">
      <c r="A766" s="84"/>
      <c r="B766" s="85"/>
      <c r="C766" s="200"/>
      <c r="D766" s="95" t="s">
        <v>391</v>
      </c>
      <c r="E766" s="11">
        <f>MEDIAN(E763,E764,E765)</f>
        <v>530</v>
      </c>
      <c r="F766" s="86"/>
      <c r="G766" s="86"/>
      <c r="H766" s="86"/>
      <c r="I766" s="11"/>
    </row>
    <row r="767" spans="1:9" s="220" customFormat="1" ht="15">
      <c r="A767" s="84"/>
      <c r="B767" s="85"/>
      <c r="C767" s="200"/>
      <c r="D767" s="95"/>
      <c r="E767" s="11"/>
      <c r="F767" s="86"/>
      <c r="G767" s="86"/>
      <c r="H767" s="86"/>
      <c r="I767" s="11"/>
    </row>
    <row r="768" spans="1:9" s="220" customFormat="1" ht="30.75">
      <c r="A768" s="261" t="s">
        <v>1041</v>
      </c>
      <c r="B768" s="262" t="s">
        <v>248</v>
      </c>
      <c r="C768" s="210" t="s">
        <v>972</v>
      </c>
      <c r="D768" s="261" t="s">
        <v>385</v>
      </c>
      <c r="E768" s="111">
        <v>1</v>
      </c>
      <c r="F768" s="111">
        <f>TRUNC(F769,2)</f>
        <v>600</v>
      </c>
      <c r="G768" s="111">
        <f>TRUNC(F768*1.2285,2)</f>
        <v>737.1</v>
      </c>
      <c r="H768" s="111">
        <f>TRUNC(F768*E768,2)</f>
        <v>600</v>
      </c>
      <c r="I768" s="111">
        <f>TRUNC(E768*G768,2)</f>
        <v>737.1</v>
      </c>
    </row>
    <row r="769" spans="1:9" s="222" customFormat="1" ht="31.5">
      <c r="A769" s="81"/>
      <c r="B769" s="82" t="s">
        <v>248</v>
      </c>
      <c r="C769" s="221" t="s">
        <v>397</v>
      </c>
      <c r="D769" s="81" t="s">
        <v>386</v>
      </c>
      <c r="E769" s="33">
        <v>1</v>
      </c>
      <c r="F769" s="83">
        <f>E776</f>
        <v>600</v>
      </c>
      <c r="G769" s="83">
        <f>TRUNC(E769*F769,2)</f>
        <v>600</v>
      </c>
      <c r="H769" s="83"/>
      <c r="I769" s="33"/>
    </row>
    <row r="770" spans="1:9" s="220" customFormat="1" ht="15">
      <c r="A770" s="84"/>
      <c r="B770" s="85"/>
      <c r="C770" s="200"/>
      <c r="D770" s="84"/>
      <c r="E770" s="11"/>
      <c r="F770" s="86"/>
      <c r="G770" s="86"/>
      <c r="H770" s="86"/>
      <c r="I770" s="11"/>
    </row>
    <row r="771" spans="1:9" s="220" customFormat="1" ht="15">
      <c r="A771" s="84"/>
      <c r="B771" s="85"/>
      <c r="C771" s="200"/>
      <c r="D771" s="84"/>
      <c r="E771" s="11" t="s">
        <v>387</v>
      </c>
      <c r="F771" s="86"/>
      <c r="G771" s="86"/>
      <c r="H771" s="86"/>
      <c r="I771" s="11"/>
    </row>
    <row r="772" spans="1:9" s="220" customFormat="1" ht="15">
      <c r="A772" s="87"/>
      <c r="B772" s="88"/>
      <c r="C772" s="223"/>
      <c r="D772" s="87"/>
      <c r="E772" s="89"/>
      <c r="F772" s="90"/>
      <c r="G772" s="90"/>
      <c r="H772" s="90"/>
      <c r="I772" s="89"/>
    </row>
    <row r="773" spans="1:9" s="222" customFormat="1" ht="31.5">
      <c r="A773" s="91"/>
      <c r="B773" s="92" t="s">
        <v>388</v>
      </c>
      <c r="C773" s="224" t="s">
        <v>397</v>
      </c>
      <c r="D773" s="91" t="s">
        <v>386</v>
      </c>
      <c r="E773" s="93">
        <v>800</v>
      </c>
      <c r="F773" s="94"/>
      <c r="G773" s="94"/>
      <c r="H773" s="94"/>
      <c r="I773" s="93"/>
    </row>
    <row r="774" spans="1:9" s="222" customFormat="1" ht="31.5">
      <c r="A774" s="91"/>
      <c r="B774" s="92" t="s">
        <v>389</v>
      </c>
      <c r="C774" s="224" t="s">
        <v>397</v>
      </c>
      <c r="D774" s="91" t="s">
        <v>386</v>
      </c>
      <c r="E774" s="93">
        <v>576</v>
      </c>
      <c r="F774" s="94"/>
      <c r="G774" s="94"/>
      <c r="H774" s="94"/>
      <c r="I774" s="93"/>
    </row>
    <row r="775" spans="1:9" s="222" customFormat="1" ht="31.5">
      <c r="A775" s="91"/>
      <c r="B775" s="92" t="s">
        <v>390</v>
      </c>
      <c r="C775" s="224" t="s">
        <v>397</v>
      </c>
      <c r="D775" s="91" t="s">
        <v>386</v>
      </c>
      <c r="E775" s="93">
        <v>600</v>
      </c>
      <c r="F775" s="94"/>
      <c r="G775" s="94"/>
      <c r="H775" s="94"/>
      <c r="I775" s="93"/>
    </row>
    <row r="776" spans="1:9" s="220" customFormat="1" ht="15">
      <c r="A776" s="84"/>
      <c r="B776" s="85"/>
      <c r="C776" s="200"/>
      <c r="D776" s="95" t="s">
        <v>391</v>
      </c>
      <c r="E776" s="11">
        <f>MEDIAN(E773,E774,E775)</f>
        <v>600</v>
      </c>
      <c r="F776" s="86"/>
      <c r="G776" s="86"/>
      <c r="H776" s="86"/>
      <c r="I776" s="11"/>
    </row>
    <row r="777" spans="1:9" s="220" customFormat="1" ht="15">
      <c r="A777" s="84"/>
      <c r="B777" s="85"/>
      <c r="C777" s="200"/>
      <c r="D777" s="95"/>
      <c r="E777" s="11"/>
      <c r="F777" s="86"/>
      <c r="G777" s="86"/>
      <c r="H777" s="86"/>
      <c r="I777" s="11"/>
    </row>
    <row r="778" spans="1:9" s="220" customFormat="1" ht="30.75">
      <c r="A778" s="261" t="s">
        <v>1042</v>
      </c>
      <c r="B778" s="262" t="s">
        <v>248</v>
      </c>
      <c r="C778" s="210" t="s">
        <v>973</v>
      </c>
      <c r="D778" s="261" t="s">
        <v>385</v>
      </c>
      <c r="E778" s="111">
        <v>2</v>
      </c>
      <c r="F778" s="111">
        <f>TRUNC(F779,2)</f>
        <v>2522</v>
      </c>
      <c r="G778" s="111">
        <f>TRUNC(F778*1.2285,2)</f>
        <v>3098.27</v>
      </c>
      <c r="H778" s="111">
        <f>TRUNC(F778*E778,2)</f>
        <v>5044</v>
      </c>
      <c r="I778" s="111">
        <f>TRUNC(E778*G778,2)</f>
        <v>6196.54</v>
      </c>
    </row>
    <row r="779" spans="1:9" s="222" customFormat="1" ht="31.5">
      <c r="A779" s="81"/>
      <c r="B779" s="82" t="s">
        <v>248</v>
      </c>
      <c r="C779" s="221" t="s">
        <v>559</v>
      </c>
      <c r="D779" s="81" t="s">
        <v>386</v>
      </c>
      <c r="E779" s="33">
        <v>1</v>
      </c>
      <c r="F779" s="83">
        <f>E786</f>
        <v>2522</v>
      </c>
      <c r="G779" s="83">
        <f>TRUNC(E779*F779,2)</f>
        <v>2522</v>
      </c>
      <c r="H779" s="83"/>
      <c r="I779" s="33"/>
    </row>
    <row r="780" spans="1:9" s="220" customFormat="1" ht="15">
      <c r="A780" s="84"/>
      <c r="B780" s="85"/>
      <c r="C780" s="200"/>
      <c r="D780" s="84"/>
      <c r="E780" s="11"/>
      <c r="F780" s="86"/>
      <c r="G780" s="86"/>
      <c r="H780" s="86"/>
      <c r="I780" s="11"/>
    </row>
    <row r="781" spans="1:9" s="220" customFormat="1" ht="15">
      <c r="A781" s="84"/>
      <c r="B781" s="85"/>
      <c r="C781" s="200"/>
      <c r="D781" s="84"/>
      <c r="E781" s="11" t="s">
        <v>387</v>
      </c>
      <c r="F781" s="86"/>
      <c r="G781" s="86"/>
      <c r="H781" s="86"/>
      <c r="I781" s="11"/>
    </row>
    <row r="782" spans="1:9" s="220" customFormat="1" ht="15">
      <c r="A782" s="87"/>
      <c r="B782" s="88"/>
      <c r="C782" s="223"/>
      <c r="D782" s="87"/>
      <c r="E782" s="89"/>
      <c r="F782" s="90"/>
      <c r="G782" s="90"/>
      <c r="H782" s="90"/>
      <c r="I782" s="89"/>
    </row>
    <row r="783" spans="1:9" s="222" customFormat="1" ht="30">
      <c r="A783" s="91"/>
      <c r="B783" s="92" t="s">
        <v>388</v>
      </c>
      <c r="C783" s="223" t="s">
        <v>559</v>
      </c>
      <c r="D783" s="91" t="s">
        <v>386</v>
      </c>
      <c r="E783" s="93">
        <v>2522</v>
      </c>
      <c r="F783" s="94"/>
      <c r="G783" s="94"/>
      <c r="H783" s="94"/>
      <c r="I783" s="93"/>
    </row>
    <row r="784" spans="1:9" s="222" customFormat="1" ht="31.5">
      <c r="A784" s="96"/>
      <c r="B784" s="97" t="s">
        <v>389</v>
      </c>
      <c r="C784" s="225" t="s">
        <v>559</v>
      </c>
      <c r="D784" s="96" t="s">
        <v>386</v>
      </c>
      <c r="E784" s="28">
        <v>2715</v>
      </c>
      <c r="F784" s="98"/>
      <c r="G784" s="98"/>
      <c r="H784" s="98"/>
      <c r="I784" s="28"/>
    </row>
    <row r="785" spans="1:9" s="226" customFormat="1" ht="31.5">
      <c r="A785" s="96"/>
      <c r="B785" s="97" t="s">
        <v>390</v>
      </c>
      <c r="C785" s="225" t="s">
        <v>559</v>
      </c>
      <c r="D785" s="96" t="s">
        <v>386</v>
      </c>
      <c r="E785" s="28">
        <v>1225</v>
      </c>
      <c r="F785" s="98"/>
      <c r="G785" s="98"/>
      <c r="H785" s="98"/>
      <c r="I785" s="28"/>
    </row>
    <row r="786" spans="1:9" s="220" customFormat="1" ht="15">
      <c r="A786" s="84"/>
      <c r="B786" s="85"/>
      <c r="C786" s="200"/>
      <c r="D786" s="95" t="s">
        <v>391</v>
      </c>
      <c r="E786" s="11">
        <f>MEDIAN(E783,E784,E785)</f>
        <v>2522</v>
      </c>
      <c r="F786" s="86"/>
      <c r="G786" s="86"/>
      <c r="H786" s="86"/>
      <c r="I786" s="11"/>
    </row>
    <row r="787" spans="1:9" s="220" customFormat="1" ht="15">
      <c r="A787" s="84"/>
      <c r="B787" s="85"/>
      <c r="C787" s="200"/>
      <c r="D787" s="95"/>
      <c r="E787" s="11"/>
      <c r="F787" s="86"/>
      <c r="G787" s="86"/>
      <c r="H787" s="86"/>
      <c r="I787" s="11"/>
    </row>
    <row r="788" spans="1:9" ht="45">
      <c r="A788" s="103" t="s">
        <v>1617</v>
      </c>
      <c r="B788" s="110" t="s">
        <v>402</v>
      </c>
      <c r="C788" s="210" t="s">
        <v>403</v>
      </c>
      <c r="D788" s="103" t="s">
        <v>7</v>
      </c>
      <c r="E788" s="111">
        <v>13</v>
      </c>
      <c r="F788" s="111">
        <f>TRUNC(F789,2)</f>
        <v>679.67</v>
      </c>
      <c r="G788" s="111">
        <f>TRUNC(F788*1.2882,2)</f>
        <v>875.55</v>
      </c>
      <c r="H788" s="111">
        <f>TRUNC(F788*E788,2)</f>
        <v>8835.71</v>
      </c>
      <c r="I788" s="111">
        <f>TRUNC(E788*G788,2)</f>
        <v>11382.15</v>
      </c>
    </row>
    <row r="789" spans="1:9" s="227" customFormat="1" ht="45">
      <c r="A789" s="13"/>
      <c r="B789" s="14" t="s">
        <v>402</v>
      </c>
      <c r="C789" s="201" t="s">
        <v>403</v>
      </c>
      <c r="D789" s="13" t="s">
        <v>7</v>
      </c>
      <c r="E789" s="15">
        <v>1</v>
      </c>
      <c r="F789" s="16">
        <f>TRUNC(679.6748,2)</f>
        <v>679.67</v>
      </c>
      <c r="G789" s="16">
        <f aca="true" t="shared" si="38" ref="G789:G796">TRUNC(E789*F789,2)</f>
        <v>679.67</v>
      </c>
      <c r="H789" s="16"/>
      <c r="I789" s="15"/>
    </row>
    <row r="790" spans="1:9" s="227" customFormat="1" ht="15">
      <c r="A790" s="13"/>
      <c r="B790" s="14" t="s">
        <v>404</v>
      </c>
      <c r="C790" s="201" t="s">
        <v>405</v>
      </c>
      <c r="D790" s="13" t="s">
        <v>23</v>
      </c>
      <c r="E790" s="15">
        <v>10.6</v>
      </c>
      <c r="F790" s="16">
        <f>TRUNC(9.42,2)</f>
        <v>9.42</v>
      </c>
      <c r="G790" s="16">
        <f t="shared" si="38"/>
        <v>99.85</v>
      </c>
      <c r="H790" s="16"/>
      <c r="I790" s="15"/>
    </row>
    <row r="791" spans="1:9" s="227" customFormat="1" ht="15">
      <c r="A791" s="13"/>
      <c r="B791" s="14" t="s">
        <v>406</v>
      </c>
      <c r="C791" s="201" t="s">
        <v>407</v>
      </c>
      <c r="D791" s="13" t="s">
        <v>23</v>
      </c>
      <c r="E791" s="15">
        <v>5.3</v>
      </c>
      <c r="F791" s="16">
        <f>TRUNC(34.84,2)</f>
        <v>34.84</v>
      </c>
      <c r="G791" s="16">
        <f t="shared" si="38"/>
        <v>184.65</v>
      </c>
      <c r="H791" s="16"/>
      <c r="I791" s="15"/>
    </row>
    <row r="792" spans="1:9" s="227" customFormat="1" ht="15">
      <c r="A792" s="13"/>
      <c r="B792" s="14" t="s">
        <v>408</v>
      </c>
      <c r="C792" s="201" t="s">
        <v>409</v>
      </c>
      <c r="D792" s="13" t="s">
        <v>7</v>
      </c>
      <c r="E792" s="15">
        <v>1</v>
      </c>
      <c r="F792" s="16">
        <f>TRUNC(133.9,2)</f>
        <v>133.9</v>
      </c>
      <c r="G792" s="16">
        <f t="shared" si="38"/>
        <v>133.9</v>
      </c>
      <c r="H792" s="16"/>
      <c r="I792" s="15"/>
    </row>
    <row r="793" spans="1:9" s="227" customFormat="1" ht="30">
      <c r="A793" s="13"/>
      <c r="B793" s="14" t="s">
        <v>410</v>
      </c>
      <c r="C793" s="201" t="s">
        <v>411</v>
      </c>
      <c r="D793" s="13" t="s">
        <v>44</v>
      </c>
      <c r="E793" s="15">
        <v>0.16</v>
      </c>
      <c r="F793" s="16">
        <f>TRUNC(18.29,2)</f>
        <v>18.29</v>
      </c>
      <c r="G793" s="16">
        <f t="shared" si="38"/>
        <v>2.92</v>
      </c>
      <c r="H793" s="16"/>
      <c r="I793" s="15"/>
    </row>
    <row r="794" spans="1:9" s="227" customFormat="1" ht="30">
      <c r="A794" s="13"/>
      <c r="B794" s="14" t="s">
        <v>45</v>
      </c>
      <c r="C794" s="201" t="s">
        <v>46</v>
      </c>
      <c r="D794" s="13" t="s">
        <v>47</v>
      </c>
      <c r="E794" s="15">
        <v>6.18</v>
      </c>
      <c r="F794" s="16">
        <f>TRUNC(15.87,2)</f>
        <v>15.87</v>
      </c>
      <c r="G794" s="16">
        <f t="shared" si="38"/>
        <v>98.07</v>
      </c>
      <c r="H794" s="16"/>
      <c r="I794" s="15"/>
    </row>
    <row r="795" spans="1:9" s="227" customFormat="1" ht="30">
      <c r="A795" s="13"/>
      <c r="B795" s="14" t="s">
        <v>412</v>
      </c>
      <c r="C795" s="201" t="s">
        <v>413</v>
      </c>
      <c r="D795" s="13" t="s">
        <v>47</v>
      </c>
      <c r="E795" s="15">
        <v>6.18</v>
      </c>
      <c r="F795" s="16">
        <f>TRUNC(23.62,2)</f>
        <v>23.62</v>
      </c>
      <c r="G795" s="16">
        <f t="shared" si="38"/>
        <v>145.97</v>
      </c>
      <c r="H795" s="16"/>
      <c r="I795" s="15"/>
    </row>
    <row r="796" spans="1:9" s="227" customFormat="1" ht="15">
      <c r="A796" s="13"/>
      <c r="B796" s="14" t="s">
        <v>414</v>
      </c>
      <c r="C796" s="201" t="s">
        <v>415</v>
      </c>
      <c r="D796" s="13" t="s">
        <v>7</v>
      </c>
      <c r="E796" s="15">
        <v>6</v>
      </c>
      <c r="F796" s="16">
        <f>TRUNC(2.3827,2)</f>
        <v>2.38</v>
      </c>
      <c r="G796" s="16">
        <f t="shared" si="38"/>
        <v>14.28</v>
      </c>
      <c r="H796" s="16"/>
      <c r="I796" s="15"/>
    </row>
    <row r="797" spans="1:9" s="227" customFormat="1" ht="15">
      <c r="A797" s="13"/>
      <c r="B797" s="14"/>
      <c r="C797" s="201"/>
      <c r="D797" s="13"/>
      <c r="E797" s="15" t="s">
        <v>33</v>
      </c>
      <c r="F797" s="16"/>
      <c r="G797" s="16">
        <f>TRUNC(SUM(G790:G796),2)</f>
        <v>679.64</v>
      </c>
      <c r="H797" s="16"/>
      <c r="I797" s="15"/>
    </row>
    <row r="798" spans="1:9" ht="45">
      <c r="A798" s="103" t="s">
        <v>1392</v>
      </c>
      <c r="B798" s="110" t="s">
        <v>416</v>
      </c>
      <c r="C798" s="210" t="s">
        <v>417</v>
      </c>
      <c r="D798" s="103" t="s">
        <v>7</v>
      </c>
      <c r="E798" s="111">
        <v>1</v>
      </c>
      <c r="F798" s="111">
        <f>TRUNC(F799,2)</f>
        <v>665.4</v>
      </c>
      <c r="G798" s="111">
        <f>TRUNC(F798*1.2882,2)</f>
        <v>857.16</v>
      </c>
      <c r="H798" s="111">
        <f>TRUNC(F798*E798,2)</f>
        <v>665.4</v>
      </c>
      <c r="I798" s="111">
        <f>TRUNC(E798*G798,2)</f>
        <v>857.16</v>
      </c>
    </row>
    <row r="799" spans="1:9" s="227" customFormat="1" ht="45">
      <c r="A799" s="13"/>
      <c r="B799" s="14" t="s">
        <v>416</v>
      </c>
      <c r="C799" s="201" t="s">
        <v>417</v>
      </c>
      <c r="D799" s="13" t="s">
        <v>7</v>
      </c>
      <c r="E799" s="15">
        <v>1</v>
      </c>
      <c r="F799" s="16">
        <f>TRUNC(665.4068,2)</f>
        <v>665.4</v>
      </c>
      <c r="G799" s="16">
        <f aca="true" t="shared" si="39" ref="G799:G806">TRUNC(E799*F799,2)</f>
        <v>665.4</v>
      </c>
      <c r="H799" s="16"/>
      <c r="I799" s="15"/>
    </row>
    <row r="800" spans="1:9" s="227" customFormat="1" ht="15">
      <c r="A800" s="13"/>
      <c r="B800" s="14" t="s">
        <v>404</v>
      </c>
      <c r="C800" s="201" t="s">
        <v>405</v>
      </c>
      <c r="D800" s="13" t="s">
        <v>23</v>
      </c>
      <c r="E800" s="15">
        <v>10.4</v>
      </c>
      <c r="F800" s="16">
        <f>TRUNC(9.42,2)</f>
        <v>9.42</v>
      </c>
      <c r="G800" s="16">
        <f t="shared" si="39"/>
        <v>97.96</v>
      </c>
      <c r="H800" s="16"/>
      <c r="I800" s="15"/>
    </row>
    <row r="801" spans="1:9" s="227" customFormat="1" ht="15">
      <c r="A801" s="13"/>
      <c r="B801" s="14" t="s">
        <v>406</v>
      </c>
      <c r="C801" s="201" t="s">
        <v>407</v>
      </c>
      <c r="D801" s="13" t="s">
        <v>23</v>
      </c>
      <c r="E801" s="15">
        <v>5.2</v>
      </c>
      <c r="F801" s="16">
        <f>TRUNC(34.84,2)</f>
        <v>34.84</v>
      </c>
      <c r="G801" s="16">
        <f t="shared" si="39"/>
        <v>181.16</v>
      </c>
      <c r="H801" s="16"/>
      <c r="I801" s="15"/>
    </row>
    <row r="802" spans="1:9" s="227" customFormat="1" ht="15">
      <c r="A802" s="13"/>
      <c r="B802" s="14" t="s">
        <v>418</v>
      </c>
      <c r="C802" s="201" t="s">
        <v>419</v>
      </c>
      <c r="D802" s="13" t="s">
        <v>7</v>
      </c>
      <c r="E802" s="15">
        <v>1</v>
      </c>
      <c r="F802" s="16">
        <f>TRUNC(125,2)</f>
        <v>125</v>
      </c>
      <c r="G802" s="16">
        <f t="shared" si="39"/>
        <v>125</v>
      </c>
      <c r="H802" s="16"/>
      <c r="I802" s="15"/>
    </row>
    <row r="803" spans="1:9" s="227" customFormat="1" ht="30">
      <c r="A803" s="13"/>
      <c r="B803" s="14" t="s">
        <v>410</v>
      </c>
      <c r="C803" s="201" t="s">
        <v>411</v>
      </c>
      <c r="D803" s="13" t="s">
        <v>44</v>
      </c>
      <c r="E803" s="15">
        <v>0.16</v>
      </c>
      <c r="F803" s="16">
        <f>TRUNC(18.29,2)</f>
        <v>18.29</v>
      </c>
      <c r="G803" s="16">
        <f t="shared" si="39"/>
        <v>2.92</v>
      </c>
      <c r="H803" s="16"/>
      <c r="I803" s="15"/>
    </row>
    <row r="804" spans="1:9" s="227" customFormat="1" ht="30">
      <c r="A804" s="13"/>
      <c r="B804" s="14" t="s">
        <v>45</v>
      </c>
      <c r="C804" s="201" t="s">
        <v>46</v>
      </c>
      <c r="D804" s="13" t="s">
        <v>47</v>
      </c>
      <c r="E804" s="15">
        <v>6.18</v>
      </c>
      <c r="F804" s="16">
        <f>TRUNC(15.87,2)</f>
        <v>15.87</v>
      </c>
      <c r="G804" s="16">
        <f t="shared" si="39"/>
        <v>98.07</v>
      </c>
      <c r="H804" s="16"/>
      <c r="I804" s="15"/>
    </row>
    <row r="805" spans="1:9" s="227" customFormat="1" ht="30">
      <c r="A805" s="13"/>
      <c r="B805" s="14" t="s">
        <v>412</v>
      </c>
      <c r="C805" s="201" t="s">
        <v>413</v>
      </c>
      <c r="D805" s="13" t="s">
        <v>47</v>
      </c>
      <c r="E805" s="15">
        <v>6.18</v>
      </c>
      <c r="F805" s="16">
        <f>TRUNC(23.62,2)</f>
        <v>23.62</v>
      </c>
      <c r="G805" s="16">
        <f t="shared" si="39"/>
        <v>145.97</v>
      </c>
      <c r="H805" s="16"/>
      <c r="I805" s="15"/>
    </row>
    <row r="806" spans="1:9" s="227" customFormat="1" ht="15">
      <c r="A806" s="13"/>
      <c r="B806" s="14" t="s">
        <v>414</v>
      </c>
      <c r="C806" s="201" t="s">
        <v>415</v>
      </c>
      <c r="D806" s="13" t="s">
        <v>7</v>
      </c>
      <c r="E806" s="15">
        <v>6</v>
      </c>
      <c r="F806" s="16">
        <f>TRUNC(2.3827,2)</f>
        <v>2.38</v>
      </c>
      <c r="G806" s="16">
        <f t="shared" si="39"/>
        <v>14.28</v>
      </c>
      <c r="H806" s="16"/>
      <c r="I806" s="15"/>
    </row>
    <row r="807" spans="1:9" s="227" customFormat="1" ht="15">
      <c r="A807" s="13"/>
      <c r="B807" s="14"/>
      <c r="C807" s="201"/>
      <c r="D807" s="13"/>
      <c r="E807" s="15" t="s">
        <v>33</v>
      </c>
      <c r="F807" s="16"/>
      <c r="G807" s="16">
        <f>TRUNC(SUM(G800:G806),2)</f>
        <v>665.36</v>
      </c>
      <c r="H807" s="16"/>
      <c r="I807" s="15"/>
    </row>
    <row r="808" spans="1:9" ht="30">
      <c r="A808" s="103" t="s">
        <v>1393</v>
      </c>
      <c r="B808" s="110" t="s">
        <v>420</v>
      </c>
      <c r="C808" s="210" t="s">
        <v>421</v>
      </c>
      <c r="D808" s="103" t="s">
        <v>17</v>
      </c>
      <c r="E808" s="111">
        <v>2.25</v>
      </c>
      <c r="F808" s="111">
        <f>TRUNC(G809,2)</f>
        <v>1213.5</v>
      </c>
      <c r="G808" s="111">
        <f>TRUNC(F808*1.2285,2)</f>
        <v>1490.78</v>
      </c>
      <c r="H808" s="111">
        <f>TRUNC(F808*E808,2)</f>
        <v>2730.37</v>
      </c>
      <c r="I808" s="111">
        <f>TRUNC(E808*G808,2)</f>
        <v>3354.25</v>
      </c>
    </row>
    <row r="809" spans="1:9" ht="30">
      <c r="A809" s="8"/>
      <c r="B809" s="12" t="s">
        <v>420</v>
      </c>
      <c r="C809" s="200" t="s">
        <v>421</v>
      </c>
      <c r="D809" s="8" t="s">
        <v>17</v>
      </c>
      <c r="E809" s="11">
        <v>1</v>
      </c>
      <c r="F809" s="7">
        <f>G813</f>
        <v>1213.5</v>
      </c>
      <c r="G809" s="7">
        <f>TRUNC(E809*F809,2)</f>
        <v>1213.5</v>
      </c>
      <c r="H809" s="7"/>
      <c r="I809" s="11"/>
    </row>
    <row r="810" spans="1:9" ht="15">
      <c r="A810" s="8"/>
      <c r="B810" s="12" t="s">
        <v>398</v>
      </c>
      <c r="C810" s="200" t="s">
        <v>399</v>
      </c>
      <c r="D810" s="8" t="s">
        <v>44</v>
      </c>
      <c r="E810" s="11">
        <v>34.75</v>
      </c>
      <c r="F810" s="7">
        <f>TRUNC(31.41,2)</f>
        <v>31.41</v>
      </c>
      <c r="G810" s="7">
        <f>TRUNC(E810*F810,2)</f>
        <v>1091.49</v>
      </c>
      <c r="H810" s="7"/>
      <c r="I810" s="11"/>
    </row>
    <row r="811" spans="1:9" ht="30">
      <c r="A811" s="8"/>
      <c r="B811" s="12" t="s">
        <v>45</v>
      </c>
      <c r="C811" s="200" t="s">
        <v>46</v>
      </c>
      <c r="D811" s="8" t="s">
        <v>47</v>
      </c>
      <c r="E811" s="11">
        <v>3.09</v>
      </c>
      <c r="F811" s="7">
        <f>TRUNC(15.87,2)</f>
        <v>15.87</v>
      </c>
      <c r="G811" s="7">
        <f>TRUNC(E811*F811,2)</f>
        <v>49.03</v>
      </c>
      <c r="H811" s="7"/>
      <c r="I811" s="11"/>
    </row>
    <row r="812" spans="1:9" ht="30">
      <c r="A812" s="8"/>
      <c r="B812" s="12" t="s">
        <v>400</v>
      </c>
      <c r="C812" s="200" t="s">
        <v>401</v>
      </c>
      <c r="D812" s="8" t="s">
        <v>47</v>
      </c>
      <c r="E812" s="11">
        <v>3.09</v>
      </c>
      <c r="F812" s="7">
        <f>TRUNC(23.62,2)</f>
        <v>23.62</v>
      </c>
      <c r="G812" s="7">
        <f>TRUNC(E812*F812,2)</f>
        <v>72.98</v>
      </c>
      <c r="H812" s="7"/>
      <c r="I812" s="11"/>
    </row>
    <row r="813" spans="1:9" ht="15">
      <c r="A813" s="8"/>
      <c r="B813" s="12"/>
      <c r="C813" s="200"/>
      <c r="D813" s="8"/>
      <c r="E813" s="11" t="s">
        <v>33</v>
      </c>
      <c r="F813" s="7"/>
      <c r="G813" s="7">
        <f>TRUNC(SUM(G810:G812),2)</f>
        <v>1213.5</v>
      </c>
      <c r="H813" s="7"/>
      <c r="I813" s="11"/>
    </row>
    <row r="814" spans="1:9" ht="30">
      <c r="A814" s="103" t="s">
        <v>1394</v>
      </c>
      <c r="B814" s="110" t="s">
        <v>422</v>
      </c>
      <c r="C814" s="210" t="s">
        <v>423</v>
      </c>
      <c r="D814" s="103" t="s">
        <v>17</v>
      </c>
      <c r="E814" s="111">
        <v>2.25</v>
      </c>
      <c r="F814" s="111">
        <f>TRUNC(G815,2)</f>
        <v>712.87</v>
      </c>
      <c r="G814" s="111">
        <f>TRUNC(F814*1.2882,2)</f>
        <v>918.31</v>
      </c>
      <c r="H814" s="111">
        <f>TRUNC(F814*E814,2)</f>
        <v>1603.95</v>
      </c>
      <c r="I814" s="111">
        <f>TRUNC(E814*G814,2)</f>
        <v>2066.19</v>
      </c>
    </row>
    <row r="815" spans="1:9" ht="30">
      <c r="A815" s="8"/>
      <c r="B815" s="12" t="s">
        <v>422</v>
      </c>
      <c r="C815" s="200" t="s">
        <v>423</v>
      </c>
      <c r="D815" s="8" t="s">
        <v>17</v>
      </c>
      <c r="E815" s="11">
        <v>1</v>
      </c>
      <c r="F815" s="7">
        <f>G822</f>
        <v>712.87</v>
      </c>
      <c r="G815" s="7">
        <f aca="true" t="shared" si="40" ref="G815:G821">TRUNC(E815*F815,2)</f>
        <v>712.87</v>
      </c>
      <c r="H815" s="7"/>
      <c r="I815" s="11"/>
    </row>
    <row r="816" spans="1:9" ht="30">
      <c r="A816" s="8"/>
      <c r="B816" s="12" t="s">
        <v>424</v>
      </c>
      <c r="C816" s="200" t="s">
        <v>425</v>
      </c>
      <c r="D816" s="8" t="s">
        <v>7</v>
      </c>
      <c r="E816" s="11">
        <v>0.5473</v>
      </c>
      <c r="F816" s="7">
        <f>TRUNC(779.97,2)</f>
        <v>779.97</v>
      </c>
      <c r="G816" s="7">
        <f t="shared" si="40"/>
        <v>426.87</v>
      </c>
      <c r="H816" s="7"/>
      <c r="I816" s="11"/>
    </row>
    <row r="817" spans="1:9" ht="30">
      <c r="A817" s="8"/>
      <c r="B817" s="12" t="s">
        <v>426</v>
      </c>
      <c r="C817" s="200" t="s">
        <v>427</v>
      </c>
      <c r="D817" s="8" t="s">
        <v>23</v>
      </c>
      <c r="E817" s="11">
        <v>6.8504</v>
      </c>
      <c r="F817" s="7">
        <f>TRUNC(34.83,2)</f>
        <v>34.83</v>
      </c>
      <c r="G817" s="7">
        <f t="shared" si="40"/>
        <v>238.59</v>
      </c>
      <c r="H817" s="7"/>
      <c r="I817" s="11"/>
    </row>
    <row r="818" spans="1:9" ht="30">
      <c r="A818" s="8"/>
      <c r="B818" s="12" t="s">
        <v>428</v>
      </c>
      <c r="C818" s="200" t="s">
        <v>429</v>
      </c>
      <c r="D818" s="8" t="s">
        <v>7</v>
      </c>
      <c r="E818" s="11">
        <v>4.8166</v>
      </c>
      <c r="F818" s="7">
        <f>TRUNC(0.73,2)</f>
        <v>0.73</v>
      </c>
      <c r="G818" s="7">
        <f t="shared" si="40"/>
        <v>3.51</v>
      </c>
      <c r="H818" s="7"/>
      <c r="I818" s="11"/>
    </row>
    <row r="819" spans="1:9" ht="30">
      <c r="A819" s="8"/>
      <c r="B819" s="12" t="s">
        <v>430</v>
      </c>
      <c r="C819" s="200" t="s">
        <v>431</v>
      </c>
      <c r="D819" s="8" t="s">
        <v>432</v>
      </c>
      <c r="E819" s="11">
        <v>0.8829</v>
      </c>
      <c r="F819" s="7">
        <f>TRUNC(31.65,2)</f>
        <v>31.65</v>
      </c>
      <c r="G819" s="7">
        <f t="shared" si="40"/>
        <v>27.94</v>
      </c>
      <c r="H819" s="7"/>
      <c r="I819" s="11"/>
    </row>
    <row r="820" spans="1:9" ht="15">
      <c r="A820" s="8"/>
      <c r="B820" s="12" t="s">
        <v>49</v>
      </c>
      <c r="C820" s="200" t="s">
        <v>50</v>
      </c>
      <c r="D820" s="8" t="s">
        <v>47</v>
      </c>
      <c r="E820" s="11">
        <v>0.191</v>
      </c>
      <c r="F820" s="7">
        <f>TRUNC(23.64,2)</f>
        <v>23.64</v>
      </c>
      <c r="G820" s="7">
        <f t="shared" si="40"/>
        <v>4.51</v>
      </c>
      <c r="H820" s="7"/>
      <c r="I820" s="11"/>
    </row>
    <row r="821" spans="1:9" ht="15">
      <c r="A821" s="8"/>
      <c r="B821" s="12" t="s">
        <v>51</v>
      </c>
      <c r="C821" s="200" t="s">
        <v>52</v>
      </c>
      <c r="D821" s="8" t="s">
        <v>47</v>
      </c>
      <c r="E821" s="11">
        <v>0.3826</v>
      </c>
      <c r="F821" s="7">
        <f>TRUNC(29.95,2)</f>
        <v>29.95</v>
      </c>
      <c r="G821" s="7">
        <f t="shared" si="40"/>
        <v>11.45</v>
      </c>
      <c r="H821" s="7"/>
      <c r="I821" s="11"/>
    </row>
    <row r="822" spans="1:9" ht="15">
      <c r="A822" s="8"/>
      <c r="B822" s="12"/>
      <c r="C822" s="200"/>
      <c r="D822" s="8"/>
      <c r="E822" s="11" t="s">
        <v>33</v>
      </c>
      <c r="F822" s="7"/>
      <c r="G822" s="7">
        <f>TRUNC(SUM(G816:G821),2)</f>
        <v>712.87</v>
      </c>
      <c r="H822" s="7"/>
      <c r="I822" s="11"/>
    </row>
    <row r="823" spans="1:9" ht="45">
      <c r="A823" s="103" t="s">
        <v>1395</v>
      </c>
      <c r="B823" s="110" t="s">
        <v>439</v>
      </c>
      <c r="C823" s="210" t="s">
        <v>440</v>
      </c>
      <c r="D823" s="103" t="s">
        <v>7</v>
      </c>
      <c r="E823" s="111">
        <v>1</v>
      </c>
      <c r="F823" s="111">
        <f>TRUNC(F824,2)</f>
        <v>531.87</v>
      </c>
      <c r="G823" s="111">
        <f>TRUNC(F823*1.2882,2)</f>
        <v>685.15</v>
      </c>
      <c r="H823" s="111">
        <f>TRUNC(F823*E823,2)</f>
        <v>531.87</v>
      </c>
      <c r="I823" s="111">
        <f>TRUNC(E823*G823,2)</f>
        <v>685.15</v>
      </c>
    </row>
    <row r="824" spans="1:9" ht="45">
      <c r="A824" s="8"/>
      <c r="B824" s="12" t="s">
        <v>435</v>
      </c>
      <c r="C824" s="200" t="s">
        <v>436</v>
      </c>
      <c r="D824" s="8" t="s">
        <v>7</v>
      </c>
      <c r="E824" s="11">
        <v>1</v>
      </c>
      <c r="F824" s="7">
        <f>TRUNC(531.8734,2)</f>
        <v>531.87</v>
      </c>
      <c r="G824" s="7">
        <f aca="true" t="shared" si="41" ref="G824:G830">TRUNC(E824*F824,2)</f>
        <v>531.87</v>
      </c>
      <c r="H824" s="7"/>
      <c r="I824" s="11"/>
    </row>
    <row r="825" spans="1:9" s="203" customFormat="1" ht="15.75">
      <c r="A825" s="31"/>
      <c r="B825" s="32" t="s">
        <v>437</v>
      </c>
      <c r="C825" s="221" t="s">
        <v>438</v>
      </c>
      <c r="D825" s="31" t="s">
        <v>23</v>
      </c>
      <c r="E825" s="33">
        <v>5.4</v>
      </c>
      <c r="F825" s="34">
        <f>TRUNC(26,2)</f>
        <v>26</v>
      </c>
      <c r="G825" s="34">
        <f t="shared" si="41"/>
        <v>140.4</v>
      </c>
      <c r="H825" s="34"/>
      <c r="I825" s="33"/>
    </row>
    <row r="826" spans="1:9" s="203" customFormat="1" ht="15.75">
      <c r="A826" s="31"/>
      <c r="B826" s="32" t="s">
        <v>433</v>
      </c>
      <c r="C826" s="221" t="s">
        <v>434</v>
      </c>
      <c r="D826" s="31" t="s">
        <v>7</v>
      </c>
      <c r="E826" s="33">
        <v>1</v>
      </c>
      <c r="F826" s="34">
        <v>160</v>
      </c>
      <c r="G826" s="34">
        <f t="shared" si="41"/>
        <v>160</v>
      </c>
      <c r="H826" s="34"/>
      <c r="I826" s="33"/>
    </row>
    <row r="827" spans="1:9" ht="30">
      <c r="A827" s="8"/>
      <c r="B827" s="12" t="s">
        <v>410</v>
      </c>
      <c r="C827" s="200" t="s">
        <v>411</v>
      </c>
      <c r="D827" s="8" t="s">
        <v>44</v>
      </c>
      <c r="E827" s="11">
        <v>0.1</v>
      </c>
      <c r="F827" s="7">
        <f>TRUNC(18.29,2)</f>
        <v>18.29</v>
      </c>
      <c r="G827" s="7">
        <f t="shared" si="41"/>
        <v>1.82</v>
      </c>
      <c r="H827" s="7"/>
      <c r="I827" s="11"/>
    </row>
    <row r="828" spans="1:9" ht="30">
      <c r="A828" s="8"/>
      <c r="B828" s="12" t="s">
        <v>45</v>
      </c>
      <c r="C828" s="200" t="s">
        <v>46</v>
      </c>
      <c r="D828" s="8" t="s">
        <v>47</v>
      </c>
      <c r="E828" s="11">
        <v>6.18</v>
      </c>
      <c r="F828" s="7">
        <f>TRUNC(15.87,2)</f>
        <v>15.87</v>
      </c>
      <c r="G828" s="7">
        <f t="shared" si="41"/>
        <v>98.07</v>
      </c>
      <c r="H828" s="7"/>
      <c r="I828" s="11"/>
    </row>
    <row r="829" spans="1:9" ht="30">
      <c r="A829" s="8"/>
      <c r="B829" s="12" t="s">
        <v>412</v>
      </c>
      <c r="C829" s="200" t="s">
        <v>413</v>
      </c>
      <c r="D829" s="8" t="s">
        <v>47</v>
      </c>
      <c r="E829" s="11">
        <v>6.18</v>
      </c>
      <c r="F829" s="7">
        <f>TRUNC(23.62,2)</f>
        <v>23.62</v>
      </c>
      <c r="G829" s="7">
        <f t="shared" si="41"/>
        <v>145.97</v>
      </c>
      <c r="H829" s="7"/>
      <c r="I829" s="11"/>
    </row>
    <row r="830" spans="1:9" ht="15">
      <c r="A830" s="8"/>
      <c r="B830" s="12" t="s">
        <v>414</v>
      </c>
      <c r="C830" s="200" t="s">
        <v>415</v>
      </c>
      <c r="D830" s="8" t="s">
        <v>7</v>
      </c>
      <c r="E830" s="11">
        <v>6</v>
      </c>
      <c r="F830" s="7">
        <f>TRUNC(2.3827,2)</f>
        <v>2.38</v>
      </c>
      <c r="G830" s="7">
        <f t="shared" si="41"/>
        <v>14.28</v>
      </c>
      <c r="H830" s="7"/>
      <c r="I830" s="11"/>
    </row>
    <row r="831" spans="1:9" ht="15">
      <c r="A831" s="8"/>
      <c r="B831" s="12"/>
      <c r="C831" s="200"/>
      <c r="D831" s="8"/>
      <c r="E831" s="11" t="s">
        <v>33</v>
      </c>
      <c r="F831" s="7"/>
      <c r="G831" s="7">
        <f>TRUNC(SUM(G825:G830),2)</f>
        <v>560.54</v>
      </c>
      <c r="H831" s="7"/>
      <c r="I831" s="11"/>
    </row>
    <row r="832" spans="1:9" ht="75">
      <c r="A832" s="103" t="s">
        <v>1396</v>
      </c>
      <c r="B832" s="110" t="s">
        <v>441</v>
      </c>
      <c r="C832" s="210" t="s">
        <v>442</v>
      </c>
      <c r="D832" s="103" t="s">
        <v>17</v>
      </c>
      <c r="E832" s="111">
        <f>2*2.5+1.5*2.5</f>
        <v>8.75</v>
      </c>
      <c r="F832" s="111">
        <f>TRUNC(F833,2)</f>
        <v>1242.23</v>
      </c>
      <c r="G832" s="111">
        <f>TRUNC(F832*1.2882,2)</f>
        <v>1600.24</v>
      </c>
      <c r="H832" s="111">
        <f>TRUNC(F832*E832,2)</f>
        <v>10869.51</v>
      </c>
      <c r="I832" s="111">
        <f>TRUNC(E832*G832,2)</f>
        <v>14002.1</v>
      </c>
    </row>
    <row r="833" spans="1:9" ht="75">
      <c r="A833" s="8"/>
      <c r="B833" s="12" t="s">
        <v>441</v>
      </c>
      <c r="C833" s="200" t="s">
        <v>442</v>
      </c>
      <c r="D833" s="8" t="s">
        <v>17</v>
      </c>
      <c r="E833" s="11">
        <v>1</v>
      </c>
      <c r="F833" s="7">
        <f>TRUNC(1242.234636,2)</f>
        <v>1242.23</v>
      </c>
      <c r="G833" s="7">
        <f>TRUNC(E833*F833,2)</f>
        <v>1242.23</v>
      </c>
      <c r="H833" s="7"/>
      <c r="I833" s="11"/>
    </row>
    <row r="834" spans="1:9" ht="15">
      <c r="A834" s="8"/>
      <c r="B834" s="12" t="s">
        <v>443</v>
      </c>
      <c r="C834" s="200" t="s">
        <v>444</v>
      </c>
      <c r="D834" s="8" t="s">
        <v>44</v>
      </c>
      <c r="E834" s="11">
        <v>7.359999999999999</v>
      </c>
      <c r="F834" s="7">
        <f>TRUNC(13.9926,2)</f>
        <v>13.99</v>
      </c>
      <c r="G834" s="7">
        <f>TRUNC(E834*F834,2)</f>
        <v>102.96</v>
      </c>
      <c r="H834" s="7"/>
      <c r="I834" s="11"/>
    </row>
    <row r="835" spans="1:9" ht="15">
      <c r="A835" s="8"/>
      <c r="B835" s="12" t="s">
        <v>445</v>
      </c>
      <c r="C835" s="200" t="s">
        <v>446</v>
      </c>
      <c r="D835" s="8" t="s">
        <v>44</v>
      </c>
      <c r="E835" s="11">
        <v>30.359999999999996</v>
      </c>
      <c r="F835" s="7">
        <f>TRUNC(9.39,2)</f>
        <v>9.39</v>
      </c>
      <c r="G835" s="7">
        <f>TRUNC(E835*F835,2)</f>
        <v>285.08</v>
      </c>
      <c r="H835" s="7"/>
      <c r="I835" s="11"/>
    </row>
    <row r="836" spans="1:9" ht="30">
      <c r="A836" s="8"/>
      <c r="B836" s="12" t="s">
        <v>45</v>
      </c>
      <c r="C836" s="200" t="s">
        <v>46</v>
      </c>
      <c r="D836" s="8" t="s">
        <v>47</v>
      </c>
      <c r="E836" s="11">
        <v>21.63</v>
      </c>
      <c r="F836" s="7">
        <f>TRUNC(15.87,2)</f>
        <v>15.87</v>
      </c>
      <c r="G836" s="7">
        <f>TRUNC(E836*F836,2)</f>
        <v>343.26</v>
      </c>
      <c r="H836" s="7"/>
      <c r="I836" s="11"/>
    </row>
    <row r="837" spans="1:9" ht="30">
      <c r="A837" s="8"/>
      <c r="B837" s="12" t="s">
        <v>400</v>
      </c>
      <c r="C837" s="200" t="s">
        <v>401</v>
      </c>
      <c r="D837" s="8" t="s">
        <v>47</v>
      </c>
      <c r="E837" s="11">
        <v>21.63</v>
      </c>
      <c r="F837" s="7">
        <f>TRUNC(23.62,2)</f>
        <v>23.62</v>
      </c>
      <c r="G837" s="7">
        <f>TRUNC(E837*F837,2)</f>
        <v>510.9</v>
      </c>
      <c r="H837" s="7"/>
      <c r="I837" s="11"/>
    </row>
    <row r="838" spans="1:9" ht="15">
      <c r="A838" s="8"/>
      <c r="B838" s="12"/>
      <c r="C838" s="200"/>
      <c r="D838" s="8"/>
      <c r="E838" s="11" t="s">
        <v>33</v>
      </c>
      <c r="F838" s="7"/>
      <c r="G838" s="7">
        <f>TRUNC(SUM(G834:G837),2)</f>
        <v>1242.2</v>
      </c>
      <c r="H838" s="7"/>
      <c r="I838" s="11"/>
    </row>
    <row r="839" spans="1:9" ht="60">
      <c r="A839" s="103" t="s">
        <v>1623</v>
      </c>
      <c r="B839" s="110" t="s">
        <v>1624</v>
      </c>
      <c r="C839" s="210" t="s">
        <v>1625</v>
      </c>
      <c r="D839" s="103" t="s">
        <v>17</v>
      </c>
      <c r="E839" s="111">
        <f>19.8*4</f>
        <v>79.2</v>
      </c>
      <c r="F839" s="111">
        <f>TRUNC(F840,2)</f>
        <v>768.97</v>
      </c>
      <c r="G839" s="111">
        <f>TRUNC(F839*1.2882,2)</f>
        <v>990.58</v>
      </c>
      <c r="H839" s="111">
        <f>TRUNC(F839*E839,2)</f>
        <v>60902.42</v>
      </c>
      <c r="I839" s="111">
        <f>TRUNC(E839*G839,2)</f>
        <v>78453.93</v>
      </c>
    </row>
    <row r="840" spans="1:9" ht="60">
      <c r="A840" s="8"/>
      <c r="B840" s="12" t="s">
        <v>1624</v>
      </c>
      <c r="C840" s="200" t="s">
        <v>1625</v>
      </c>
      <c r="D840" s="8" t="s">
        <v>17</v>
      </c>
      <c r="E840" s="11">
        <v>1</v>
      </c>
      <c r="F840" s="7">
        <f>G844</f>
        <v>768.97</v>
      </c>
      <c r="G840" s="7">
        <f>TRUNC(E840*F840,2)</f>
        <v>768.97</v>
      </c>
      <c r="H840" s="7"/>
      <c r="I840" s="11"/>
    </row>
    <row r="841" spans="1:9" ht="30">
      <c r="A841" s="8"/>
      <c r="B841" s="12" t="s">
        <v>1626</v>
      </c>
      <c r="C841" s="200" t="s">
        <v>1627</v>
      </c>
      <c r="D841" s="8" t="s">
        <v>44</v>
      </c>
      <c r="E841" s="11">
        <v>45.216</v>
      </c>
      <c r="F841" s="7">
        <f>TRUNC(10.8,2)</f>
        <v>10.8</v>
      </c>
      <c r="G841" s="7">
        <f>TRUNC(E841*F841,2)</f>
        <v>488.33</v>
      </c>
      <c r="H841" s="7"/>
      <c r="I841" s="11"/>
    </row>
    <row r="842" spans="1:9" ht="30">
      <c r="A842" s="8"/>
      <c r="B842" s="12" t="s">
        <v>45</v>
      </c>
      <c r="C842" s="200" t="s">
        <v>46</v>
      </c>
      <c r="D842" s="8" t="s">
        <v>47</v>
      </c>
      <c r="E842" s="11">
        <v>7.107</v>
      </c>
      <c r="F842" s="7">
        <f>TRUNC(15.87,2)</f>
        <v>15.87</v>
      </c>
      <c r="G842" s="7">
        <f>TRUNC(E842*F842,2)</f>
        <v>112.78</v>
      </c>
      <c r="H842" s="7"/>
      <c r="I842" s="11"/>
    </row>
    <row r="843" spans="1:9" ht="30">
      <c r="A843" s="8"/>
      <c r="B843" s="12" t="s">
        <v>400</v>
      </c>
      <c r="C843" s="200" t="s">
        <v>401</v>
      </c>
      <c r="D843" s="8" t="s">
        <v>47</v>
      </c>
      <c r="E843" s="11">
        <v>7.107</v>
      </c>
      <c r="F843" s="7">
        <f>TRUNC(23.62,2)</f>
        <v>23.62</v>
      </c>
      <c r="G843" s="7">
        <f>TRUNC(E843*F843,2)</f>
        <v>167.86</v>
      </c>
      <c r="H843" s="7"/>
      <c r="I843" s="11"/>
    </row>
    <row r="844" spans="1:9" ht="15">
      <c r="A844" s="8"/>
      <c r="B844" s="12"/>
      <c r="C844" s="200"/>
      <c r="D844" s="8"/>
      <c r="E844" s="11" t="s">
        <v>33</v>
      </c>
      <c r="F844" s="7"/>
      <c r="G844" s="7">
        <f>TRUNC(SUM(G841:G843),2)</f>
        <v>768.97</v>
      </c>
      <c r="H844" s="7"/>
      <c r="I844" s="11"/>
    </row>
    <row r="845" spans="1:9" s="203" customFormat="1" ht="15.75">
      <c r="A845" s="263" t="s">
        <v>18</v>
      </c>
      <c r="B845" s="264"/>
      <c r="C845" s="265"/>
      <c r="D845" s="263"/>
      <c r="E845" s="266"/>
      <c r="F845" s="267"/>
      <c r="G845" s="482" t="s">
        <v>93</v>
      </c>
      <c r="H845" s="483"/>
      <c r="I845" s="267"/>
    </row>
    <row r="846" spans="1:9" ht="14.25" customHeight="1">
      <c r="A846" s="99" t="s">
        <v>24</v>
      </c>
      <c r="B846" s="100"/>
      <c r="C846" s="484" t="s">
        <v>94</v>
      </c>
      <c r="D846" s="484"/>
      <c r="E846" s="484"/>
      <c r="F846" s="484"/>
      <c r="G846" s="484"/>
      <c r="H846" s="484"/>
      <c r="I846" s="484"/>
    </row>
    <row r="847" spans="1:9" s="228" customFormat="1" ht="45">
      <c r="A847" s="103" t="s">
        <v>1234</v>
      </c>
      <c r="B847" s="110" t="s">
        <v>1229</v>
      </c>
      <c r="C847" s="210" t="s">
        <v>1230</v>
      </c>
      <c r="D847" s="103" t="s">
        <v>7</v>
      </c>
      <c r="E847" s="111">
        <v>1</v>
      </c>
      <c r="F847" s="111">
        <f>TRUNC(F848,2)</f>
        <v>554.71</v>
      </c>
      <c r="G847" s="111">
        <f>TRUNC(F847*1.2882,2)</f>
        <v>714.57</v>
      </c>
      <c r="H847" s="111">
        <f>TRUNC(F847*E847,2)</f>
        <v>554.71</v>
      </c>
      <c r="I847" s="111">
        <f>TRUNC(E847*G847,2)</f>
        <v>714.57</v>
      </c>
    </row>
    <row r="848" spans="1:9" s="228" customFormat="1" ht="45">
      <c r="A848" s="8"/>
      <c r="B848" s="12" t="s">
        <v>1229</v>
      </c>
      <c r="C848" s="200" t="s">
        <v>1230</v>
      </c>
      <c r="D848" s="8" t="s">
        <v>7</v>
      </c>
      <c r="E848" s="11">
        <v>1</v>
      </c>
      <c r="F848" s="7">
        <f>G851</f>
        <v>554.71</v>
      </c>
      <c r="G848" s="7">
        <f>TRUNC(E848*F848,2)</f>
        <v>554.71</v>
      </c>
      <c r="H848" s="7"/>
      <c r="I848" s="11"/>
    </row>
    <row r="849" spans="1:9" s="228" customFormat="1" ht="30">
      <c r="A849" s="8"/>
      <c r="B849" s="12" t="s">
        <v>1226</v>
      </c>
      <c r="C849" s="200" t="s">
        <v>1231</v>
      </c>
      <c r="D849" s="8" t="s">
        <v>7</v>
      </c>
      <c r="E849" s="11">
        <v>1</v>
      </c>
      <c r="F849" s="7">
        <f>TRUNC(507.65,2)</f>
        <v>507.65</v>
      </c>
      <c r="G849" s="7">
        <f>TRUNC(E849*F849,2)</f>
        <v>507.65</v>
      </c>
      <c r="H849" s="7"/>
      <c r="I849" s="11"/>
    </row>
    <row r="850" spans="1:9" s="228" customFormat="1" ht="30">
      <c r="A850" s="8"/>
      <c r="B850" s="12" t="s">
        <v>1232</v>
      </c>
      <c r="C850" s="200" t="s">
        <v>1233</v>
      </c>
      <c r="D850" s="8" t="s">
        <v>7</v>
      </c>
      <c r="E850" s="11">
        <v>1</v>
      </c>
      <c r="F850" s="7">
        <f>TRUNC(47.06,2)</f>
        <v>47.06</v>
      </c>
      <c r="G850" s="7">
        <f>TRUNC(E850*F850,2)</f>
        <v>47.06</v>
      </c>
      <c r="H850" s="7"/>
      <c r="I850" s="11"/>
    </row>
    <row r="851" spans="1:9" s="228" customFormat="1" ht="15">
      <c r="A851" s="8"/>
      <c r="B851" s="12"/>
      <c r="C851" s="200"/>
      <c r="D851" s="8"/>
      <c r="E851" s="11" t="s">
        <v>33</v>
      </c>
      <c r="F851" s="7"/>
      <c r="G851" s="7">
        <f>TRUNC(SUM(G849:G850),2)</f>
        <v>554.71</v>
      </c>
      <c r="H851" s="7"/>
      <c r="I851" s="11"/>
    </row>
    <row r="852" spans="1:9" ht="15">
      <c r="A852" s="103" t="s">
        <v>1399</v>
      </c>
      <c r="B852" s="110" t="s">
        <v>1244</v>
      </c>
      <c r="C852" s="210" t="s">
        <v>1245</v>
      </c>
      <c r="D852" s="103" t="s">
        <v>7</v>
      </c>
      <c r="E852" s="111">
        <v>1</v>
      </c>
      <c r="F852" s="111">
        <f>TRUNC(F853,2)</f>
        <v>83.61</v>
      </c>
      <c r="G852" s="111">
        <f>TRUNC(F852*1.2882,2)</f>
        <v>107.7</v>
      </c>
      <c r="H852" s="111">
        <f>TRUNC(F852*E852,2)</f>
        <v>83.61</v>
      </c>
      <c r="I852" s="111">
        <f>TRUNC(E852*G852,2)</f>
        <v>107.7</v>
      </c>
    </row>
    <row r="853" spans="1:9" ht="15">
      <c r="A853" s="8"/>
      <c r="B853" s="12" t="s">
        <v>1244</v>
      </c>
      <c r="C853" s="200" t="s">
        <v>1245</v>
      </c>
      <c r="D853" s="8" t="s">
        <v>7</v>
      </c>
      <c r="E853" s="11">
        <v>1</v>
      </c>
      <c r="F853" s="7">
        <f>G856</f>
        <v>83.61</v>
      </c>
      <c r="G853" s="7">
        <f>TRUNC(E853*F853,2)</f>
        <v>83.61</v>
      </c>
      <c r="H853" s="7"/>
      <c r="I853" s="11"/>
    </row>
    <row r="854" spans="1:9" ht="15">
      <c r="A854" s="8"/>
      <c r="B854" s="12" t="s">
        <v>1246</v>
      </c>
      <c r="C854" s="200" t="s">
        <v>1247</v>
      </c>
      <c r="D854" s="8" t="s">
        <v>7</v>
      </c>
      <c r="E854" s="11">
        <v>1</v>
      </c>
      <c r="F854" s="7">
        <f>TRUNC(83.12,2)</f>
        <v>83.12</v>
      </c>
      <c r="G854" s="7">
        <f>TRUNC(E854*F854,2)</f>
        <v>83.12</v>
      </c>
      <c r="H854" s="7"/>
      <c r="I854" s="11"/>
    </row>
    <row r="855" spans="1:9" ht="30">
      <c r="A855" s="8"/>
      <c r="B855" s="12" t="s">
        <v>45</v>
      </c>
      <c r="C855" s="200" t="s">
        <v>46</v>
      </c>
      <c r="D855" s="8" t="s">
        <v>47</v>
      </c>
      <c r="E855" s="11">
        <v>0.0309</v>
      </c>
      <c r="F855" s="7">
        <f>TRUNC(15.87,2)</f>
        <v>15.87</v>
      </c>
      <c r="G855" s="7">
        <f>TRUNC(E855*F855,2)</f>
        <v>0.49</v>
      </c>
      <c r="H855" s="7"/>
      <c r="I855" s="11"/>
    </row>
    <row r="856" spans="1:9" ht="15">
      <c r="A856" s="8"/>
      <c r="B856" s="12"/>
      <c r="C856" s="200"/>
      <c r="D856" s="8"/>
      <c r="E856" s="11" t="s">
        <v>33</v>
      </c>
      <c r="F856" s="7"/>
      <c r="G856" s="7">
        <f>TRUNC(SUM(G854:G855),2)</f>
        <v>83.61</v>
      </c>
      <c r="H856" s="7"/>
      <c r="I856" s="11"/>
    </row>
    <row r="857" spans="1:9" ht="45">
      <c r="A857" s="103" t="s">
        <v>1400</v>
      </c>
      <c r="B857" s="110" t="s">
        <v>1235</v>
      </c>
      <c r="C857" s="210" t="s">
        <v>1236</v>
      </c>
      <c r="D857" s="103" t="s">
        <v>7</v>
      </c>
      <c r="E857" s="111">
        <v>2</v>
      </c>
      <c r="F857" s="111">
        <f>TRUNC(F858,2)</f>
        <v>800.62</v>
      </c>
      <c r="G857" s="111">
        <f>TRUNC(F857*1.2882,2)</f>
        <v>1031.35</v>
      </c>
      <c r="H857" s="111">
        <f>TRUNC(F857*E857,2)</f>
        <v>1601.24</v>
      </c>
      <c r="I857" s="111">
        <f>TRUNC(E857*G857,2)</f>
        <v>2062.7</v>
      </c>
    </row>
    <row r="858" spans="1:9" ht="45">
      <c r="A858" s="8"/>
      <c r="B858" s="12" t="s">
        <v>1235</v>
      </c>
      <c r="C858" s="200" t="s">
        <v>1236</v>
      </c>
      <c r="D858" s="8" t="s">
        <v>7</v>
      </c>
      <c r="E858" s="11">
        <v>1</v>
      </c>
      <c r="F858" s="7">
        <f>G861</f>
        <v>800.62</v>
      </c>
      <c r="G858" s="7">
        <f>TRUNC(E858*F858,2)</f>
        <v>800.62</v>
      </c>
      <c r="H858" s="7"/>
      <c r="I858" s="11"/>
    </row>
    <row r="859" spans="1:9" ht="30">
      <c r="A859" s="8"/>
      <c r="B859" s="12" t="s">
        <v>1237</v>
      </c>
      <c r="C859" s="200" t="s">
        <v>1238</v>
      </c>
      <c r="D859" s="8" t="s">
        <v>7</v>
      </c>
      <c r="E859" s="11">
        <v>1</v>
      </c>
      <c r="F859" s="7">
        <f>TRUNC(10.57,2)</f>
        <v>10.57</v>
      </c>
      <c r="G859" s="7">
        <f>TRUNC(E859*F859,2)</f>
        <v>10.57</v>
      </c>
      <c r="H859" s="7"/>
      <c r="I859" s="11"/>
    </row>
    <row r="860" spans="1:9" ht="30">
      <c r="A860" s="8"/>
      <c r="B860" s="12" t="s">
        <v>1239</v>
      </c>
      <c r="C860" s="200" t="s">
        <v>1240</v>
      </c>
      <c r="D860" s="8" t="s">
        <v>7</v>
      </c>
      <c r="E860" s="11">
        <v>1</v>
      </c>
      <c r="F860" s="7">
        <f>TRUNC(790.05,2)</f>
        <v>790.05</v>
      </c>
      <c r="G860" s="7">
        <f>TRUNC(E860*F860,2)</f>
        <v>790.05</v>
      </c>
      <c r="H860" s="7"/>
      <c r="I860" s="11"/>
    </row>
    <row r="861" spans="1:9" ht="15">
      <c r="A861" s="8"/>
      <c r="B861" s="12"/>
      <c r="C861" s="200"/>
      <c r="D861" s="8"/>
      <c r="E861" s="11" t="s">
        <v>33</v>
      </c>
      <c r="F861" s="7"/>
      <c r="G861" s="7">
        <f>TRUNC(SUM(G859:G860),2)</f>
        <v>800.62</v>
      </c>
      <c r="H861" s="7"/>
      <c r="I861" s="11"/>
    </row>
    <row r="862" spans="1:9" ht="30">
      <c r="A862" s="103" t="s">
        <v>1402</v>
      </c>
      <c r="B862" s="110" t="s">
        <v>1248</v>
      </c>
      <c r="C862" s="210" t="s">
        <v>1241</v>
      </c>
      <c r="D862" s="103" t="s">
        <v>7</v>
      </c>
      <c r="E862" s="111">
        <v>2</v>
      </c>
      <c r="F862" s="111">
        <f>TRUNC(F863,2)</f>
        <v>101.9</v>
      </c>
      <c r="G862" s="111">
        <f>TRUNC(F862*1.2882,2)</f>
        <v>131.26</v>
      </c>
      <c r="H862" s="111">
        <f>TRUNC(F862*E862,2)</f>
        <v>203.8</v>
      </c>
      <c r="I862" s="111">
        <f>TRUNC(E862*G862,2)</f>
        <v>262.52</v>
      </c>
    </row>
    <row r="863" spans="1:9" ht="30">
      <c r="A863" s="8"/>
      <c r="B863" s="12" t="s">
        <v>1248</v>
      </c>
      <c r="C863" s="200" t="s">
        <v>1241</v>
      </c>
      <c r="D863" s="8" t="s">
        <v>7</v>
      </c>
      <c r="E863" s="11">
        <v>1</v>
      </c>
      <c r="F863" s="7">
        <f>G866</f>
        <v>101.9</v>
      </c>
      <c r="G863" s="7">
        <f>TRUNC(E863*F863,2)</f>
        <v>101.9</v>
      </c>
      <c r="H863" s="7"/>
      <c r="I863" s="11"/>
    </row>
    <row r="864" spans="1:9" ht="30">
      <c r="A864" s="8"/>
      <c r="B864" s="12" t="s">
        <v>1242</v>
      </c>
      <c r="C864" s="200" t="s">
        <v>1243</v>
      </c>
      <c r="D864" s="8" t="s">
        <v>7</v>
      </c>
      <c r="E864" s="11">
        <v>1</v>
      </c>
      <c r="F864" s="7">
        <f>TRUNC(99.13,2)</f>
        <v>99.13</v>
      </c>
      <c r="G864" s="7">
        <f>TRUNC(E864*F864,2)</f>
        <v>99.13</v>
      </c>
      <c r="H864" s="7"/>
      <c r="I864" s="11"/>
    </row>
    <row r="865" spans="1:9" ht="30">
      <c r="A865" s="8"/>
      <c r="B865" s="12" t="s">
        <v>45</v>
      </c>
      <c r="C865" s="200" t="s">
        <v>46</v>
      </c>
      <c r="D865" s="8" t="s">
        <v>47</v>
      </c>
      <c r="E865" s="11">
        <v>0.1751</v>
      </c>
      <c r="F865" s="7">
        <f>TRUNC(15.87,2)</f>
        <v>15.87</v>
      </c>
      <c r="G865" s="7">
        <f>TRUNC(E865*F865,2)</f>
        <v>2.77</v>
      </c>
      <c r="H865" s="7"/>
      <c r="I865" s="11"/>
    </row>
    <row r="866" spans="1:9" ht="15">
      <c r="A866" s="8"/>
      <c r="B866" s="12"/>
      <c r="C866" s="200"/>
      <c r="D866" s="8"/>
      <c r="E866" s="11" t="s">
        <v>33</v>
      </c>
      <c r="F866" s="7"/>
      <c r="G866" s="7">
        <f>TRUNC(SUM(G864:G865),2)</f>
        <v>101.9</v>
      </c>
      <c r="H866" s="7"/>
      <c r="I866" s="11"/>
    </row>
    <row r="867" spans="1:9" ht="60">
      <c r="A867" s="103" t="s">
        <v>1403</v>
      </c>
      <c r="B867" s="110" t="s">
        <v>1249</v>
      </c>
      <c r="C867" s="210" t="s">
        <v>1250</v>
      </c>
      <c r="D867" s="103" t="s">
        <v>7</v>
      </c>
      <c r="E867" s="111">
        <v>3</v>
      </c>
      <c r="F867" s="111">
        <f>TRUNC(F868,2)</f>
        <v>788.38</v>
      </c>
      <c r="G867" s="111">
        <f>TRUNC(F867*1.2882,2)</f>
        <v>1015.59</v>
      </c>
      <c r="H867" s="111">
        <f>TRUNC(F867*E867,2)</f>
        <v>2365.14</v>
      </c>
      <c r="I867" s="111">
        <f>TRUNC(E867*G867,2)</f>
        <v>3046.77</v>
      </c>
    </row>
    <row r="868" spans="1:9" ht="60">
      <c r="A868" s="8"/>
      <c r="B868" s="12" t="s">
        <v>1249</v>
      </c>
      <c r="C868" s="200" t="s">
        <v>1250</v>
      </c>
      <c r="D868" s="8" t="s">
        <v>7</v>
      </c>
      <c r="E868" s="11">
        <v>1</v>
      </c>
      <c r="F868" s="7">
        <f>G874</f>
        <v>788.38</v>
      </c>
      <c r="G868" s="7">
        <f aca="true" t="shared" si="42" ref="G868:G873">TRUNC(E868*F868,2)</f>
        <v>788.38</v>
      </c>
      <c r="H868" s="7"/>
      <c r="I868" s="11"/>
    </row>
    <row r="869" spans="1:9" ht="30">
      <c r="A869" s="8"/>
      <c r="B869" s="12" t="s">
        <v>1251</v>
      </c>
      <c r="C869" s="200" t="s">
        <v>1252</v>
      </c>
      <c r="D869" s="8" t="s">
        <v>7</v>
      </c>
      <c r="E869" s="11">
        <v>1</v>
      </c>
      <c r="F869" s="7">
        <f>TRUNC(124.76,2)</f>
        <v>124.76</v>
      </c>
      <c r="G869" s="7">
        <f t="shared" si="42"/>
        <v>124.76</v>
      </c>
      <c r="H869" s="7"/>
      <c r="I869" s="11"/>
    </row>
    <row r="870" spans="1:9" ht="30">
      <c r="A870" s="8"/>
      <c r="B870" s="12" t="s">
        <v>1253</v>
      </c>
      <c r="C870" s="200" t="s">
        <v>1254</v>
      </c>
      <c r="D870" s="8" t="s">
        <v>7</v>
      </c>
      <c r="E870" s="11">
        <v>1</v>
      </c>
      <c r="F870" s="7">
        <f>TRUNC(383,2)</f>
        <v>383</v>
      </c>
      <c r="G870" s="7">
        <f t="shared" si="42"/>
        <v>383</v>
      </c>
      <c r="H870" s="7"/>
      <c r="I870" s="11"/>
    </row>
    <row r="871" spans="1:9" ht="30">
      <c r="A871" s="8"/>
      <c r="B871" s="12" t="s">
        <v>1232</v>
      </c>
      <c r="C871" s="200" t="s">
        <v>1233</v>
      </c>
      <c r="D871" s="8" t="s">
        <v>7</v>
      </c>
      <c r="E871" s="11">
        <v>1</v>
      </c>
      <c r="F871" s="7">
        <f>TRUNC(47.06,2)</f>
        <v>47.06</v>
      </c>
      <c r="G871" s="7">
        <f t="shared" si="42"/>
        <v>47.06</v>
      </c>
      <c r="H871" s="7"/>
      <c r="I871" s="11"/>
    </row>
    <row r="872" spans="1:9" ht="30">
      <c r="A872" s="8"/>
      <c r="B872" s="12" t="s">
        <v>1255</v>
      </c>
      <c r="C872" s="200" t="s">
        <v>1256</v>
      </c>
      <c r="D872" s="8" t="s">
        <v>7</v>
      </c>
      <c r="E872" s="11">
        <v>1</v>
      </c>
      <c r="F872" s="7">
        <f>TRUNC(175.13,2)</f>
        <v>175.13</v>
      </c>
      <c r="G872" s="7">
        <f t="shared" si="42"/>
        <v>175.13</v>
      </c>
      <c r="H872" s="7"/>
      <c r="I872" s="11"/>
    </row>
    <row r="873" spans="1:9" ht="30">
      <c r="A873" s="8"/>
      <c r="B873" s="12" t="s">
        <v>1257</v>
      </c>
      <c r="C873" s="200" t="s">
        <v>1258</v>
      </c>
      <c r="D873" s="8" t="s">
        <v>7</v>
      </c>
      <c r="E873" s="11">
        <v>1</v>
      </c>
      <c r="F873" s="7">
        <f>TRUNC(58.43,2)</f>
        <v>58.43</v>
      </c>
      <c r="G873" s="7">
        <f t="shared" si="42"/>
        <v>58.43</v>
      </c>
      <c r="H873" s="7"/>
      <c r="I873" s="11"/>
    </row>
    <row r="874" spans="1:9" ht="15">
      <c r="A874" s="8"/>
      <c r="B874" s="12"/>
      <c r="C874" s="200"/>
      <c r="D874" s="8"/>
      <c r="E874" s="11" t="s">
        <v>33</v>
      </c>
      <c r="F874" s="7"/>
      <c r="G874" s="7">
        <f>TRUNC(SUM(G869:G873),2)</f>
        <v>788.38</v>
      </c>
      <c r="H874" s="7"/>
      <c r="I874" s="11"/>
    </row>
    <row r="875" spans="1:9" ht="60">
      <c r="A875" s="103" t="s">
        <v>1404</v>
      </c>
      <c r="B875" s="110" t="s">
        <v>1278</v>
      </c>
      <c r="C875" s="210" t="s">
        <v>1277</v>
      </c>
      <c r="D875" s="103" t="s">
        <v>7</v>
      </c>
      <c r="E875" s="111">
        <v>3</v>
      </c>
      <c r="F875" s="111">
        <f>TRUNC(F876+F879,2)</f>
        <v>201.53</v>
      </c>
      <c r="G875" s="111">
        <f>TRUNC(F875*1.2882,2)</f>
        <v>259.61</v>
      </c>
      <c r="H875" s="111">
        <f>TRUNC(F875*E875,2)</f>
        <v>604.59</v>
      </c>
      <c r="I875" s="111">
        <f>TRUNC(E875*G875,2)</f>
        <v>778.83</v>
      </c>
    </row>
    <row r="876" spans="1:9" ht="45">
      <c r="A876" s="8"/>
      <c r="B876" s="12" t="s">
        <v>1261</v>
      </c>
      <c r="C876" s="200" t="s">
        <v>1262</v>
      </c>
      <c r="D876" s="8" t="s">
        <v>7</v>
      </c>
      <c r="E876" s="11">
        <v>1</v>
      </c>
      <c r="F876" s="7">
        <f>G878</f>
        <v>44.28</v>
      </c>
      <c r="G876" s="7">
        <f>TRUNC(E876*F876,2)</f>
        <v>44.28</v>
      </c>
      <c r="H876" s="7"/>
      <c r="I876" s="11"/>
    </row>
    <row r="877" spans="1:9" ht="15">
      <c r="A877" s="8"/>
      <c r="B877" s="12" t="s">
        <v>1263</v>
      </c>
      <c r="C877" s="200" t="s">
        <v>1264</v>
      </c>
      <c r="D877" s="8" t="s">
        <v>7</v>
      </c>
      <c r="E877" s="11">
        <v>1</v>
      </c>
      <c r="F877" s="7">
        <f>TRUNC(44.28,2)</f>
        <v>44.28</v>
      </c>
      <c r="G877" s="7">
        <f>TRUNC(E877*F877,2)</f>
        <v>44.28</v>
      </c>
      <c r="H877" s="7"/>
      <c r="I877" s="11"/>
    </row>
    <row r="878" spans="1:9" ht="15">
      <c r="A878" s="8"/>
      <c r="B878" s="12"/>
      <c r="C878" s="200"/>
      <c r="D878" s="8"/>
      <c r="E878" s="11" t="s">
        <v>33</v>
      </c>
      <c r="F878" s="7"/>
      <c r="G878" s="7">
        <f>TRUNC(SUM(G877:G877),2)</f>
        <v>44.28</v>
      </c>
      <c r="H878" s="7"/>
      <c r="I878" s="11"/>
    </row>
    <row r="879" spans="1:9" ht="45">
      <c r="A879" s="8"/>
      <c r="B879" s="12" t="s">
        <v>1265</v>
      </c>
      <c r="C879" s="200" t="s">
        <v>1266</v>
      </c>
      <c r="D879" s="8" t="s">
        <v>7</v>
      </c>
      <c r="E879" s="11">
        <v>1</v>
      </c>
      <c r="F879" s="7">
        <f>G889</f>
        <v>157.25</v>
      </c>
      <c r="G879" s="7">
        <f aca="true" t="shared" si="43" ref="G879:G888">TRUNC(E879*F879,2)</f>
        <v>157.25</v>
      </c>
      <c r="H879" s="7"/>
      <c r="I879" s="11"/>
    </row>
    <row r="880" spans="1:9" ht="15">
      <c r="A880" s="8"/>
      <c r="B880" s="12" t="s">
        <v>1267</v>
      </c>
      <c r="C880" s="200" t="s">
        <v>1268</v>
      </c>
      <c r="D880" s="8" t="s">
        <v>7</v>
      </c>
      <c r="E880" s="11">
        <v>1</v>
      </c>
      <c r="F880" s="7">
        <f>TRUNC(5.58,2)</f>
        <v>5.58</v>
      </c>
      <c r="G880" s="7">
        <f t="shared" si="43"/>
        <v>5.58</v>
      </c>
      <c r="H880" s="7"/>
      <c r="I880" s="11"/>
    </row>
    <row r="881" spans="1:9" ht="15">
      <c r="A881" s="8"/>
      <c r="B881" s="12" t="s">
        <v>1269</v>
      </c>
      <c r="C881" s="200" t="s">
        <v>1270</v>
      </c>
      <c r="D881" s="8" t="s">
        <v>7</v>
      </c>
      <c r="E881" s="11">
        <v>1</v>
      </c>
      <c r="F881" s="7">
        <f>TRUNC(0.62,2)</f>
        <v>0.62</v>
      </c>
      <c r="G881" s="7">
        <f t="shared" si="43"/>
        <v>0.62</v>
      </c>
      <c r="H881" s="7"/>
      <c r="I881" s="11"/>
    </row>
    <row r="882" spans="1:9" ht="15">
      <c r="A882" s="8"/>
      <c r="B882" s="12" t="s">
        <v>1271</v>
      </c>
      <c r="C882" s="200" t="s">
        <v>1272</v>
      </c>
      <c r="D882" s="8" t="s">
        <v>7</v>
      </c>
      <c r="E882" s="11">
        <v>1</v>
      </c>
      <c r="F882" s="7">
        <f>TRUNC(1.39,2)</f>
        <v>1.39</v>
      </c>
      <c r="G882" s="7">
        <f t="shared" si="43"/>
        <v>1.39</v>
      </c>
      <c r="H882" s="7"/>
      <c r="I882" s="11"/>
    </row>
    <row r="883" spans="1:9" ht="30">
      <c r="A883" s="8"/>
      <c r="B883" s="12" t="s">
        <v>1273</v>
      </c>
      <c r="C883" s="200" t="s">
        <v>1274</v>
      </c>
      <c r="D883" s="8" t="s">
        <v>7</v>
      </c>
      <c r="E883" s="11">
        <v>0.03</v>
      </c>
      <c r="F883" s="7">
        <f>TRUNC(56.59,2)</f>
        <v>56.59</v>
      </c>
      <c r="G883" s="7">
        <f t="shared" si="43"/>
        <v>1.69</v>
      </c>
      <c r="H883" s="7"/>
      <c r="I883" s="11"/>
    </row>
    <row r="884" spans="1:9" ht="15">
      <c r="A884" s="8"/>
      <c r="B884" s="12" t="s">
        <v>1275</v>
      </c>
      <c r="C884" s="200" t="s">
        <v>1276</v>
      </c>
      <c r="D884" s="8" t="s">
        <v>7</v>
      </c>
      <c r="E884" s="11">
        <v>0.5</v>
      </c>
      <c r="F884" s="7">
        <f>TRUNC(20.97,2)</f>
        <v>20.97</v>
      </c>
      <c r="G884" s="7">
        <f t="shared" si="43"/>
        <v>10.48</v>
      </c>
      <c r="H884" s="7"/>
      <c r="I884" s="11"/>
    </row>
    <row r="885" spans="1:9" ht="15">
      <c r="A885" s="8"/>
      <c r="B885" s="12" t="s">
        <v>1066</v>
      </c>
      <c r="C885" s="200" t="s">
        <v>1067</v>
      </c>
      <c r="D885" s="8" t="s">
        <v>7</v>
      </c>
      <c r="E885" s="11">
        <v>0.2</v>
      </c>
      <c r="F885" s="7">
        <f>TRUNC(1.43,2)</f>
        <v>1.43</v>
      </c>
      <c r="G885" s="7">
        <f t="shared" si="43"/>
        <v>0.28</v>
      </c>
      <c r="H885" s="7"/>
      <c r="I885" s="11"/>
    </row>
    <row r="886" spans="1:9" ht="15">
      <c r="A886" s="8"/>
      <c r="B886" s="12" t="s">
        <v>97</v>
      </c>
      <c r="C886" s="200" t="s">
        <v>98</v>
      </c>
      <c r="D886" s="8" t="s">
        <v>7</v>
      </c>
      <c r="E886" s="11">
        <v>0.2</v>
      </c>
      <c r="F886" s="7">
        <f>TRUNC(4.24,2)</f>
        <v>4.24</v>
      </c>
      <c r="G886" s="7">
        <f t="shared" si="43"/>
        <v>0.84</v>
      </c>
      <c r="H886" s="7"/>
      <c r="I886" s="11"/>
    </row>
    <row r="887" spans="1:9" ht="30">
      <c r="A887" s="8"/>
      <c r="B887" s="12" t="s">
        <v>45</v>
      </c>
      <c r="C887" s="200" t="s">
        <v>46</v>
      </c>
      <c r="D887" s="8" t="s">
        <v>47</v>
      </c>
      <c r="E887" s="11">
        <v>3.605</v>
      </c>
      <c r="F887" s="7">
        <f>TRUNC(15.87,2)</f>
        <v>15.87</v>
      </c>
      <c r="G887" s="7">
        <f t="shared" si="43"/>
        <v>57.21</v>
      </c>
      <c r="H887" s="7"/>
      <c r="I887" s="11"/>
    </row>
    <row r="888" spans="1:9" ht="30">
      <c r="A888" s="8"/>
      <c r="B888" s="12" t="s">
        <v>58</v>
      </c>
      <c r="C888" s="200" t="s">
        <v>59</v>
      </c>
      <c r="D888" s="8" t="s">
        <v>47</v>
      </c>
      <c r="E888" s="11">
        <v>3.605</v>
      </c>
      <c r="F888" s="7">
        <f>TRUNC(21.96,2)</f>
        <v>21.96</v>
      </c>
      <c r="G888" s="7">
        <f t="shared" si="43"/>
        <v>79.16</v>
      </c>
      <c r="H888" s="7"/>
      <c r="I888" s="11"/>
    </row>
    <row r="889" spans="1:9" ht="15">
      <c r="A889" s="8"/>
      <c r="B889" s="12"/>
      <c r="C889" s="200"/>
      <c r="D889" s="8"/>
      <c r="E889" s="11" t="s">
        <v>33</v>
      </c>
      <c r="F889" s="7"/>
      <c r="G889" s="7">
        <f>TRUNC(SUM(G880:G888),2)</f>
        <v>157.25</v>
      </c>
      <c r="H889" s="7"/>
      <c r="I889" s="11"/>
    </row>
    <row r="890" spans="1:9" ht="30">
      <c r="A890" s="103" t="s">
        <v>1405</v>
      </c>
      <c r="B890" s="110" t="s">
        <v>1279</v>
      </c>
      <c r="C890" s="210" t="s">
        <v>1280</v>
      </c>
      <c r="D890" s="103" t="s">
        <v>7</v>
      </c>
      <c r="E890" s="111">
        <v>6</v>
      </c>
      <c r="F890" s="111">
        <f>TRUNC(F891,2)</f>
        <v>290.14</v>
      </c>
      <c r="G890" s="111">
        <f>TRUNC(F890*1.2882,2)</f>
        <v>373.75</v>
      </c>
      <c r="H890" s="111">
        <f>TRUNC(F890*E890,2)</f>
        <v>1740.84</v>
      </c>
      <c r="I890" s="111">
        <f>TRUNC(E890*G890,2)</f>
        <v>2242.5</v>
      </c>
    </row>
    <row r="891" spans="1:9" ht="30">
      <c r="A891" s="8"/>
      <c r="B891" s="12" t="s">
        <v>1279</v>
      </c>
      <c r="C891" s="200" t="s">
        <v>1280</v>
      </c>
      <c r="D891" s="8" t="s">
        <v>7</v>
      </c>
      <c r="E891" s="11">
        <v>1</v>
      </c>
      <c r="F891" s="7">
        <f>G896</f>
        <v>290.14</v>
      </c>
      <c r="G891" s="7">
        <f>TRUNC(E891*F891,2)</f>
        <v>290.14</v>
      </c>
      <c r="H891" s="7"/>
      <c r="I891" s="11"/>
    </row>
    <row r="892" spans="1:9" ht="15">
      <c r="A892" s="8"/>
      <c r="B892" s="12" t="s">
        <v>1281</v>
      </c>
      <c r="C892" s="200" t="s">
        <v>1282</v>
      </c>
      <c r="D892" s="8" t="s">
        <v>7</v>
      </c>
      <c r="E892" s="11">
        <v>1</v>
      </c>
      <c r="F892" s="7">
        <f>TRUNC(125.9,2)</f>
        <v>125.9</v>
      </c>
      <c r="G892" s="7">
        <f>TRUNC(E892*F892,2)</f>
        <v>125.9</v>
      </c>
      <c r="H892" s="7"/>
      <c r="I892" s="11"/>
    </row>
    <row r="893" spans="1:9" ht="30">
      <c r="A893" s="8"/>
      <c r="B893" s="12" t="s">
        <v>1283</v>
      </c>
      <c r="C893" s="200" t="s">
        <v>1284</v>
      </c>
      <c r="D893" s="8" t="s">
        <v>7</v>
      </c>
      <c r="E893" s="11">
        <v>6</v>
      </c>
      <c r="F893" s="7">
        <f>TRUNC(21.57,2)</f>
        <v>21.57</v>
      </c>
      <c r="G893" s="7">
        <f>TRUNC(E893*F893,2)</f>
        <v>129.42</v>
      </c>
      <c r="H893" s="7"/>
      <c r="I893" s="11"/>
    </row>
    <row r="894" spans="1:9" ht="15">
      <c r="A894" s="8"/>
      <c r="B894" s="12" t="s">
        <v>49</v>
      </c>
      <c r="C894" s="200" t="s">
        <v>50</v>
      </c>
      <c r="D894" s="8" t="s">
        <v>47</v>
      </c>
      <c r="E894" s="11">
        <v>0.2988</v>
      </c>
      <c r="F894" s="7">
        <f>TRUNC(23.64,2)</f>
        <v>23.64</v>
      </c>
      <c r="G894" s="7">
        <f>TRUNC(E894*F894,2)</f>
        <v>7.06</v>
      </c>
      <c r="H894" s="7"/>
      <c r="I894" s="11"/>
    </row>
    <row r="895" spans="1:9" ht="15">
      <c r="A895" s="8"/>
      <c r="B895" s="12" t="s">
        <v>71</v>
      </c>
      <c r="C895" s="200" t="s">
        <v>72</v>
      </c>
      <c r="D895" s="8" t="s">
        <v>47</v>
      </c>
      <c r="E895" s="11">
        <v>0.9485</v>
      </c>
      <c r="F895" s="7">
        <f>TRUNC(29.27,2)</f>
        <v>29.27</v>
      </c>
      <c r="G895" s="7">
        <f>TRUNC(E895*F895,2)</f>
        <v>27.76</v>
      </c>
      <c r="H895" s="7"/>
      <c r="I895" s="11"/>
    </row>
    <row r="896" spans="1:9" ht="15">
      <c r="A896" s="8"/>
      <c r="B896" s="12"/>
      <c r="C896" s="200"/>
      <c r="D896" s="8"/>
      <c r="E896" s="11" t="s">
        <v>33</v>
      </c>
      <c r="F896" s="7"/>
      <c r="G896" s="7">
        <f>TRUNC(SUM(G892:G895),2)</f>
        <v>290.14</v>
      </c>
      <c r="H896" s="7"/>
      <c r="I896" s="11"/>
    </row>
    <row r="897" spans="1:9" ht="30">
      <c r="A897" s="103" t="s">
        <v>1406</v>
      </c>
      <c r="B897" s="110" t="s">
        <v>1285</v>
      </c>
      <c r="C897" s="210" t="s">
        <v>1286</v>
      </c>
      <c r="D897" s="103" t="s">
        <v>7</v>
      </c>
      <c r="E897" s="111">
        <v>2</v>
      </c>
      <c r="F897" s="111">
        <f>TRUNC(G898,2)</f>
        <v>448.79</v>
      </c>
      <c r="G897" s="111">
        <f>TRUNC(F897*1.2882,2)</f>
        <v>578.13</v>
      </c>
      <c r="H897" s="111">
        <f>TRUNC(F897*E897,2)</f>
        <v>897.58</v>
      </c>
      <c r="I897" s="111">
        <f>TRUNC(E897*G897,2)</f>
        <v>1156.26</v>
      </c>
    </row>
    <row r="898" spans="1:9" ht="30">
      <c r="A898" s="8"/>
      <c r="B898" s="12" t="s">
        <v>1285</v>
      </c>
      <c r="C898" s="200" t="s">
        <v>1286</v>
      </c>
      <c r="D898" s="8" t="s">
        <v>7</v>
      </c>
      <c r="E898" s="11">
        <v>1</v>
      </c>
      <c r="F898" s="7">
        <f>G902</f>
        <v>448.79</v>
      </c>
      <c r="G898" s="34">
        <f>TRUNC(E898*F898,2)</f>
        <v>448.79</v>
      </c>
      <c r="H898" s="7"/>
      <c r="I898" s="11"/>
    </row>
    <row r="899" spans="1:9" ht="30">
      <c r="A899" s="8"/>
      <c r="B899" s="12" t="s">
        <v>1287</v>
      </c>
      <c r="C899" s="200" t="s">
        <v>1288</v>
      </c>
      <c r="D899" s="8" t="s">
        <v>7</v>
      </c>
      <c r="E899" s="11">
        <v>1</v>
      </c>
      <c r="F899" s="7">
        <f>TRUNC(210.78,2)</f>
        <v>210.78</v>
      </c>
      <c r="G899" s="34">
        <f>TRUNC(E899*F899,2)</f>
        <v>210.78</v>
      </c>
      <c r="H899" s="7"/>
      <c r="I899" s="11"/>
    </row>
    <row r="900" spans="1:9" ht="30">
      <c r="A900" s="8"/>
      <c r="B900" s="12" t="s">
        <v>1255</v>
      </c>
      <c r="C900" s="200" t="s">
        <v>1256</v>
      </c>
      <c r="D900" s="8" t="s">
        <v>7</v>
      </c>
      <c r="E900" s="11">
        <v>1</v>
      </c>
      <c r="F900" s="7">
        <f>TRUNC(175.13,2)</f>
        <v>175.13</v>
      </c>
      <c r="G900" s="34">
        <f>TRUNC(E900*F900,2)</f>
        <v>175.13</v>
      </c>
      <c r="H900" s="7"/>
      <c r="I900" s="11"/>
    </row>
    <row r="901" spans="1:9" ht="30">
      <c r="A901" s="8"/>
      <c r="B901" s="12" t="s">
        <v>1289</v>
      </c>
      <c r="C901" s="200" t="s">
        <v>1290</v>
      </c>
      <c r="D901" s="8" t="s">
        <v>7</v>
      </c>
      <c r="E901" s="11">
        <v>1</v>
      </c>
      <c r="F901" s="7">
        <f>TRUNC(62.88,2)</f>
        <v>62.88</v>
      </c>
      <c r="G901" s="34">
        <f>TRUNC(E901*F901,2)</f>
        <v>62.88</v>
      </c>
      <c r="H901" s="7"/>
      <c r="I901" s="11"/>
    </row>
    <row r="902" spans="1:9" ht="15.75">
      <c r="A902" s="8"/>
      <c r="B902" s="12"/>
      <c r="C902" s="200"/>
      <c r="D902" s="8"/>
      <c r="E902" s="11" t="s">
        <v>33</v>
      </c>
      <c r="F902" s="7"/>
      <c r="G902" s="34">
        <f>TRUNC(SUM(G899:G901),2)</f>
        <v>448.79</v>
      </c>
      <c r="H902" s="7"/>
      <c r="I902" s="11"/>
    </row>
    <row r="903" spans="1:9" ht="30">
      <c r="A903" s="103" t="s">
        <v>1409</v>
      </c>
      <c r="B903" s="110" t="s">
        <v>1291</v>
      </c>
      <c r="C903" s="210" t="s">
        <v>1292</v>
      </c>
      <c r="D903" s="103" t="s">
        <v>7</v>
      </c>
      <c r="E903" s="111">
        <v>2</v>
      </c>
      <c r="F903" s="111">
        <f>TRUNC(G904,2)</f>
        <v>111.71</v>
      </c>
      <c r="G903" s="111">
        <f>TRUNC(F903*1.2882,2)</f>
        <v>143.9</v>
      </c>
      <c r="H903" s="111">
        <f>TRUNC(F903*E903,2)</f>
        <v>223.42</v>
      </c>
      <c r="I903" s="111">
        <f>TRUNC(E903*G903,2)</f>
        <v>287.8</v>
      </c>
    </row>
    <row r="904" spans="1:9" ht="30">
      <c r="A904" s="8"/>
      <c r="B904" s="12" t="s">
        <v>1291</v>
      </c>
      <c r="C904" s="200" t="s">
        <v>1292</v>
      </c>
      <c r="D904" s="8" t="s">
        <v>7</v>
      </c>
      <c r="E904" s="11">
        <v>1</v>
      </c>
      <c r="F904" s="7">
        <f>TRUNC(111.711186,2)</f>
        <v>111.71</v>
      </c>
      <c r="G904" s="34">
        <f>TRUNC(E904*F904,2)</f>
        <v>111.71</v>
      </c>
      <c r="H904" s="7"/>
      <c r="I904" s="11"/>
    </row>
    <row r="905" spans="1:9" ht="30">
      <c r="A905" s="8"/>
      <c r="B905" s="12" t="s">
        <v>1293</v>
      </c>
      <c r="C905" s="200" t="s">
        <v>1294</v>
      </c>
      <c r="D905" s="8" t="s">
        <v>7</v>
      </c>
      <c r="E905" s="11">
        <v>1</v>
      </c>
      <c r="F905" s="7">
        <f>TRUNC(107.37,2)</f>
        <v>107.37</v>
      </c>
      <c r="G905" s="34">
        <f>TRUNC(E905*F905,2)</f>
        <v>107.37</v>
      </c>
      <c r="H905" s="7"/>
      <c r="I905" s="11"/>
    </row>
    <row r="906" spans="1:9" ht="15.75">
      <c r="A906" s="8"/>
      <c r="B906" s="12" t="s">
        <v>1259</v>
      </c>
      <c r="C906" s="200" t="s">
        <v>1260</v>
      </c>
      <c r="D906" s="8" t="s">
        <v>7</v>
      </c>
      <c r="E906" s="11">
        <v>0.021</v>
      </c>
      <c r="F906" s="7">
        <f>TRUNC(3.17,2)</f>
        <v>3.17</v>
      </c>
      <c r="G906" s="34">
        <f>TRUNC(E906*F906,2)</f>
        <v>0.06</v>
      </c>
      <c r="H906" s="7"/>
      <c r="I906" s="11"/>
    </row>
    <row r="907" spans="1:9" ht="15.75">
      <c r="A907" s="8"/>
      <c r="B907" s="12" t="s">
        <v>49</v>
      </c>
      <c r="C907" s="200" t="s">
        <v>50</v>
      </c>
      <c r="D907" s="8" t="s">
        <v>47</v>
      </c>
      <c r="E907" s="11">
        <v>0.0367</v>
      </c>
      <c r="F907" s="7">
        <f>TRUNC(23.64,2)</f>
        <v>23.64</v>
      </c>
      <c r="G907" s="34">
        <f>TRUNC(E907*F907,2)</f>
        <v>0.86</v>
      </c>
      <c r="H907" s="7"/>
      <c r="I907" s="11"/>
    </row>
    <row r="908" spans="1:9" ht="15.75">
      <c r="A908" s="8"/>
      <c r="B908" s="12" t="s">
        <v>71</v>
      </c>
      <c r="C908" s="200" t="s">
        <v>72</v>
      </c>
      <c r="D908" s="8" t="s">
        <v>47</v>
      </c>
      <c r="E908" s="11">
        <v>0.1164</v>
      </c>
      <c r="F908" s="7">
        <f>TRUNC(29.27,2)</f>
        <v>29.27</v>
      </c>
      <c r="G908" s="34">
        <f>TRUNC(E908*F908,2)</f>
        <v>3.4</v>
      </c>
      <c r="H908" s="7"/>
      <c r="I908" s="11"/>
    </row>
    <row r="909" spans="1:9" ht="15.75">
      <c r="A909" s="8"/>
      <c r="B909" s="12"/>
      <c r="C909" s="200"/>
      <c r="D909" s="8"/>
      <c r="E909" s="11" t="s">
        <v>33</v>
      </c>
      <c r="F909" s="7"/>
      <c r="G909" s="34">
        <f>TRUNC(SUM(G905:G908),2)</f>
        <v>111.69</v>
      </c>
      <c r="H909" s="7"/>
      <c r="I909" s="11"/>
    </row>
    <row r="910" spans="1:9" s="228" customFormat="1" ht="30">
      <c r="A910" s="103" t="s">
        <v>1410</v>
      </c>
      <c r="B910" s="110" t="s">
        <v>1317</v>
      </c>
      <c r="C910" s="210" t="s">
        <v>1321</v>
      </c>
      <c r="D910" s="103" t="s">
        <v>7</v>
      </c>
      <c r="E910" s="111">
        <v>2</v>
      </c>
      <c r="F910" s="111">
        <f>TRUNC(F911,2)</f>
        <v>61.97</v>
      </c>
      <c r="G910" s="111">
        <f>TRUNC(F910*1.2882,2)</f>
        <v>79.82</v>
      </c>
      <c r="H910" s="111">
        <f>TRUNC(F910*E910,2)</f>
        <v>123.94</v>
      </c>
      <c r="I910" s="111">
        <f>TRUNC(E910*G910,2)</f>
        <v>159.64</v>
      </c>
    </row>
    <row r="911" spans="1:9" ht="30">
      <c r="A911" s="8"/>
      <c r="B911" s="12" t="s">
        <v>1317</v>
      </c>
      <c r="C911" s="200" t="s">
        <v>1318</v>
      </c>
      <c r="D911" s="8" t="s">
        <v>7</v>
      </c>
      <c r="E911" s="11">
        <v>1</v>
      </c>
      <c r="F911" s="7">
        <f>TRUNC(61.97714956,2)</f>
        <v>61.97</v>
      </c>
      <c r="G911" s="7">
        <f>TRUNC(E911*F911,2)</f>
        <v>61.97</v>
      </c>
      <c r="H911" s="7"/>
      <c r="I911" s="11"/>
    </row>
    <row r="912" spans="1:9" ht="15">
      <c r="A912" s="8"/>
      <c r="B912" s="12" t="s">
        <v>1319</v>
      </c>
      <c r="C912" s="200" t="s">
        <v>1320</v>
      </c>
      <c r="D912" s="8" t="s">
        <v>7</v>
      </c>
      <c r="E912" s="11">
        <v>1</v>
      </c>
      <c r="F912" s="7">
        <f>TRUNC(25.99,2)</f>
        <v>25.99</v>
      </c>
      <c r="G912" s="7">
        <f>TRUNC(E912*F912,2)</f>
        <v>25.99</v>
      </c>
      <c r="H912" s="7"/>
      <c r="I912" s="11"/>
    </row>
    <row r="913" spans="1:9" ht="30">
      <c r="A913" s="8"/>
      <c r="B913" s="12" t="s">
        <v>45</v>
      </c>
      <c r="C913" s="200" t="s">
        <v>46</v>
      </c>
      <c r="D913" s="8" t="s">
        <v>47</v>
      </c>
      <c r="E913" s="11">
        <v>0.9064</v>
      </c>
      <c r="F913" s="7">
        <f>TRUNC(15.87,2)</f>
        <v>15.87</v>
      </c>
      <c r="G913" s="7">
        <f>TRUNC(E913*F913,2)</f>
        <v>14.38</v>
      </c>
      <c r="H913" s="7"/>
      <c r="I913" s="11"/>
    </row>
    <row r="914" spans="1:9" ht="30">
      <c r="A914" s="8"/>
      <c r="B914" s="12" t="s">
        <v>566</v>
      </c>
      <c r="C914" s="200" t="s">
        <v>567</v>
      </c>
      <c r="D914" s="8" t="s">
        <v>47</v>
      </c>
      <c r="E914" s="11">
        <v>0.9064</v>
      </c>
      <c r="F914" s="7">
        <f>TRUNC(21.96,2)</f>
        <v>21.96</v>
      </c>
      <c r="G914" s="7">
        <f>TRUNC(E914*F914,2)</f>
        <v>19.9</v>
      </c>
      <c r="H914" s="7"/>
      <c r="I914" s="11"/>
    </row>
    <row r="915" spans="1:9" ht="15">
      <c r="A915" s="8"/>
      <c r="B915" s="12" t="s">
        <v>1315</v>
      </c>
      <c r="C915" s="200" t="s">
        <v>1316</v>
      </c>
      <c r="D915" s="8" t="s">
        <v>48</v>
      </c>
      <c r="E915" s="11">
        <v>0.0036</v>
      </c>
      <c r="F915" s="7">
        <f>TRUNC(471.6771,2)</f>
        <v>471.67</v>
      </c>
      <c r="G915" s="7">
        <f>TRUNC(E915*F915,2)</f>
        <v>1.69</v>
      </c>
      <c r="H915" s="7"/>
      <c r="I915" s="11"/>
    </row>
    <row r="916" spans="1:9" ht="15">
      <c r="A916" s="8"/>
      <c r="B916" s="12"/>
      <c r="C916" s="200"/>
      <c r="D916" s="8"/>
      <c r="E916" s="11" t="s">
        <v>33</v>
      </c>
      <c r="F916" s="7"/>
      <c r="G916" s="7">
        <f>TRUNC(SUM(G912:G915),2)</f>
        <v>61.96</v>
      </c>
      <c r="H916" s="7"/>
      <c r="I916" s="11"/>
    </row>
    <row r="917" spans="1:9" ht="15">
      <c r="A917" s="8"/>
      <c r="B917" s="12" t="s">
        <v>1313</v>
      </c>
      <c r="C917" s="200" t="s">
        <v>1314</v>
      </c>
      <c r="D917" s="8" t="s">
        <v>7</v>
      </c>
      <c r="E917" s="11">
        <v>1</v>
      </c>
      <c r="F917" s="7">
        <f>TRUNC(101.02,2)</f>
        <v>101.02</v>
      </c>
      <c r="G917" s="7">
        <f>TRUNC(E917*F917,2)</f>
        <v>101.02</v>
      </c>
      <c r="H917" s="7"/>
      <c r="I917" s="11"/>
    </row>
    <row r="918" spans="1:9" ht="30">
      <c r="A918" s="8"/>
      <c r="B918" s="12" t="s">
        <v>45</v>
      </c>
      <c r="C918" s="200" t="s">
        <v>46</v>
      </c>
      <c r="D918" s="8" t="s">
        <v>47</v>
      </c>
      <c r="E918" s="11">
        <v>0.99704</v>
      </c>
      <c r="F918" s="7">
        <f>TRUNC(15.87,2)</f>
        <v>15.87</v>
      </c>
      <c r="G918" s="7">
        <f>TRUNC(E918*F918,2)</f>
        <v>15.82</v>
      </c>
      <c r="H918" s="7"/>
      <c r="I918" s="11"/>
    </row>
    <row r="919" spans="1:9" ht="30">
      <c r="A919" s="8"/>
      <c r="B919" s="12" t="s">
        <v>566</v>
      </c>
      <c r="C919" s="200" t="s">
        <v>567</v>
      </c>
      <c r="D919" s="8" t="s">
        <v>47</v>
      </c>
      <c r="E919" s="11">
        <v>0.99704</v>
      </c>
      <c r="F919" s="7">
        <f>TRUNC(21.96,2)</f>
        <v>21.96</v>
      </c>
      <c r="G919" s="7">
        <f>TRUNC(E919*F919,2)</f>
        <v>21.89</v>
      </c>
      <c r="H919" s="7"/>
      <c r="I919" s="11"/>
    </row>
    <row r="920" spans="1:9" ht="15">
      <c r="A920" s="8"/>
      <c r="B920" s="12" t="s">
        <v>1315</v>
      </c>
      <c r="C920" s="200" t="s">
        <v>1316</v>
      </c>
      <c r="D920" s="8" t="s">
        <v>48</v>
      </c>
      <c r="E920" s="11">
        <v>0.0098</v>
      </c>
      <c r="F920" s="7">
        <f>TRUNC(471.6771,2)</f>
        <v>471.67</v>
      </c>
      <c r="G920" s="7">
        <f>TRUNC(E920*F920,2)</f>
        <v>4.62</v>
      </c>
      <c r="H920" s="7"/>
      <c r="I920" s="11"/>
    </row>
    <row r="921" spans="1:9" ht="15">
      <c r="A921" s="8"/>
      <c r="B921" s="12"/>
      <c r="C921" s="200"/>
      <c r="D921" s="8"/>
      <c r="E921" s="11" t="s">
        <v>33</v>
      </c>
      <c r="F921" s="7"/>
      <c r="G921" s="7">
        <f>TRUNC(SUM(G917:G920),2)</f>
        <v>143.35</v>
      </c>
      <c r="H921" s="7"/>
      <c r="I921" s="11"/>
    </row>
    <row r="922" spans="1:9" ht="30">
      <c r="A922" s="103" t="s">
        <v>1411</v>
      </c>
      <c r="B922" s="110" t="s">
        <v>1295</v>
      </c>
      <c r="C922" s="210" t="s">
        <v>1296</v>
      </c>
      <c r="D922" s="103" t="s">
        <v>7</v>
      </c>
      <c r="E922" s="111">
        <v>1</v>
      </c>
      <c r="F922" s="111">
        <f>TRUNC(F923,2)</f>
        <v>752.92</v>
      </c>
      <c r="G922" s="111">
        <f>TRUNC(F922*1.2882,2)</f>
        <v>969.91</v>
      </c>
      <c r="H922" s="111">
        <f>TRUNC(F922*E922,2)</f>
        <v>752.92</v>
      </c>
      <c r="I922" s="111">
        <f>TRUNC(E922*G922,2)</f>
        <v>969.91</v>
      </c>
    </row>
    <row r="923" spans="1:9" ht="30">
      <c r="A923" s="8"/>
      <c r="B923" s="12" t="s">
        <v>1295</v>
      </c>
      <c r="C923" s="200" t="s">
        <v>1296</v>
      </c>
      <c r="D923" s="8" t="s">
        <v>7</v>
      </c>
      <c r="E923" s="11">
        <v>1</v>
      </c>
      <c r="F923" s="7">
        <f>G929</f>
        <v>752.92</v>
      </c>
      <c r="G923" s="7">
        <f aca="true" t="shared" si="44" ref="G923:G928">TRUNC(E923*F923,2)</f>
        <v>752.92</v>
      </c>
      <c r="H923" s="7"/>
      <c r="I923" s="11"/>
    </row>
    <row r="924" spans="1:9" ht="15">
      <c r="A924" s="8"/>
      <c r="B924" s="12" t="s">
        <v>1227</v>
      </c>
      <c r="C924" s="200" t="s">
        <v>1228</v>
      </c>
      <c r="D924" s="8" t="s">
        <v>44</v>
      </c>
      <c r="E924" s="11">
        <v>0.0702</v>
      </c>
      <c r="F924" s="7">
        <f>TRUNC(86.57,2)</f>
        <v>86.57</v>
      </c>
      <c r="G924" s="7">
        <f t="shared" si="44"/>
        <v>6.07</v>
      </c>
      <c r="H924" s="7"/>
      <c r="I924" s="11"/>
    </row>
    <row r="925" spans="1:9" ht="15">
      <c r="A925" s="8"/>
      <c r="B925" s="12" t="s">
        <v>1297</v>
      </c>
      <c r="C925" s="200" t="s">
        <v>1298</v>
      </c>
      <c r="D925" s="8" t="s">
        <v>7</v>
      </c>
      <c r="E925" s="11">
        <v>1</v>
      </c>
      <c r="F925" s="7">
        <f>TRUNC(548.85,2)</f>
        <v>548.85</v>
      </c>
      <c r="G925" s="7">
        <f t="shared" si="44"/>
        <v>548.85</v>
      </c>
      <c r="H925" s="7"/>
      <c r="I925" s="11"/>
    </row>
    <row r="926" spans="1:9" ht="30">
      <c r="A926" s="8"/>
      <c r="B926" s="12" t="s">
        <v>1283</v>
      </c>
      <c r="C926" s="200" t="s">
        <v>1284</v>
      </c>
      <c r="D926" s="8" t="s">
        <v>7</v>
      </c>
      <c r="E926" s="11">
        <v>6</v>
      </c>
      <c r="F926" s="7">
        <f>TRUNC(21.57,2)</f>
        <v>21.57</v>
      </c>
      <c r="G926" s="7">
        <f t="shared" si="44"/>
        <v>129.42</v>
      </c>
      <c r="H926" s="7"/>
      <c r="I926" s="11"/>
    </row>
    <row r="927" spans="1:9" ht="15">
      <c r="A927" s="8"/>
      <c r="B927" s="12" t="s">
        <v>49</v>
      </c>
      <c r="C927" s="200" t="s">
        <v>50</v>
      </c>
      <c r="D927" s="8" t="s">
        <v>47</v>
      </c>
      <c r="E927" s="11">
        <v>0.7111</v>
      </c>
      <c r="F927" s="7">
        <f>TRUNC(23.64,2)</f>
        <v>23.64</v>
      </c>
      <c r="G927" s="7">
        <f t="shared" si="44"/>
        <v>16.81</v>
      </c>
      <c r="H927" s="7"/>
      <c r="I927" s="11"/>
    </row>
    <row r="928" spans="1:9" ht="15">
      <c r="A928" s="8"/>
      <c r="B928" s="12" t="s">
        <v>71</v>
      </c>
      <c r="C928" s="200" t="s">
        <v>72</v>
      </c>
      <c r="D928" s="8" t="s">
        <v>47</v>
      </c>
      <c r="E928" s="11">
        <v>1.7689</v>
      </c>
      <c r="F928" s="7">
        <f>TRUNC(29.27,2)</f>
        <v>29.27</v>
      </c>
      <c r="G928" s="7">
        <f t="shared" si="44"/>
        <v>51.77</v>
      </c>
      <c r="H928" s="7"/>
      <c r="I928" s="11"/>
    </row>
    <row r="929" spans="1:9" ht="15">
      <c r="A929" s="8"/>
      <c r="B929" s="12"/>
      <c r="C929" s="200"/>
      <c r="D929" s="8"/>
      <c r="E929" s="11" t="s">
        <v>33</v>
      </c>
      <c r="F929" s="7"/>
      <c r="G929" s="7">
        <f>TRUNC(SUM(G924:G928),2)</f>
        <v>752.92</v>
      </c>
      <c r="H929" s="7"/>
      <c r="I929" s="11"/>
    </row>
    <row r="930" spans="1:9" ht="30">
      <c r="A930" s="103" t="s">
        <v>1412</v>
      </c>
      <c r="B930" s="110" t="s">
        <v>1304</v>
      </c>
      <c r="C930" s="210" t="s">
        <v>1303</v>
      </c>
      <c r="D930" s="103" t="s">
        <v>7</v>
      </c>
      <c r="E930" s="111">
        <v>3</v>
      </c>
      <c r="F930" s="111">
        <f>TRUNC(F931,2)</f>
        <v>104.03</v>
      </c>
      <c r="G930" s="111">
        <f>TRUNC(F930*1.2882,2)</f>
        <v>134.01</v>
      </c>
      <c r="H930" s="111">
        <f>TRUNC(F930*E930,2)</f>
        <v>312.09</v>
      </c>
      <c r="I930" s="111">
        <f>TRUNC(E930*G930,2)</f>
        <v>402.03</v>
      </c>
    </row>
    <row r="931" spans="1:9" ht="30">
      <c r="A931" s="8"/>
      <c r="B931" s="12" t="s">
        <v>1299</v>
      </c>
      <c r="C931" s="200" t="s">
        <v>1300</v>
      </c>
      <c r="D931" s="8" t="s">
        <v>7</v>
      </c>
      <c r="E931" s="11">
        <v>1</v>
      </c>
      <c r="F931" s="7">
        <f>G934</f>
        <v>104.03</v>
      </c>
      <c r="G931" s="7">
        <f>TRUNC(E931*F931,2)</f>
        <v>104.03</v>
      </c>
      <c r="H931" s="7"/>
      <c r="I931" s="11"/>
    </row>
    <row r="932" spans="1:9" ht="15">
      <c r="A932" s="8"/>
      <c r="B932" s="12" t="s">
        <v>1301</v>
      </c>
      <c r="C932" s="200" t="s">
        <v>1302</v>
      </c>
      <c r="D932" s="8" t="s">
        <v>7</v>
      </c>
      <c r="E932" s="11">
        <v>1</v>
      </c>
      <c r="F932" s="7">
        <f>TRUNC(24.87,2)</f>
        <v>24.87</v>
      </c>
      <c r="G932" s="7">
        <f>TRUNC(E932*F932,2)</f>
        <v>24.87</v>
      </c>
      <c r="H932" s="7"/>
      <c r="I932" s="11"/>
    </row>
    <row r="933" spans="1:9" ht="30">
      <c r="A933" s="8"/>
      <c r="B933" s="12" t="s">
        <v>58</v>
      </c>
      <c r="C933" s="200" t="s">
        <v>59</v>
      </c>
      <c r="D933" s="8" t="s">
        <v>47</v>
      </c>
      <c r="E933" s="11">
        <v>3.605</v>
      </c>
      <c r="F933" s="7">
        <f>TRUNC(21.96,2)</f>
        <v>21.96</v>
      </c>
      <c r="G933" s="7">
        <f>TRUNC(E933*F933,2)</f>
        <v>79.16</v>
      </c>
      <c r="H933" s="7"/>
      <c r="I933" s="11"/>
    </row>
    <row r="934" spans="1:9" ht="15">
      <c r="A934" s="8"/>
      <c r="B934" s="12"/>
      <c r="C934" s="200"/>
      <c r="D934" s="8"/>
      <c r="E934" s="11" t="s">
        <v>33</v>
      </c>
      <c r="F934" s="7"/>
      <c r="G934" s="7">
        <f>TRUNC(SUM(G932:G933),2)</f>
        <v>104.03</v>
      </c>
      <c r="H934" s="7"/>
      <c r="I934" s="11"/>
    </row>
    <row r="935" spans="1:9" ht="45">
      <c r="A935" s="103" t="s">
        <v>1413</v>
      </c>
      <c r="B935" s="110" t="s">
        <v>1305</v>
      </c>
      <c r="C935" s="210" t="s">
        <v>1306</v>
      </c>
      <c r="D935" s="103" t="s">
        <v>17</v>
      </c>
      <c r="E935" s="111">
        <f>3.1*0.6+0.55*2.05</f>
        <v>2.9875</v>
      </c>
      <c r="F935" s="111">
        <f>TRUNC(F936,2)</f>
        <v>717.14</v>
      </c>
      <c r="G935" s="111">
        <f>TRUNC(F935*1.2882,2)</f>
        <v>923.81</v>
      </c>
      <c r="H935" s="111">
        <f>TRUNC(F935*E935,2)</f>
        <v>2142.45</v>
      </c>
      <c r="I935" s="111">
        <f>TRUNC(E935*G935,2)</f>
        <v>2759.88</v>
      </c>
    </row>
    <row r="936" spans="1:9" ht="45">
      <c r="A936" s="8"/>
      <c r="B936" s="12" t="s">
        <v>1305</v>
      </c>
      <c r="C936" s="200" t="s">
        <v>1306</v>
      </c>
      <c r="D936" s="8" t="s">
        <v>17</v>
      </c>
      <c r="E936" s="11">
        <v>1</v>
      </c>
      <c r="F936" s="7">
        <f>G942</f>
        <v>717.14</v>
      </c>
      <c r="G936" s="7">
        <f aca="true" t="shared" si="45" ref="G936:G941">TRUNC(E936*F936,2)</f>
        <v>717.14</v>
      </c>
      <c r="H936" s="7"/>
      <c r="I936" s="11"/>
    </row>
    <row r="937" spans="1:9" ht="30">
      <c r="A937" s="8"/>
      <c r="B937" s="12" t="s">
        <v>1307</v>
      </c>
      <c r="C937" s="200" t="s">
        <v>1308</v>
      </c>
      <c r="D937" s="8" t="s">
        <v>7</v>
      </c>
      <c r="E937" s="11">
        <v>0.9259</v>
      </c>
      <c r="F937" s="7">
        <f>TRUNC(612.36,2)</f>
        <v>612.36</v>
      </c>
      <c r="G937" s="7">
        <f t="shared" si="45"/>
        <v>566.98</v>
      </c>
      <c r="H937" s="7"/>
      <c r="I937" s="11"/>
    </row>
    <row r="938" spans="1:9" ht="30">
      <c r="A938" s="8"/>
      <c r="B938" s="12" t="s">
        <v>45</v>
      </c>
      <c r="C938" s="200" t="s">
        <v>46</v>
      </c>
      <c r="D938" s="8" t="s">
        <v>47</v>
      </c>
      <c r="E938" s="11">
        <v>0.8549</v>
      </c>
      <c r="F938" s="7">
        <f>TRUNC(15.87,2)</f>
        <v>15.87</v>
      </c>
      <c r="G938" s="7">
        <f t="shared" si="45"/>
        <v>13.56</v>
      </c>
      <c r="H938" s="7"/>
      <c r="I938" s="11"/>
    </row>
    <row r="939" spans="1:9" ht="15">
      <c r="A939" s="8"/>
      <c r="B939" s="12" t="s">
        <v>363</v>
      </c>
      <c r="C939" s="200" t="s">
        <v>364</v>
      </c>
      <c r="D939" s="8" t="s">
        <v>47</v>
      </c>
      <c r="E939" s="11">
        <v>0.8549</v>
      </c>
      <c r="F939" s="7">
        <f>TRUNC(21.96,2)</f>
        <v>21.96</v>
      </c>
      <c r="G939" s="7">
        <f t="shared" si="45"/>
        <v>18.77</v>
      </c>
      <c r="H939" s="7"/>
      <c r="I939" s="11"/>
    </row>
    <row r="940" spans="1:9" ht="15">
      <c r="A940" s="8"/>
      <c r="B940" s="12" t="s">
        <v>1309</v>
      </c>
      <c r="C940" s="200" t="s">
        <v>1310</v>
      </c>
      <c r="D940" s="8" t="s">
        <v>17</v>
      </c>
      <c r="E940" s="11">
        <v>1</v>
      </c>
      <c r="F940" s="7">
        <f>TRUNC(60.7531,2)</f>
        <v>60.75</v>
      </c>
      <c r="G940" s="7">
        <f t="shared" si="45"/>
        <v>60.75</v>
      </c>
      <c r="H940" s="7"/>
      <c r="I940" s="11"/>
    </row>
    <row r="941" spans="1:9" ht="15">
      <c r="A941" s="8"/>
      <c r="B941" s="12" t="s">
        <v>1311</v>
      </c>
      <c r="C941" s="200" t="s">
        <v>1312</v>
      </c>
      <c r="D941" s="8" t="s">
        <v>48</v>
      </c>
      <c r="E941" s="11">
        <v>0.025</v>
      </c>
      <c r="F941" s="7">
        <f>TRUNC(2283.2984,2)</f>
        <v>2283.29</v>
      </c>
      <c r="G941" s="7">
        <f t="shared" si="45"/>
        <v>57.08</v>
      </c>
      <c r="H941" s="7"/>
      <c r="I941" s="11"/>
    </row>
    <row r="942" spans="1:9" ht="15">
      <c r="A942" s="8"/>
      <c r="B942" s="12"/>
      <c r="C942" s="200"/>
      <c r="D942" s="8"/>
      <c r="E942" s="11" t="s">
        <v>33</v>
      </c>
      <c r="F942" s="7"/>
      <c r="G942" s="7">
        <f>TRUNC(SUM(G937:G941),2)</f>
        <v>717.14</v>
      </c>
      <c r="H942" s="7"/>
      <c r="I942" s="11"/>
    </row>
    <row r="943" spans="1:9" s="203" customFormat="1" ht="15.75">
      <c r="A943" s="45" t="s">
        <v>18</v>
      </c>
      <c r="B943" s="27"/>
      <c r="C943" s="202"/>
      <c r="D943" s="45"/>
      <c r="E943" s="28"/>
      <c r="F943" s="29"/>
      <c r="G943" s="480" t="s">
        <v>95</v>
      </c>
      <c r="H943" s="481"/>
      <c r="I943" s="29"/>
    </row>
    <row r="944" spans="1:9" s="227" customFormat="1" ht="14.25" customHeight="1">
      <c r="A944" s="99" t="s">
        <v>26</v>
      </c>
      <c r="B944" s="100"/>
      <c r="C944" s="484" t="s">
        <v>96</v>
      </c>
      <c r="D944" s="484"/>
      <c r="E944" s="484"/>
      <c r="F944" s="484"/>
      <c r="G944" s="484"/>
      <c r="H944" s="484"/>
      <c r="I944" s="484"/>
    </row>
    <row r="945" spans="1:9" ht="30">
      <c r="A945" s="103" t="s">
        <v>1414</v>
      </c>
      <c r="B945" s="110" t="s">
        <v>191</v>
      </c>
      <c r="C945" s="210" t="s">
        <v>192</v>
      </c>
      <c r="D945" s="103" t="s">
        <v>23</v>
      </c>
      <c r="E945" s="111">
        <v>13</v>
      </c>
      <c r="F945" s="111">
        <f>TRUNC(F946,2)</f>
        <v>13.76</v>
      </c>
      <c r="G945" s="111">
        <f>TRUNC(F945*1.2882,2)</f>
        <v>17.72</v>
      </c>
      <c r="H945" s="111">
        <f>TRUNC(F945*E945,2)</f>
        <v>178.88</v>
      </c>
      <c r="I945" s="111">
        <f>TRUNC(E945*G945,2)</f>
        <v>230.36</v>
      </c>
    </row>
    <row r="946" spans="1:9" ht="30">
      <c r="A946" s="8"/>
      <c r="B946" s="12" t="s">
        <v>191</v>
      </c>
      <c r="C946" s="200" t="s">
        <v>192</v>
      </c>
      <c r="D946" s="8" t="s">
        <v>23</v>
      </c>
      <c r="E946" s="11">
        <v>1</v>
      </c>
      <c r="F946" s="7">
        <f>G951</f>
        <v>13.76</v>
      </c>
      <c r="G946" s="7">
        <f>TRUNC(E946*F946,2)</f>
        <v>13.76</v>
      </c>
      <c r="H946" s="7"/>
      <c r="I946" s="11"/>
    </row>
    <row r="947" spans="1:9" ht="30">
      <c r="A947" s="8"/>
      <c r="B947" s="12" t="s">
        <v>193</v>
      </c>
      <c r="C947" s="200" t="s">
        <v>194</v>
      </c>
      <c r="D947" s="8" t="s">
        <v>7</v>
      </c>
      <c r="E947" s="11">
        <v>0.175</v>
      </c>
      <c r="F947" s="7">
        <f>TRUNC(35.22,2)</f>
        <v>35.22</v>
      </c>
      <c r="G947" s="7">
        <f>TRUNC(E947*F947,2)</f>
        <v>6.16</v>
      </c>
      <c r="H947" s="7"/>
      <c r="I947" s="11"/>
    </row>
    <row r="948" spans="1:9" ht="15">
      <c r="A948" s="8"/>
      <c r="B948" s="12" t="s">
        <v>97</v>
      </c>
      <c r="C948" s="200" t="s">
        <v>98</v>
      </c>
      <c r="D948" s="8" t="s">
        <v>7</v>
      </c>
      <c r="E948" s="11">
        <v>0.14</v>
      </c>
      <c r="F948" s="7">
        <f>TRUNC(4.24,2)</f>
        <v>4.24</v>
      </c>
      <c r="G948" s="7">
        <f>TRUNC(E948*F948,2)</f>
        <v>0.59</v>
      </c>
      <c r="H948" s="7"/>
      <c r="I948" s="11"/>
    </row>
    <row r="949" spans="1:9" ht="30">
      <c r="A949" s="8"/>
      <c r="B949" s="12" t="s">
        <v>45</v>
      </c>
      <c r="C949" s="200" t="s">
        <v>46</v>
      </c>
      <c r="D949" s="8" t="s">
        <v>47</v>
      </c>
      <c r="E949" s="11">
        <v>0.1854</v>
      </c>
      <c r="F949" s="7">
        <f>TRUNC(15.87,2)</f>
        <v>15.87</v>
      </c>
      <c r="G949" s="7">
        <f>TRUNC(E949*F949,2)</f>
        <v>2.94</v>
      </c>
      <c r="H949" s="7"/>
      <c r="I949" s="11"/>
    </row>
    <row r="950" spans="1:9" ht="30">
      <c r="A950" s="8"/>
      <c r="B950" s="12" t="s">
        <v>58</v>
      </c>
      <c r="C950" s="200" t="s">
        <v>59</v>
      </c>
      <c r="D950" s="8" t="s">
        <v>47</v>
      </c>
      <c r="E950" s="11">
        <v>0.1854</v>
      </c>
      <c r="F950" s="7">
        <f>TRUNC(21.96,2)</f>
        <v>21.96</v>
      </c>
      <c r="G950" s="7">
        <f>TRUNC(E950*F950,2)</f>
        <v>4.07</v>
      </c>
      <c r="H950" s="7"/>
      <c r="I950" s="11"/>
    </row>
    <row r="951" spans="1:9" ht="15">
      <c r="A951" s="8"/>
      <c r="B951" s="12"/>
      <c r="C951" s="200"/>
      <c r="D951" s="8"/>
      <c r="E951" s="11" t="s">
        <v>33</v>
      </c>
      <c r="F951" s="7"/>
      <c r="G951" s="7">
        <f>TRUNC(SUM(G947:G950),2)</f>
        <v>13.76</v>
      </c>
      <c r="H951" s="7"/>
      <c r="I951" s="11"/>
    </row>
    <row r="952" spans="1:9" ht="30">
      <c r="A952" s="103" t="s">
        <v>1415</v>
      </c>
      <c r="B952" s="110" t="s">
        <v>187</v>
      </c>
      <c r="C952" s="210" t="s">
        <v>188</v>
      </c>
      <c r="D952" s="103" t="s">
        <v>23</v>
      </c>
      <c r="E952" s="111">
        <v>12</v>
      </c>
      <c r="F952" s="111">
        <f>TRUNC(F953,2)</f>
        <v>19.33</v>
      </c>
      <c r="G952" s="111">
        <f>TRUNC(F952*1.2882,2)</f>
        <v>24.9</v>
      </c>
      <c r="H952" s="111">
        <f>TRUNC(F952*E952,2)</f>
        <v>231.96</v>
      </c>
      <c r="I952" s="111">
        <f>TRUNC(E952*G952,2)</f>
        <v>298.8</v>
      </c>
    </row>
    <row r="953" spans="1:9" ht="30">
      <c r="A953" s="8"/>
      <c r="B953" s="12" t="s">
        <v>187</v>
      </c>
      <c r="C953" s="200" t="s">
        <v>188</v>
      </c>
      <c r="D953" s="8" t="s">
        <v>23</v>
      </c>
      <c r="E953" s="11">
        <v>1</v>
      </c>
      <c r="F953" s="7">
        <f>G958</f>
        <v>19.33</v>
      </c>
      <c r="G953" s="7">
        <f>TRUNC(E953*F953,2)</f>
        <v>19.33</v>
      </c>
      <c r="H953" s="7"/>
      <c r="I953" s="11"/>
    </row>
    <row r="954" spans="1:9" ht="15">
      <c r="A954" s="8"/>
      <c r="B954" s="12" t="s">
        <v>189</v>
      </c>
      <c r="C954" s="200" t="s">
        <v>190</v>
      </c>
      <c r="D954" s="8" t="s">
        <v>7</v>
      </c>
      <c r="E954" s="11">
        <v>0.175</v>
      </c>
      <c r="F954" s="7">
        <f>TRUNC(57.2,2)</f>
        <v>57.2</v>
      </c>
      <c r="G954" s="7">
        <f>TRUNC(E954*F954,2)</f>
        <v>10.01</v>
      </c>
      <c r="H954" s="7"/>
      <c r="I954" s="11"/>
    </row>
    <row r="955" spans="1:9" ht="15">
      <c r="A955" s="8"/>
      <c r="B955" s="12" t="s">
        <v>97</v>
      </c>
      <c r="C955" s="200" t="s">
        <v>98</v>
      </c>
      <c r="D955" s="8" t="s">
        <v>7</v>
      </c>
      <c r="E955" s="11">
        <v>0.18</v>
      </c>
      <c r="F955" s="7">
        <f>TRUNC(4.24,2)</f>
        <v>4.24</v>
      </c>
      <c r="G955" s="7">
        <f>TRUNC(E955*F955,2)</f>
        <v>0.76</v>
      </c>
      <c r="H955" s="7"/>
      <c r="I955" s="11"/>
    </row>
    <row r="956" spans="1:9" ht="30">
      <c r="A956" s="8"/>
      <c r="B956" s="12" t="s">
        <v>45</v>
      </c>
      <c r="C956" s="200" t="s">
        <v>46</v>
      </c>
      <c r="D956" s="8" t="s">
        <v>47</v>
      </c>
      <c r="E956" s="11">
        <v>0.2266</v>
      </c>
      <c r="F956" s="7">
        <f>TRUNC(15.87,2)</f>
        <v>15.87</v>
      </c>
      <c r="G956" s="7">
        <f>TRUNC(E956*F956,2)</f>
        <v>3.59</v>
      </c>
      <c r="H956" s="7"/>
      <c r="I956" s="11"/>
    </row>
    <row r="957" spans="1:9" ht="30">
      <c r="A957" s="8"/>
      <c r="B957" s="12" t="s">
        <v>58</v>
      </c>
      <c r="C957" s="200" t="s">
        <v>59</v>
      </c>
      <c r="D957" s="8" t="s">
        <v>47</v>
      </c>
      <c r="E957" s="11">
        <v>0.2266</v>
      </c>
      <c r="F957" s="7">
        <f>TRUNC(21.96,2)</f>
        <v>21.96</v>
      </c>
      <c r="G957" s="7">
        <f>TRUNC(E957*F957,2)</f>
        <v>4.97</v>
      </c>
      <c r="H957" s="7"/>
      <c r="I957" s="11"/>
    </row>
    <row r="958" spans="1:9" ht="15">
      <c r="A958" s="8"/>
      <c r="B958" s="12"/>
      <c r="C958" s="200"/>
      <c r="D958" s="8"/>
      <c r="E958" s="11" t="s">
        <v>33</v>
      </c>
      <c r="F958" s="7"/>
      <c r="G958" s="7">
        <f>TRUNC(SUM(G954:G957),2)</f>
        <v>19.33</v>
      </c>
      <c r="H958" s="7"/>
      <c r="I958" s="11"/>
    </row>
    <row r="959" spans="1:9" ht="30">
      <c r="A959" s="103" t="s">
        <v>1408</v>
      </c>
      <c r="B959" s="110" t="s">
        <v>185</v>
      </c>
      <c r="C959" s="210" t="s">
        <v>186</v>
      </c>
      <c r="D959" s="103" t="s">
        <v>23</v>
      </c>
      <c r="E959" s="111">
        <v>8</v>
      </c>
      <c r="F959" s="111">
        <f>TRUNC(F960,2)</f>
        <v>27.53</v>
      </c>
      <c r="G959" s="111">
        <f>TRUNC(F959*1.2882,2)</f>
        <v>35.46</v>
      </c>
      <c r="H959" s="111">
        <f>TRUNC(F959*E959,2)</f>
        <v>220.24</v>
      </c>
      <c r="I959" s="111">
        <f>TRUNC(E959*G959,2)</f>
        <v>283.68</v>
      </c>
    </row>
    <row r="960" spans="1:9" ht="30">
      <c r="A960" s="8"/>
      <c r="B960" s="12" t="s">
        <v>185</v>
      </c>
      <c r="C960" s="200" t="s">
        <v>186</v>
      </c>
      <c r="D960" s="8" t="s">
        <v>23</v>
      </c>
      <c r="E960" s="11">
        <v>1</v>
      </c>
      <c r="F960" s="7">
        <f>G965</f>
        <v>27.53</v>
      </c>
      <c r="G960" s="7">
        <f>TRUNC(E960*F960,2)</f>
        <v>27.53</v>
      </c>
      <c r="H960" s="7"/>
      <c r="I960" s="11"/>
    </row>
    <row r="961" spans="1:9" ht="15">
      <c r="A961" s="8"/>
      <c r="B961" s="12" t="s">
        <v>117</v>
      </c>
      <c r="C961" s="200" t="s">
        <v>118</v>
      </c>
      <c r="D961" s="8" t="s">
        <v>7</v>
      </c>
      <c r="E961" s="11">
        <v>0.175</v>
      </c>
      <c r="F961" s="7">
        <f>TRUNC(84.55,2)</f>
        <v>84.55</v>
      </c>
      <c r="G961" s="7">
        <f>TRUNC(E961*F961,2)</f>
        <v>14.79</v>
      </c>
      <c r="H961" s="7"/>
      <c r="I961" s="11"/>
    </row>
    <row r="962" spans="1:9" ht="15">
      <c r="A962" s="8"/>
      <c r="B962" s="12" t="s">
        <v>97</v>
      </c>
      <c r="C962" s="200" t="s">
        <v>98</v>
      </c>
      <c r="D962" s="8" t="s">
        <v>7</v>
      </c>
      <c r="E962" s="11">
        <v>0.25</v>
      </c>
      <c r="F962" s="7">
        <f>TRUNC(4.24,2)</f>
        <v>4.24</v>
      </c>
      <c r="G962" s="7">
        <f>TRUNC(E962*F962,2)</f>
        <v>1.06</v>
      </c>
      <c r="H962" s="7"/>
      <c r="I962" s="11"/>
    </row>
    <row r="963" spans="1:9" ht="30">
      <c r="A963" s="8"/>
      <c r="B963" s="12" t="s">
        <v>45</v>
      </c>
      <c r="C963" s="200" t="s">
        <v>46</v>
      </c>
      <c r="D963" s="8" t="s">
        <v>47</v>
      </c>
      <c r="E963" s="11">
        <v>0.309</v>
      </c>
      <c r="F963" s="7">
        <f>TRUNC(15.87,2)</f>
        <v>15.87</v>
      </c>
      <c r="G963" s="7">
        <f>TRUNC(E963*F963,2)</f>
        <v>4.9</v>
      </c>
      <c r="H963" s="7"/>
      <c r="I963" s="11"/>
    </row>
    <row r="964" spans="1:9" ht="30">
      <c r="A964" s="8"/>
      <c r="B964" s="12" t="s">
        <v>58</v>
      </c>
      <c r="C964" s="200" t="s">
        <v>59</v>
      </c>
      <c r="D964" s="8" t="s">
        <v>47</v>
      </c>
      <c r="E964" s="11">
        <v>0.309</v>
      </c>
      <c r="F964" s="7">
        <f>TRUNC(21.96,2)</f>
        <v>21.96</v>
      </c>
      <c r="G964" s="7">
        <f>TRUNC(E964*F964,2)</f>
        <v>6.78</v>
      </c>
      <c r="H964" s="7"/>
      <c r="I964" s="11"/>
    </row>
    <row r="965" spans="1:9" ht="15">
      <c r="A965" s="8"/>
      <c r="B965" s="12"/>
      <c r="C965" s="200"/>
      <c r="D965" s="8"/>
      <c r="E965" s="11" t="s">
        <v>33</v>
      </c>
      <c r="F965" s="7"/>
      <c r="G965" s="7">
        <f>TRUNC(SUM(G961:G964),2)</f>
        <v>27.53</v>
      </c>
      <c r="H965" s="7"/>
      <c r="I965" s="11"/>
    </row>
    <row r="966" spans="1:9" ht="30">
      <c r="A966" s="103" t="s">
        <v>1416</v>
      </c>
      <c r="B966" s="110" t="s">
        <v>183</v>
      </c>
      <c r="C966" s="210" t="s">
        <v>184</v>
      </c>
      <c r="D966" s="103" t="s">
        <v>23</v>
      </c>
      <c r="E966" s="111">
        <v>18</v>
      </c>
      <c r="F966" s="111">
        <f>TRUNC(F967,2)</f>
        <v>30.03</v>
      </c>
      <c r="G966" s="111">
        <f>TRUNC(F966*1.2882,2)</f>
        <v>38.68</v>
      </c>
      <c r="H966" s="111">
        <f>TRUNC(F966*E966,2)</f>
        <v>540.54</v>
      </c>
      <c r="I966" s="111">
        <f>TRUNC(E966*G966,2)</f>
        <v>696.24</v>
      </c>
    </row>
    <row r="967" spans="1:9" ht="30">
      <c r="A967" s="8"/>
      <c r="B967" s="12" t="s">
        <v>183</v>
      </c>
      <c r="C967" s="200" t="s">
        <v>184</v>
      </c>
      <c r="D967" s="8" t="s">
        <v>23</v>
      </c>
      <c r="E967" s="11">
        <v>1</v>
      </c>
      <c r="F967" s="7">
        <f>G972</f>
        <v>30.03</v>
      </c>
      <c r="G967" s="7">
        <f>TRUNC(E967*F967,2)</f>
        <v>30.03</v>
      </c>
      <c r="H967" s="7"/>
      <c r="I967" s="11"/>
    </row>
    <row r="968" spans="1:9" ht="15">
      <c r="A968" s="8"/>
      <c r="B968" s="12" t="s">
        <v>115</v>
      </c>
      <c r="C968" s="200" t="s">
        <v>116</v>
      </c>
      <c r="D968" s="8" t="s">
        <v>7</v>
      </c>
      <c r="E968" s="11">
        <v>0.175</v>
      </c>
      <c r="F968" s="7">
        <f>TRUNC(86.51,2)</f>
        <v>86.51</v>
      </c>
      <c r="G968" s="7">
        <f>TRUNC(E968*F968,2)</f>
        <v>15.13</v>
      </c>
      <c r="H968" s="7"/>
      <c r="I968" s="11"/>
    </row>
    <row r="969" spans="1:9" ht="15">
      <c r="A969" s="8"/>
      <c r="B969" s="12" t="s">
        <v>97</v>
      </c>
      <c r="C969" s="200" t="s">
        <v>98</v>
      </c>
      <c r="D969" s="8" t="s">
        <v>7</v>
      </c>
      <c r="E969" s="11">
        <v>0.3</v>
      </c>
      <c r="F969" s="7">
        <f>TRUNC(4.24,2)</f>
        <v>4.24</v>
      </c>
      <c r="G969" s="7">
        <f>TRUNC(E969*F969,2)</f>
        <v>1.27</v>
      </c>
      <c r="H969" s="7"/>
      <c r="I969" s="11"/>
    </row>
    <row r="970" spans="1:9" ht="30">
      <c r="A970" s="8"/>
      <c r="B970" s="12" t="s">
        <v>45</v>
      </c>
      <c r="C970" s="200" t="s">
        <v>46</v>
      </c>
      <c r="D970" s="8" t="s">
        <v>47</v>
      </c>
      <c r="E970" s="11">
        <v>0.3605</v>
      </c>
      <c r="F970" s="7">
        <f>TRUNC(15.87,2)</f>
        <v>15.87</v>
      </c>
      <c r="G970" s="7">
        <f>TRUNC(E970*F970,2)</f>
        <v>5.72</v>
      </c>
      <c r="H970" s="7"/>
      <c r="I970" s="11"/>
    </row>
    <row r="971" spans="1:9" ht="30">
      <c r="A971" s="8"/>
      <c r="B971" s="12" t="s">
        <v>58</v>
      </c>
      <c r="C971" s="200" t="s">
        <v>59</v>
      </c>
      <c r="D971" s="8" t="s">
        <v>47</v>
      </c>
      <c r="E971" s="11">
        <v>0.3605</v>
      </c>
      <c r="F971" s="7">
        <f>TRUNC(21.96,2)</f>
        <v>21.96</v>
      </c>
      <c r="G971" s="7">
        <f>TRUNC(E971*F971,2)</f>
        <v>7.91</v>
      </c>
      <c r="H971" s="7"/>
      <c r="I971" s="11"/>
    </row>
    <row r="972" spans="1:9" ht="15">
      <c r="A972" s="8"/>
      <c r="B972" s="12"/>
      <c r="C972" s="200"/>
      <c r="D972" s="8"/>
      <c r="E972" s="11" t="s">
        <v>33</v>
      </c>
      <c r="F972" s="7"/>
      <c r="G972" s="7">
        <f>TRUNC(SUM(G968:G971),2)</f>
        <v>30.03</v>
      </c>
      <c r="H972" s="7"/>
      <c r="I972" s="11"/>
    </row>
    <row r="973" spans="1:9" ht="30">
      <c r="A973" s="103" t="s">
        <v>1401</v>
      </c>
      <c r="B973" s="110" t="s">
        <v>179</v>
      </c>
      <c r="C973" s="210" t="s">
        <v>180</v>
      </c>
      <c r="D973" s="103" t="s">
        <v>23</v>
      </c>
      <c r="E973" s="111">
        <v>12</v>
      </c>
      <c r="F973" s="111">
        <f>TRUNC(F974,2)</f>
        <v>58.23</v>
      </c>
      <c r="G973" s="111">
        <f>TRUNC(F973*1.2882,2)</f>
        <v>75.01</v>
      </c>
      <c r="H973" s="111">
        <f>TRUNC(F973*E973,2)</f>
        <v>698.76</v>
      </c>
      <c r="I973" s="111">
        <f>TRUNC(E973*G973,2)</f>
        <v>900.12</v>
      </c>
    </row>
    <row r="974" spans="1:9" ht="30">
      <c r="A974" s="8"/>
      <c r="B974" s="12" t="s">
        <v>179</v>
      </c>
      <c r="C974" s="200" t="s">
        <v>180</v>
      </c>
      <c r="D974" s="8" t="s">
        <v>23</v>
      </c>
      <c r="E974" s="11">
        <v>1</v>
      </c>
      <c r="F974" s="7">
        <f>G979</f>
        <v>58.23</v>
      </c>
      <c r="G974" s="7">
        <f>TRUNC(E974*F974,2)</f>
        <v>58.23</v>
      </c>
      <c r="H974" s="7"/>
      <c r="I974" s="11"/>
    </row>
    <row r="975" spans="1:9" ht="30">
      <c r="A975" s="8"/>
      <c r="B975" s="12" t="s">
        <v>181</v>
      </c>
      <c r="C975" s="200" t="s">
        <v>182</v>
      </c>
      <c r="D975" s="8" t="s">
        <v>7</v>
      </c>
      <c r="E975" s="11">
        <v>0.1925</v>
      </c>
      <c r="F975" s="7">
        <f>TRUNC(205.9,2)</f>
        <v>205.9</v>
      </c>
      <c r="G975" s="7">
        <f>TRUNC(E975*F975,2)</f>
        <v>39.63</v>
      </c>
      <c r="H975" s="7"/>
      <c r="I975" s="11"/>
    </row>
    <row r="976" spans="1:9" ht="15">
      <c r="A976" s="8"/>
      <c r="B976" s="12" t="s">
        <v>97</v>
      </c>
      <c r="C976" s="200" t="s">
        <v>98</v>
      </c>
      <c r="D976" s="8" t="s">
        <v>7</v>
      </c>
      <c r="E976" s="11">
        <v>0.44000000000000006</v>
      </c>
      <c r="F976" s="7">
        <f>TRUNC(4.24,2)</f>
        <v>4.24</v>
      </c>
      <c r="G976" s="7">
        <f>TRUNC(E976*F976,2)</f>
        <v>1.86</v>
      </c>
      <c r="H976" s="7"/>
      <c r="I976" s="11"/>
    </row>
    <row r="977" spans="1:9" ht="30">
      <c r="A977" s="8"/>
      <c r="B977" s="12" t="s">
        <v>45</v>
      </c>
      <c r="C977" s="200" t="s">
        <v>46</v>
      </c>
      <c r="D977" s="8" t="s">
        <v>47</v>
      </c>
      <c r="E977" s="11">
        <v>0.4429</v>
      </c>
      <c r="F977" s="7">
        <f>TRUNC(15.87,2)</f>
        <v>15.87</v>
      </c>
      <c r="G977" s="7">
        <f>TRUNC(E977*F977,2)</f>
        <v>7.02</v>
      </c>
      <c r="H977" s="7"/>
      <c r="I977" s="11"/>
    </row>
    <row r="978" spans="1:9" ht="30">
      <c r="A978" s="8"/>
      <c r="B978" s="12" t="s">
        <v>58</v>
      </c>
      <c r="C978" s="200" t="s">
        <v>59</v>
      </c>
      <c r="D978" s="8" t="s">
        <v>47</v>
      </c>
      <c r="E978" s="11">
        <v>0.4429</v>
      </c>
      <c r="F978" s="7">
        <f>TRUNC(21.96,2)</f>
        <v>21.96</v>
      </c>
      <c r="G978" s="7">
        <f>TRUNC(E978*F978,2)</f>
        <v>9.72</v>
      </c>
      <c r="H978" s="7"/>
      <c r="I978" s="11"/>
    </row>
    <row r="979" spans="1:9" ht="15">
      <c r="A979" s="8"/>
      <c r="B979" s="12"/>
      <c r="C979" s="200"/>
      <c r="D979" s="8"/>
      <c r="E979" s="11" t="s">
        <v>33</v>
      </c>
      <c r="F979" s="7"/>
      <c r="G979" s="7">
        <f>TRUNC(SUM(G975:G978),2)</f>
        <v>58.23</v>
      </c>
      <c r="H979" s="7"/>
      <c r="I979" s="11"/>
    </row>
    <row r="980" spans="1:9" ht="30">
      <c r="A980" s="103" t="s">
        <v>1417</v>
      </c>
      <c r="B980" s="110" t="s">
        <v>1480</v>
      </c>
      <c r="C980" s="210" t="s">
        <v>291</v>
      </c>
      <c r="D980" s="103" t="s">
        <v>7</v>
      </c>
      <c r="E980" s="111">
        <v>6</v>
      </c>
      <c r="F980" s="111">
        <f>TRUNC(F981,2)</f>
        <v>26.63</v>
      </c>
      <c r="G980" s="111">
        <f>TRUNC(F980*1.2882,2)</f>
        <v>34.3</v>
      </c>
      <c r="H980" s="111">
        <f>TRUNC(F980*E980,2)</f>
        <v>159.78</v>
      </c>
      <c r="I980" s="111">
        <f>TRUNC(E980*G980,2)</f>
        <v>205.8</v>
      </c>
    </row>
    <row r="981" spans="1:9" ht="45">
      <c r="A981" s="8"/>
      <c r="B981" s="12" t="s">
        <v>292</v>
      </c>
      <c r="C981" s="200" t="s">
        <v>293</v>
      </c>
      <c r="D981" s="8" t="s">
        <v>7</v>
      </c>
      <c r="E981" s="11">
        <v>1</v>
      </c>
      <c r="F981" s="7">
        <f>TRUNC(26.63717,2)</f>
        <v>26.63</v>
      </c>
      <c r="G981" s="7">
        <f aca="true" t="shared" si="46" ref="G981:G986">TRUNC(E981*F981,2)</f>
        <v>26.63</v>
      </c>
      <c r="H981" s="7"/>
      <c r="I981" s="11"/>
    </row>
    <row r="982" spans="1:9" ht="30">
      <c r="A982" s="8"/>
      <c r="B982" s="12" t="s">
        <v>197</v>
      </c>
      <c r="C982" s="200" t="s">
        <v>198</v>
      </c>
      <c r="D982" s="8" t="s">
        <v>7</v>
      </c>
      <c r="E982" s="11">
        <v>0.075</v>
      </c>
      <c r="F982" s="7">
        <f>TRUNC(31.44,2)</f>
        <v>31.44</v>
      </c>
      <c r="G982" s="7">
        <f t="shared" si="46"/>
        <v>2.35</v>
      </c>
      <c r="H982" s="7"/>
      <c r="I982" s="11"/>
    </row>
    <row r="983" spans="1:9" s="203" customFormat="1" ht="15.75">
      <c r="A983" s="31"/>
      <c r="B983" s="32" t="s">
        <v>248</v>
      </c>
      <c r="C983" s="221" t="s">
        <v>1481</v>
      </c>
      <c r="D983" s="31" t="s">
        <v>7</v>
      </c>
      <c r="E983" s="33">
        <v>1</v>
      </c>
      <c r="F983" s="34">
        <v>11.32</v>
      </c>
      <c r="G983" s="34">
        <f t="shared" si="46"/>
        <v>11.32</v>
      </c>
      <c r="H983" s="34"/>
      <c r="I983" s="33"/>
    </row>
    <row r="984" spans="1:9" ht="15">
      <c r="A984" s="8"/>
      <c r="B984" s="12" t="s">
        <v>202</v>
      </c>
      <c r="C984" s="200" t="s">
        <v>203</v>
      </c>
      <c r="D984" s="8" t="s">
        <v>7</v>
      </c>
      <c r="E984" s="11">
        <v>2</v>
      </c>
      <c r="F984" s="7">
        <f>TRUNC(2.91,2)</f>
        <v>2.91</v>
      </c>
      <c r="G984" s="7">
        <f t="shared" si="46"/>
        <v>5.82</v>
      </c>
      <c r="H984" s="7"/>
      <c r="I984" s="11"/>
    </row>
    <row r="985" spans="1:9" ht="15">
      <c r="A985" s="8"/>
      <c r="B985" s="12" t="s">
        <v>71</v>
      </c>
      <c r="C985" s="200" t="s">
        <v>72</v>
      </c>
      <c r="D985" s="8" t="s">
        <v>47</v>
      </c>
      <c r="E985" s="11">
        <v>0.1102</v>
      </c>
      <c r="F985" s="7">
        <f>TRUNC(29.27,2)</f>
        <v>29.27</v>
      </c>
      <c r="G985" s="7">
        <f t="shared" si="46"/>
        <v>3.22</v>
      </c>
      <c r="H985" s="7"/>
      <c r="I985" s="11"/>
    </row>
    <row r="986" spans="1:9" ht="15">
      <c r="A986" s="8"/>
      <c r="B986" s="12" t="s">
        <v>177</v>
      </c>
      <c r="C986" s="200" t="s">
        <v>178</v>
      </c>
      <c r="D986" s="8" t="s">
        <v>47</v>
      </c>
      <c r="E986" s="11">
        <v>0.1102</v>
      </c>
      <c r="F986" s="7">
        <f>TRUNC(24.08,2)</f>
        <v>24.08</v>
      </c>
      <c r="G986" s="7">
        <f t="shared" si="46"/>
        <v>2.65</v>
      </c>
      <c r="H986" s="7"/>
      <c r="I986" s="11"/>
    </row>
    <row r="987" spans="1:9" ht="15">
      <c r="A987" s="8"/>
      <c r="B987" s="12"/>
      <c r="C987" s="200"/>
      <c r="D987" s="8"/>
      <c r="E987" s="11" t="s">
        <v>33</v>
      </c>
      <c r="F987" s="7"/>
      <c r="G987" s="7">
        <f>TRUNC(SUM(G982:G986),2)</f>
        <v>25.36</v>
      </c>
      <c r="H987" s="7"/>
      <c r="I987" s="11"/>
    </row>
    <row r="988" spans="1:9" ht="45">
      <c r="A988" s="103" t="s">
        <v>1398</v>
      </c>
      <c r="B988" s="110" t="s">
        <v>292</v>
      </c>
      <c r="C988" s="210" t="s">
        <v>293</v>
      </c>
      <c r="D988" s="103" t="s">
        <v>7</v>
      </c>
      <c r="E988" s="111">
        <v>2</v>
      </c>
      <c r="F988" s="111">
        <f>TRUNC(F989,2)</f>
        <v>26.62</v>
      </c>
      <c r="G988" s="111">
        <f>TRUNC(F988*1.2882,2)</f>
        <v>34.29</v>
      </c>
      <c r="H988" s="111">
        <f>TRUNC(F988*E988,2)</f>
        <v>53.24</v>
      </c>
      <c r="I988" s="111">
        <f>TRUNC(E988*G988,2)</f>
        <v>68.58</v>
      </c>
    </row>
    <row r="989" spans="1:9" ht="45">
      <c r="A989" s="8"/>
      <c r="B989" s="12" t="s">
        <v>292</v>
      </c>
      <c r="C989" s="200" t="s">
        <v>293</v>
      </c>
      <c r="D989" s="8" t="s">
        <v>7</v>
      </c>
      <c r="E989" s="11">
        <v>1</v>
      </c>
      <c r="F989" s="7">
        <f>G995</f>
        <v>26.62</v>
      </c>
      <c r="G989" s="7">
        <f aca="true" t="shared" si="47" ref="G989:G994">TRUNC(E989*F989,2)</f>
        <v>26.62</v>
      </c>
      <c r="H989" s="7"/>
      <c r="I989" s="11"/>
    </row>
    <row r="990" spans="1:9" ht="30">
      <c r="A990" s="8"/>
      <c r="B990" s="12" t="s">
        <v>197</v>
      </c>
      <c r="C990" s="200" t="s">
        <v>198</v>
      </c>
      <c r="D990" s="8" t="s">
        <v>7</v>
      </c>
      <c r="E990" s="11">
        <v>0.075</v>
      </c>
      <c r="F990" s="7">
        <f>TRUNC(31.44,2)</f>
        <v>31.44</v>
      </c>
      <c r="G990" s="7">
        <f t="shared" si="47"/>
        <v>2.35</v>
      </c>
      <c r="H990" s="7"/>
      <c r="I990" s="11"/>
    </row>
    <row r="991" spans="1:9" ht="15">
      <c r="A991" s="8"/>
      <c r="B991" s="12" t="s">
        <v>289</v>
      </c>
      <c r="C991" s="200" t="s">
        <v>290</v>
      </c>
      <c r="D991" s="8" t="s">
        <v>7</v>
      </c>
      <c r="E991" s="11">
        <v>1</v>
      </c>
      <c r="F991" s="7">
        <f>TRUNC(12.58,2)</f>
        <v>12.58</v>
      </c>
      <c r="G991" s="7">
        <f t="shared" si="47"/>
        <v>12.58</v>
      </c>
      <c r="H991" s="7"/>
      <c r="I991" s="11"/>
    </row>
    <row r="992" spans="1:9" ht="15">
      <c r="A992" s="8"/>
      <c r="B992" s="12" t="s">
        <v>202</v>
      </c>
      <c r="C992" s="200" t="s">
        <v>203</v>
      </c>
      <c r="D992" s="8" t="s">
        <v>7</v>
      </c>
      <c r="E992" s="11">
        <v>2</v>
      </c>
      <c r="F992" s="7">
        <f>TRUNC(2.91,2)</f>
        <v>2.91</v>
      </c>
      <c r="G992" s="7">
        <f t="shared" si="47"/>
        <v>5.82</v>
      </c>
      <c r="H992" s="7"/>
      <c r="I992" s="11"/>
    </row>
    <row r="993" spans="1:9" ht="15">
      <c r="A993" s="8"/>
      <c r="B993" s="12" t="s">
        <v>71</v>
      </c>
      <c r="C993" s="200" t="s">
        <v>72</v>
      </c>
      <c r="D993" s="8" t="s">
        <v>47</v>
      </c>
      <c r="E993" s="11">
        <v>0.1102</v>
      </c>
      <c r="F993" s="7">
        <f>TRUNC(29.27,2)</f>
        <v>29.27</v>
      </c>
      <c r="G993" s="7">
        <f t="shared" si="47"/>
        <v>3.22</v>
      </c>
      <c r="H993" s="7"/>
      <c r="I993" s="11"/>
    </row>
    <row r="994" spans="1:9" ht="15">
      <c r="A994" s="8"/>
      <c r="B994" s="12" t="s">
        <v>177</v>
      </c>
      <c r="C994" s="200" t="s">
        <v>178</v>
      </c>
      <c r="D994" s="8" t="s">
        <v>47</v>
      </c>
      <c r="E994" s="11">
        <v>0.1102</v>
      </c>
      <c r="F994" s="7">
        <f>TRUNC(24.08,2)</f>
        <v>24.08</v>
      </c>
      <c r="G994" s="7">
        <f t="shared" si="47"/>
        <v>2.65</v>
      </c>
      <c r="H994" s="7"/>
      <c r="I994" s="11"/>
    </row>
    <row r="995" spans="1:9" ht="15">
      <c r="A995" s="8"/>
      <c r="B995" s="12"/>
      <c r="C995" s="200"/>
      <c r="D995" s="8"/>
      <c r="E995" s="11" t="s">
        <v>33</v>
      </c>
      <c r="F995" s="7"/>
      <c r="G995" s="7">
        <f>TRUNC(SUM(G990:G994),2)</f>
        <v>26.62</v>
      </c>
      <c r="H995" s="7"/>
      <c r="I995" s="11"/>
    </row>
    <row r="996" spans="1:9" ht="45">
      <c r="A996" s="103" t="s">
        <v>1407</v>
      </c>
      <c r="B996" s="110" t="s">
        <v>294</v>
      </c>
      <c r="C996" s="210" t="s">
        <v>295</v>
      </c>
      <c r="D996" s="103" t="s">
        <v>7</v>
      </c>
      <c r="E996" s="111">
        <v>6</v>
      </c>
      <c r="F996" s="111">
        <f>TRUNC(F997,2)</f>
        <v>36.02</v>
      </c>
      <c r="G996" s="111">
        <f>TRUNC(F996*1.2882,2)</f>
        <v>46.4</v>
      </c>
      <c r="H996" s="111">
        <f>TRUNC(F996*E996,2)</f>
        <v>216.12</v>
      </c>
      <c r="I996" s="111">
        <f>TRUNC(E996*G996,2)</f>
        <v>278.4</v>
      </c>
    </row>
    <row r="997" spans="1:9" ht="45">
      <c r="A997" s="8"/>
      <c r="B997" s="12" t="s">
        <v>294</v>
      </c>
      <c r="C997" s="200" t="s">
        <v>295</v>
      </c>
      <c r="D997" s="8" t="s">
        <v>7</v>
      </c>
      <c r="E997" s="11">
        <v>1</v>
      </c>
      <c r="F997" s="7">
        <f>G1003</f>
        <v>36.02</v>
      </c>
      <c r="G997" s="7">
        <f aca="true" t="shared" si="48" ref="G997:G1002">TRUNC(E997*F997,2)</f>
        <v>36.02</v>
      </c>
      <c r="H997" s="7"/>
      <c r="I997" s="11"/>
    </row>
    <row r="998" spans="1:9" ht="30">
      <c r="A998" s="8"/>
      <c r="B998" s="12" t="s">
        <v>197</v>
      </c>
      <c r="C998" s="200" t="s">
        <v>198</v>
      </c>
      <c r="D998" s="8" t="s">
        <v>7</v>
      </c>
      <c r="E998" s="11">
        <v>0.115</v>
      </c>
      <c r="F998" s="7">
        <f>TRUNC(31.44,2)</f>
        <v>31.44</v>
      </c>
      <c r="G998" s="7">
        <f t="shared" si="48"/>
        <v>3.61</v>
      </c>
      <c r="H998" s="7"/>
      <c r="I998" s="11"/>
    </row>
    <row r="999" spans="1:9" ht="15">
      <c r="A999" s="8"/>
      <c r="B999" s="12" t="s">
        <v>285</v>
      </c>
      <c r="C999" s="200" t="s">
        <v>286</v>
      </c>
      <c r="D999" s="8" t="s">
        <v>7</v>
      </c>
      <c r="E999" s="11">
        <v>1</v>
      </c>
      <c r="F999" s="7">
        <f>TRUNC(18.57,2)</f>
        <v>18.57</v>
      </c>
      <c r="G999" s="7">
        <f t="shared" si="48"/>
        <v>18.57</v>
      </c>
      <c r="H999" s="7"/>
      <c r="I999" s="11"/>
    </row>
    <row r="1000" spans="1:9" ht="15">
      <c r="A1000" s="8"/>
      <c r="B1000" s="12" t="s">
        <v>200</v>
      </c>
      <c r="C1000" s="200" t="s">
        <v>201</v>
      </c>
      <c r="D1000" s="8" t="s">
        <v>7</v>
      </c>
      <c r="E1000" s="11">
        <v>2</v>
      </c>
      <c r="F1000" s="7">
        <f>TRUNC(3.5,2)</f>
        <v>3.5</v>
      </c>
      <c r="G1000" s="7">
        <f t="shared" si="48"/>
        <v>7</v>
      </c>
      <c r="H1000" s="7"/>
      <c r="I1000" s="11"/>
    </row>
    <row r="1001" spans="1:9" ht="15">
      <c r="A1001" s="8"/>
      <c r="B1001" s="12" t="s">
        <v>71</v>
      </c>
      <c r="C1001" s="200" t="s">
        <v>72</v>
      </c>
      <c r="D1001" s="8" t="s">
        <v>47</v>
      </c>
      <c r="E1001" s="11">
        <v>0.1284</v>
      </c>
      <c r="F1001" s="7">
        <f>TRUNC(29.27,2)</f>
        <v>29.27</v>
      </c>
      <c r="G1001" s="7">
        <f t="shared" si="48"/>
        <v>3.75</v>
      </c>
      <c r="H1001" s="7"/>
      <c r="I1001" s="11"/>
    </row>
    <row r="1002" spans="1:9" ht="15">
      <c r="A1002" s="8"/>
      <c r="B1002" s="12" t="s">
        <v>177</v>
      </c>
      <c r="C1002" s="200" t="s">
        <v>178</v>
      </c>
      <c r="D1002" s="8" t="s">
        <v>47</v>
      </c>
      <c r="E1002" s="11">
        <v>0.1284</v>
      </c>
      <c r="F1002" s="7">
        <f>TRUNC(24.08,2)</f>
        <v>24.08</v>
      </c>
      <c r="G1002" s="7">
        <f t="shared" si="48"/>
        <v>3.09</v>
      </c>
      <c r="H1002" s="7"/>
      <c r="I1002" s="11"/>
    </row>
    <row r="1003" spans="1:9" ht="15">
      <c r="A1003" s="8"/>
      <c r="B1003" s="12"/>
      <c r="C1003" s="200"/>
      <c r="D1003" s="8"/>
      <c r="E1003" s="11" t="s">
        <v>33</v>
      </c>
      <c r="F1003" s="7"/>
      <c r="G1003" s="7">
        <f>TRUNC(SUM(G998:G1002),2)</f>
        <v>36.02</v>
      </c>
      <c r="H1003" s="7"/>
      <c r="I1003" s="11"/>
    </row>
    <row r="1004" spans="1:9" ht="30">
      <c r="A1004" s="103" t="s">
        <v>1418</v>
      </c>
      <c r="B1004" s="110" t="s">
        <v>296</v>
      </c>
      <c r="C1004" s="210" t="s">
        <v>297</v>
      </c>
      <c r="D1004" s="103" t="s">
        <v>7</v>
      </c>
      <c r="E1004" s="111">
        <v>2</v>
      </c>
      <c r="F1004" s="111">
        <f>TRUNC(F1005,2)</f>
        <v>96.38</v>
      </c>
      <c r="G1004" s="111">
        <f>TRUNC(F1004*1.2882,2)</f>
        <v>124.15</v>
      </c>
      <c r="H1004" s="111">
        <f>TRUNC(F1004*E1004,2)</f>
        <v>192.76</v>
      </c>
      <c r="I1004" s="111">
        <f>TRUNC(E1004*G1004,2)</f>
        <v>248.3</v>
      </c>
    </row>
    <row r="1005" spans="1:9" ht="30">
      <c r="A1005" s="8"/>
      <c r="B1005" s="12" t="s">
        <v>296</v>
      </c>
      <c r="C1005" s="200" t="s">
        <v>297</v>
      </c>
      <c r="D1005" s="8" t="s">
        <v>7</v>
      </c>
      <c r="E1005" s="11">
        <v>1</v>
      </c>
      <c r="F1005" s="7">
        <f>TRUNC(96.38649,2)</f>
        <v>96.38</v>
      </c>
      <c r="G1005" s="7">
        <f aca="true" t="shared" si="49" ref="G1005:G1010">TRUNC(E1005*F1005,2)</f>
        <v>96.38</v>
      </c>
      <c r="H1005" s="7"/>
      <c r="I1005" s="11"/>
    </row>
    <row r="1006" spans="1:9" ht="15">
      <c r="A1006" s="8"/>
      <c r="B1006" s="12" t="s">
        <v>298</v>
      </c>
      <c r="C1006" s="200" t="s">
        <v>299</v>
      </c>
      <c r="D1006" s="8" t="s">
        <v>7</v>
      </c>
      <c r="E1006" s="11">
        <v>1</v>
      </c>
      <c r="F1006" s="7">
        <f>TRUNC(75.32,2)</f>
        <v>75.32</v>
      </c>
      <c r="G1006" s="7">
        <f t="shared" si="49"/>
        <v>75.32</v>
      </c>
      <c r="H1006" s="7"/>
      <c r="I1006" s="11"/>
    </row>
    <row r="1007" spans="1:9" ht="30">
      <c r="A1007" s="8"/>
      <c r="B1007" s="12" t="s">
        <v>197</v>
      </c>
      <c r="C1007" s="200" t="s">
        <v>198</v>
      </c>
      <c r="D1007" s="8" t="s">
        <v>7</v>
      </c>
      <c r="E1007" s="11">
        <v>0.115</v>
      </c>
      <c r="F1007" s="7">
        <f>TRUNC(31.44,2)</f>
        <v>31.44</v>
      </c>
      <c r="G1007" s="7">
        <f t="shared" si="49"/>
        <v>3.61</v>
      </c>
      <c r="H1007" s="7"/>
      <c r="I1007" s="11"/>
    </row>
    <row r="1008" spans="1:9" ht="15">
      <c r="A1008" s="8"/>
      <c r="B1008" s="12" t="s">
        <v>209</v>
      </c>
      <c r="C1008" s="200" t="s">
        <v>210</v>
      </c>
      <c r="D1008" s="8" t="s">
        <v>7</v>
      </c>
      <c r="E1008" s="11">
        <v>2</v>
      </c>
      <c r="F1008" s="7">
        <f>TRUNC(4.1,2)</f>
        <v>4.1</v>
      </c>
      <c r="G1008" s="7">
        <f t="shared" si="49"/>
        <v>8.2</v>
      </c>
      <c r="H1008" s="7"/>
      <c r="I1008" s="11"/>
    </row>
    <row r="1009" spans="1:9" ht="15">
      <c r="A1009" s="8"/>
      <c r="B1009" s="12" t="s">
        <v>71</v>
      </c>
      <c r="C1009" s="200" t="s">
        <v>72</v>
      </c>
      <c r="D1009" s="8" t="s">
        <v>47</v>
      </c>
      <c r="E1009" s="11">
        <v>0.1734</v>
      </c>
      <c r="F1009" s="7">
        <f>TRUNC(29.27,2)</f>
        <v>29.27</v>
      </c>
      <c r="G1009" s="7">
        <f t="shared" si="49"/>
        <v>5.07</v>
      </c>
      <c r="H1009" s="7"/>
      <c r="I1009" s="11"/>
    </row>
    <row r="1010" spans="1:9" ht="15">
      <c r="A1010" s="8"/>
      <c r="B1010" s="12" t="s">
        <v>177</v>
      </c>
      <c r="C1010" s="200" t="s">
        <v>178</v>
      </c>
      <c r="D1010" s="8" t="s">
        <v>47</v>
      </c>
      <c r="E1010" s="11">
        <v>0.1734</v>
      </c>
      <c r="F1010" s="7">
        <f>TRUNC(24.08,2)</f>
        <v>24.08</v>
      </c>
      <c r="G1010" s="7">
        <f t="shared" si="49"/>
        <v>4.17</v>
      </c>
      <c r="H1010" s="7"/>
      <c r="I1010" s="11"/>
    </row>
    <row r="1011" spans="1:9" ht="15">
      <c r="A1011" s="8"/>
      <c r="B1011" s="12"/>
      <c r="C1011" s="200"/>
      <c r="D1011" s="8"/>
      <c r="E1011" s="11" t="s">
        <v>33</v>
      </c>
      <c r="F1011" s="7"/>
      <c r="G1011" s="7">
        <f>TRUNC(SUM(G1006:G1010),2)</f>
        <v>96.37</v>
      </c>
      <c r="H1011" s="7"/>
      <c r="I1011" s="11"/>
    </row>
    <row r="1012" spans="1:9" ht="45">
      <c r="A1012" s="103" t="s">
        <v>1397</v>
      </c>
      <c r="B1012" s="110" t="s">
        <v>206</v>
      </c>
      <c r="C1012" s="210" t="s">
        <v>207</v>
      </c>
      <c r="D1012" s="103" t="s">
        <v>7</v>
      </c>
      <c r="E1012" s="111">
        <v>12</v>
      </c>
      <c r="F1012" s="111">
        <f>TRUNC(F1013,2)</f>
        <v>10.93</v>
      </c>
      <c r="G1012" s="111">
        <f>TRUNC(F1012*1.2882,2)</f>
        <v>14.08</v>
      </c>
      <c r="H1012" s="111">
        <f>TRUNC(F1012*E1012,2)</f>
        <v>131.16</v>
      </c>
      <c r="I1012" s="111">
        <f>TRUNC(E1012*G1012,2)</f>
        <v>168.96</v>
      </c>
    </row>
    <row r="1013" spans="1:9" ht="45">
      <c r="A1013" s="8"/>
      <c r="B1013" s="12" t="s">
        <v>206</v>
      </c>
      <c r="C1013" s="200" t="s">
        <v>300</v>
      </c>
      <c r="D1013" s="8" t="s">
        <v>7</v>
      </c>
      <c r="E1013" s="11">
        <v>1</v>
      </c>
      <c r="F1013" s="7">
        <f>G1020</f>
        <v>10.93</v>
      </c>
      <c r="G1013" s="7">
        <f aca="true" t="shared" si="50" ref="G1013:G1019">TRUNC(E1013*F1013,2)</f>
        <v>10.93</v>
      </c>
      <c r="H1013" s="7"/>
      <c r="I1013" s="11"/>
    </row>
    <row r="1014" spans="1:9" ht="15">
      <c r="A1014" s="8"/>
      <c r="B1014" s="12" t="s">
        <v>171</v>
      </c>
      <c r="C1014" s="200" t="s">
        <v>172</v>
      </c>
      <c r="D1014" s="8" t="s">
        <v>7</v>
      </c>
      <c r="E1014" s="11">
        <v>0.0071</v>
      </c>
      <c r="F1014" s="7">
        <f>TRUNC(2.13,2)</f>
        <v>2.13</v>
      </c>
      <c r="G1014" s="7">
        <f t="shared" si="50"/>
        <v>0.01</v>
      </c>
      <c r="H1014" s="7"/>
      <c r="I1014" s="11"/>
    </row>
    <row r="1015" spans="1:9" ht="15">
      <c r="A1015" s="8"/>
      <c r="B1015" s="12" t="s">
        <v>173</v>
      </c>
      <c r="C1015" s="200" t="s">
        <v>174</v>
      </c>
      <c r="D1015" s="8" t="s">
        <v>7</v>
      </c>
      <c r="E1015" s="11">
        <v>0.015</v>
      </c>
      <c r="F1015" s="7">
        <f>TRUNC(86.3,2)</f>
        <v>86.3</v>
      </c>
      <c r="G1015" s="7">
        <f t="shared" si="50"/>
        <v>1.29</v>
      </c>
      <c r="H1015" s="7"/>
      <c r="I1015" s="11"/>
    </row>
    <row r="1016" spans="1:9" ht="30">
      <c r="A1016" s="8"/>
      <c r="B1016" s="12" t="s">
        <v>208</v>
      </c>
      <c r="C1016" s="200" t="s">
        <v>268</v>
      </c>
      <c r="D1016" s="8" t="s">
        <v>7</v>
      </c>
      <c r="E1016" s="11">
        <v>1</v>
      </c>
      <c r="F1016" s="7">
        <f>TRUNC(2.12,2)</f>
        <v>2.12</v>
      </c>
      <c r="G1016" s="7">
        <f t="shared" si="50"/>
        <v>2.12</v>
      </c>
      <c r="H1016" s="7"/>
      <c r="I1016" s="11"/>
    </row>
    <row r="1017" spans="1:9" ht="15">
      <c r="A1017" s="8"/>
      <c r="B1017" s="12" t="s">
        <v>175</v>
      </c>
      <c r="C1017" s="200" t="s">
        <v>176</v>
      </c>
      <c r="D1017" s="8" t="s">
        <v>7</v>
      </c>
      <c r="E1017" s="11">
        <v>0.0099</v>
      </c>
      <c r="F1017" s="7">
        <f>TRUNC(76.17,2)</f>
        <v>76.17</v>
      </c>
      <c r="G1017" s="7">
        <f t="shared" si="50"/>
        <v>0.75</v>
      </c>
      <c r="H1017" s="7"/>
      <c r="I1017" s="11"/>
    </row>
    <row r="1018" spans="1:9" ht="15">
      <c r="A1018" s="8"/>
      <c r="B1018" s="12" t="s">
        <v>71</v>
      </c>
      <c r="C1018" s="200" t="s">
        <v>72</v>
      </c>
      <c r="D1018" s="8" t="s">
        <v>47</v>
      </c>
      <c r="E1018" s="11">
        <v>0.127</v>
      </c>
      <c r="F1018" s="7">
        <f>TRUNC(29.27,2)</f>
        <v>29.27</v>
      </c>
      <c r="G1018" s="7">
        <f t="shared" si="50"/>
        <v>3.71</v>
      </c>
      <c r="H1018" s="7"/>
      <c r="I1018" s="11"/>
    </row>
    <row r="1019" spans="1:9" ht="15">
      <c r="A1019" s="8"/>
      <c r="B1019" s="12" t="s">
        <v>177</v>
      </c>
      <c r="C1019" s="200" t="s">
        <v>178</v>
      </c>
      <c r="D1019" s="8" t="s">
        <v>47</v>
      </c>
      <c r="E1019" s="11">
        <v>0.127</v>
      </c>
      <c r="F1019" s="7">
        <f>TRUNC(24.08,2)</f>
        <v>24.08</v>
      </c>
      <c r="G1019" s="7">
        <f t="shared" si="50"/>
        <v>3.05</v>
      </c>
      <c r="H1019" s="7"/>
      <c r="I1019" s="11"/>
    </row>
    <row r="1020" spans="1:9" ht="15">
      <c r="A1020" s="8"/>
      <c r="B1020" s="12"/>
      <c r="C1020" s="200"/>
      <c r="D1020" s="8"/>
      <c r="E1020" s="11" t="s">
        <v>33</v>
      </c>
      <c r="F1020" s="7"/>
      <c r="G1020" s="7">
        <f>TRUNC(SUM(G1014:G1019),2)</f>
        <v>10.93</v>
      </c>
      <c r="H1020" s="7"/>
      <c r="I1020" s="11"/>
    </row>
    <row r="1021" spans="1:9" ht="45">
      <c r="A1021" s="103" t="s">
        <v>1419</v>
      </c>
      <c r="B1021" s="110" t="s">
        <v>301</v>
      </c>
      <c r="C1021" s="210" t="s">
        <v>302</v>
      </c>
      <c r="D1021" s="103" t="s">
        <v>7</v>
      </c>
      <c r="E1021" s="111">
        <v>8</v>
      </c>
      <c r="F1021" s="111">
        <f>TRUNC(F1022,2)</f>
        <v>11.18</v>
      </c>
      <c r="G1021" s="111">
        <f>TRUNC(F1021*1.2882,2)</f>
        <v>14.4</v>
      </c>
      <c r="H1021" s="111">
        <f>TRUNC(F1021*E1021,2)</f>
        <v>89.44</v>
      </c>
      <c r="I1021" s="111">
        <f>TRUNC(E1021*G1021,2)</f>
        <v>115.2</v>
      </c>
    </row>
    <row r="1022" spans="1:9" ht="45">
      <c r="A1022" s="8"/>
      <c r="B1022" s="12" t="s">
        <v>301</v>
      </c>
      <c r="C1022" s="200" t="s">
        <v>302</v>
      </c>
      <c r="D1022" s="8" t="s">
        <v>7</v>
      </c>
      <c r="E1022" s="11">
        <v>1</v>
      </c>
      <c r="F1022" s="7">
        <f>TRUNC(11.189156,2)</f>
        <v>11.18</v>
      </c>
      <c r="G1022" s="7">
        <f aca="true" t="shared" si="51" ref="G1022:G1028">TRUNC(E1022*F1022,2)</f>
        <v>11.18</v>
      </c>
      <c r="H1022" s="7"/>
      <c r="I1022" s="11"/>
    </row>
    <row r="1023" spans="1:9" ht="15">
      <c r="A1023" s="8"/>
      <c r="B1023" s="12" t="s">
        <v>171</v>
      </c>
      <c r="C1023" s="200" t="s">
        <v>172</v>
      </c>
      <c r="D1023" s="8" t="s">
        <v>7</v>
      </c>
      <c r="E1023" s="11">
        <v>0.0071</v>
      </c>
      <c r="F1023" s="7">
        <f>TRUNC(2.13,2)</f>
        <v>2.13</v>
      </c>
      <c r="G1023" s="7">
        <f t="shared" si="51"/>
        <v>0.01</v>
      </c>
      <c r="H1023" s="7"/>
      <c r="I1023" s="11"/>
    </row>
    <row r="1024" spans="1:9" ht="15">
      <c r="A1024" s="8"/>
      <c r="B1024" s="12" t="s">
        <v>173</v>
      </c>
      <c r="C1024" s="200" t="s">
        <v>174</v>
      </c>
      <c r="D1024" s="8" t="s">
        <v>7</v>
      </c>
      <c r="E1024" s="11">
        <v>0.015</v>
      </c>
      <c r="F1024" s="7">
        <f>TRUNC(86.3,2)</f>
        <v>86.3</v>
      </c>
      <c r="G1024" s="7">
        <f t="shared" si="51"/>
        <v>1.29</v>
      </c>
      <c r="H1024" s="7"/>
      <c r="I1024" s="11"/>
    </row>
    <row r="1025" spans="1:9" ht="15">
      <c r="A1025" s="8"/>
      <c r="B1025" s="12" t="s">
        <v>303</v>
      </c>
      <c r="C1025" s="200" t="s">
        <v>304</v>
      </c>
      <c r="D1025" s="8" t="s">
        <v>7</v>
      </c>
      <c r="E1025" s="11">
        <v>1</v>
      </c>
      <c r="F1025" s="7">
        <f>TRUNC(2.35,2)</f>
        <v>2.35</v>
      </c>
      <c r="G1025" s="7">
        <f t="shared" si="51"/>
        <v>2.35</v>
      </c>
      <c r="H1025" s="7"/>
      <c r="I1025" s="11"/>
    </row>
    <row r="1026" spans="1:9" ht="15">
      <c r="A1026" s="8"/>
      <c r="B1026" s="12" t="s">
        <v>175</v>
      </c>
      <c r="C1026" s="200" t="s">
        <v>176</v>
      </c>
      <c r="D1026" s="8" t="s">
        <v>7</v>
      </c>
      <c r="E1026" s="11">
        <v>0.0099</v>
      </c>
      <c r="F1026" s="7">
        <f>TRUNC(76.17,2)</f>
        <v>76.17</v>
      </c>
      <c r="G1026" s="7">
        <f t="shared" si="51"/>
        <v>0.75</v>
      </c>
      <c r="H1026" s="7"/>
      <c r="I1026" s="11"/>
    </row>
    <row r="1027" spans="1:9" ht="15">
      <c r="A1027" s="8"/>
      <c r="B1027" s="12" t="s">
        <v>71</v>
      </c>
      <c r="C1027" s="200" t="s">
        <v>72</v>
      </c>
      <c r="D1027" s="8" t="s">
        <v>47</v>
      </c>
      <c r="E1027" s="11">
        <v>0.127</v>
      </c>
      <c r="F1027" s="7">
        <f>TRUNC(29.27,2)</f>
        <v>29.27</v>
      </c>
      <c r="G1027" s="7">
        <f t="shared" si="51"/>
        <v>3.71</v>
      </c>
      <c r="H1027" s="7"/>
      <c r="I1027" s="11"/>
    </row>
    <row r="1028" spans="1:9" ht="15">
      <c r="A1028" s="8"/>
      <c r="B1028" s="12" t="s">
        <v>177</v>
      </c>
      <c r="C1028" s="200" t="s">
        <v>178</v>
      </c>
      <c r="D1028" s="8" t="s">
        <v>47</v>
      </c>
      <c r="E1028" s="11">
        <v>0.127</v>
      </c>
      <c r="F1028" s="7">
        <f>TRUNC(24.08,2)</f>
        <v>24.08</v>
      </c>
      <c r="G1028" s="7">
        <f t="shared" si="51"/>
        <v>3.05</v>
      </c>
      <c r="H1028" s="7"/>
      <c r="I1028" s="11"/>
    </row>
    <row r="1029" spans="1:9" ht="15">
      <c r="A1029" s="8"/>
      <c r="B1029" s="12"/>
      <c r="C1029" s="200"/>
      <c r="D1029" s="8"/>
      <c r="E1029" s="11" t="s">
        <v>33</v>
      </c>
      <c r="F1029" s="7"/>
      <c r="G1029" s="7">
        <f>TRUNC(SUM(G1023:G1028),2)</f>
        <v>11.16</v>
      </c>
      <c r="H1029" s="7"/>
      <c r="I1029" s="11"/>
    </row>
    <row r="1030" spans="1:9" ht="45">
      <c r="A1030" s="103" t="s">
        <v>1420</v>
      </c>
      <c r="B1030" s="110" t="s">
        <v>305</v>
      </c>
      <c r="C1030" s="210" t="s">
        <v>306</v>
      </c>
      <c r="D1030" s="103" t="s">
        <v>7</v>
      </c>
      <c r="E1030" s="111">
        <v>1</v>
      </c>
      <c r="F1030" s="111">
        <f>TRUNC(F1031,2)</f>
        <v>23.99</v>
      </c>
      <c r="G1030" s="111">
        <f>TRUNC(F1030*1.2882,2)</f>
        <v>30.9</v>
      </c>
      <c r="H1030" s="111">
        <f>TRUNC(F1030*E1030,2)</f>
        <v>23.99</v>
      </c>
      <c r="I1030" s="111">
        <f>TRUNC(E1030*G1030,2)</f>
        <v>30.9</v>
      </c>
    </row>
    <row r="1031" spans="1:9" ht="45">
      <c r="A1031" s="8"/>
      <c r="B1031" s="12" t="s">
        <v>305</v>
      </c>
      <c r="C1031" s="200" t="s">
        <v>306</v>
      </c>
      <c r="D1031" s="8" t="s">
        <v>7</v>
      </c>
      <c r="E1031" s="11">
        <v>1</v>
      </c>
      <c r="F1031" s="7">
        <f>TRUNC(23.99142,2)</f>
        <v>23.99</v>
      </c>
      <c r="G1031" s="7">
        <f aca="true" t="shared" si="52" ref="G1031:G1036">TRUNC(E1031*F1031,2)</f>
        <v>23.99</v>
      </c>
      <c r="H1031" s="7"/>
      <c r="I1031" s="11"/>
    </row>
    <row r="1032" spans="1:9" ht="30">
      <c r="A1032" s="8"/>
      <c r="B1032" s="12" t="s">
        <v>197</v>
      </c>
      <c r="C1032" s="200" t="s">
        <v>198</v>
      </c>
      <c r="D1032" s="8" t="s">
        <v>7</v>
      </c>
      <c r="E1032" s="11">
        <v>0.075</v>
      </c>
      <c r="F1032" s="7">
        <f>TRUNC(31.44,2)</f>
        <v>31.44</v>
      </c>
      <c r="G1032" s="7">
        <f t="shared" si="52"/>
        <v>2.35</v>
      </c>
      <c r="H1032" s="7"/>
      <c r="I1032" s="11"/>
    </row>
    <row r="1033" spans="1:9" ht="15">
      <c r="A1033" s="8"/>
      <c r="B1033" s="12" t="s">
        <v>307</v>
      </c>
      <c r="C1033" s="200" t="s">
        <v>308</v>
      </c>
      <c r="D1033" s="8" t="s">
        <v>7</v>
      </c>
      <c r="E1033" s="11">
        <v>1</v>
      </c>
      <c r="F1033" s="7">
        <f>TRUNC(7,2)</f>
        <v>7</v>
      </c>
      <c r="G1033" s="7">
        <f t="shared" si="52"/>
        <v>7</v>
      </c>
      <c r="H1033" s="7"/>
      <c r="I1033" s="11"/>
    </row>
    <row r="1034" spans="1:9" ht="15">
      <c r="A1034" s="8"/>
      <c r="B1034" s="12" t="s">
        <v>202</v>
      </c>
      <c r="C1034" s="200" t="s">
        <v>203</v>
      </c>
      <c r="D1034" s="8" t="s">
        <v>7</v>
      </c>
      <c r="E1034" s="11">
        <v>2</v>
      </c>
      <c r="F1034" s="7">
        <f>TRUNC(2.91,2)</f>
        <v>2.91</v>
      </c>
      <c r="G1034" s="7">
        <f t="shared" si="52"/>
        <v>5.82</v>
      </c>
      <c r="H1034" s="7"/>
      <c r="I1034" s="11"/>
    </row>
    <row r="1035" spans="1:9" ht="15">
      <c r="A1035" s="8"/>
      <c r="B1035" s="12" t="s">
        <v>71</v>
      </c>
      <c r="C1035" s="200" t="s">
        <v>72</v>
      </c>
      <c r="D1035" s="8" t="s">
        <v>47</v>
      </c>
      <c r="E1035" s="11">
        <v>0.1652</v>
      </c>
      <c r="F1035" s="7">
        <f>TRUNC(29.27,2)</f>
        <v>29.27</v>
      </c>
      <c r="G1035" s="7">
        <f t="shared" si="52"/>
        <v>4.83</v>
      </c>
      <c r="H1035" s="7"/>
      <c r="I1035" s="11"/>
    </row>
    <row r="1036" spans="1:9" ht="15">
      <c r="A1036" s="8"/>
      <c r="B1036" s="12" t="s">
        <v>177</v>
      </c>
      <c r="C1036" s="200" t="s">
        <v>178</v>
      </c>
      <c r="D1036" s="8" t="s">
        <v>47</v>
      </c>
      <c r="E1036" s="11">
        <v>0.1652</v>
      </c>
      <c r="F1036" s="7">
        <f>TRUNC(24.08,2)</f>
        <v>24.08</v>
      </c>
      <c r="G1036" s="7">
        <f t="shared" si="52"/>
        <v>3.97</v>
      </c>
      <c r="H1036" s="7"/>
      <c r="I1036" s="11"/>
    </row>
    <row r="1037" spans="1:9" ht="15">
      <c r="A1037" s="8"/>
      <c r="B1037" s="12"/>
      <c r="C1037" s="200"/>
      <c r="D1037" s="8"/>
      <c r="E1037" s="11" t="s">
        <v>33</v>
      </c>
      <c r="F1037" s="7"/>
      <c r="G1037" s="7">
        <f>TRUNC(SUM(G1032:G1036),2)</f>
        <v>23.97</v>
      </c>
      <c r="H1037" s="7"/>
      <c r="I1037" s="11"/>
    </row>
    <row r="1038" spans="1:9" ht="45">
      <c r="A1038" s="103" t="s">
        <v>1421</v>
      </c>
      <c r="B1038" s="110" t="s">
        <v>309</v>
      </c>
      <c r="C1038" s="210" t="s">
        <v>310</v>
      </c>
      <c r="D1038" s="103" t="s">
        <v>7</v>
      </c>
      <c r="E1038" s="111">
        <v>5</v>
      </c>
      <c r="F1038" s="111">
        <f>TRUNC(F1039,2)</f>
        <v>24.97</v>
      </c>
      <c r="G1038" s="111">
        <f>TRUNC(F1038*1.2882,2)</f>
        <v>32.16</v>
      </c>
      <c r="H1038" s="111">
        <f>TRUNC(F1038*E1038,2)</f>
        <v>124.85</v>
      </c>
      <c r="I1038" s="111">
        <f>TRUNC(E1038*G1038,2)</f>
        <v>160.8</v>
      </c>
    </row>
    <row r="1039" spans="1:9" ht="45">
      <c r="A1039" s="8"/>
      <c r="B1039" s="12" t="s">
        <v>309</v>
      </c>
      <c r="C1039" s="200" t="s">
        <v>310</v>
      </c>
      <c r="D1039" s="8" t="s">
        <v>7</v>
      </c>
      <c r="E1039" s="11">
        <v>1</v>
      </c>
      <c r="F1039" s="7">
        <f>TRUNC(24.97142,2)</f>
        <v>24.97</v>
      </c>
      <c r="G1039" s="7">
        <f aca="true" t="shared" si="53" ref="G1039:G1044">TRUNC(E1039*F1039,2)</f>
        <v>24.97</v>
      </c>
      <c r="H1039" s="7"/>
      <c r="I1039" s="11"/>
    </row>
    <row r="1040" spans="1:9" ht="30">
      <c r="A1040" s="8"/>
      <c r="B1040" s="12" t="s">
        <v>197</v>
      </c>
      <c r="C1040" s="200" t="s">
        <v>198</v>
      </c>
      <c r="D1040" s="8" t="s">
        <v>7</v>
      </c>
      <c r="E1040" s="11">
        <v>0.075</v>
      </c>
      <c r="F1040" s="7">
        <f>TRUNC(31.44,2)</f>
        <v>31.44</v>
      </c>
      <c r="G1040" s="7">
        <f t="shared" si="53"/>
        <v>2.35</v>
      </c>
      <c r="H1040" s="7"/>
      <c r="I1040" s="11"/>
    </row>
    <row r="1041" spans="1:9" ht="15">
      <c r="A1041" s="8"/>
      <c r="B1041" s="12" t="s">
        <v>311</v>
      </c>
      <c r="C1041" s="200" t="s">
        <v>312</v>
      </c>
      <c r="D1041" s="8" t="s">
        <v>7</v>
      </c>
      <c r="E1041" s="11">
        <v>1</v>
      </c>
      <c r="F1041" s="7">
        <f>TRUNC(7.98,2)</f>
        <v>7.98</v>
      </c>
      <c r="G1041" s="7">
        <f t="shared" si="53"/>
        <v>7.98</v>
      </c>
      <c r="H1041" s="7"/>
      <c r="I1041" s="11"/>
    </row>
    <row r="1042" spans="1:9" ht="15">
      <c r="A1042" s="8"/>
      <c r="B1042" s="12" t="s">
        <v>202</v>
      </c>
      <c r="C1042" s="200" t="s">
        <v>203</v>
      </c>
      <c r="D1042" s="8" t="s">
        <v>7</v>
      </c>
      <c r="E1042" s="11">
        <v>2</v>
      </c>
      <c r="F1042" s="7">
        <f>TRUNC(2.91,2)</f>
        <v>2.91</v>
      </c>
      <c r="G1042" s="7">
        <f t="shared" si="53"/>
        <v>5.82</v>
      </c>
      <c r="H1042" s="7"/>
      <c r="I1042" s="11"/>
    </row>
    <row r="1043" spans="1:9" ht="15">
      <c r="A1043" s="8"/>
      <c r="B1043" s="12" t="s">
        <v>71</v>
      </c>
      <c r="C1043" s="200" t="s">
        <v>72</v>
      </c>
      <c r="D1043" s="8" t="s">
        <v>47</v>
      </c>
      <c r="E1043" s="11">
        <v>0.1652</v>
      </c>
      <c r="F1043" s="7">
        <f>TRUNC(29.27,2)</f>
        <v>29.27</v>
      </c>
      <c r="G1043" s="7">
        <f t="shared" si="53"/>
        <v>4.83</v>
      </c>
      <c r="H1043" s="7"/>
      <c r="I1043" s="11"/>
    </row>
    <row r="1044" spans="1:9" ht="15">
      <c r="A1044" s="8"/>
      <c r="B1044" s="12" t="s">
        <v>177</v>
      </c>
      <c r="C1044" s="200" t="s">
        <v>178</v>
      </c>
      <c r="D1044" s="8" t="s">
        <v>47</v>
      </c>
      <c r="E1044" s="11">
        <v>0.1652</v>
      </c>
      <c r="F1044" s="7">
        <f>TRUNC(24.08,2)</f>
        <v>24.08</v>
      </c>
      <c r="G1044" s="7">
        <f t="shared" si="53"/>
        <v>3.97</v>
      </c>
      <c r="H1044" s="7"/>
      <c r="I1044" s="11"/>
    </row>
    <row r="1045" spans="1:9" ht="15">
      <c r="A1045" s="8"/>
      <c r="B1045" s="12"/>
      <c r="C1045" s="200"/>
      <c r="D1045" s="8"/>
      <c r="E1045" s="11" t="s">
        <v>33</v>
      </c>
      <c r="F1045" s="7"/>
      <c r="G1045" s="7">
        <f>TRUNC(SUM(G1040:G1044),2)</f>
        <v>24.95</v>
      </c>
      <c r="H1045" s="7"/>
      <c r="I1045" s="11"/>
    </row>
    <row r="1046" spans="1:9" ht="45">
      <c r="A1046" s="103" t="s">
        <v>1422</v>
      </c>
      <c r="B1046" s="110" t="s">
        <v>313</v>
      </c>
      <c r="C1046" s="210" t="s">
        <v>314</v>
      </c>
      <c r="D1046" s="103" t="s">
        <v>7</v>
      </c>
      <c r="E1046" s="111">
        <v>5</v>
      </c>
      <c r="F1046" s="111">
        <f>TRUNC(F1047,2)</f>
        <v>29.25</v>
      </c>
      <c r="G1046" s="111">
        <f>TRUNC(F1046*1.2882,2)</f>
        <v>37.67</v>
      </c>
      <c r="H1046" s="111">
        <f>TRUNC(F1046*E1046,2)</f>
        <v>146.25</v>
      </c>
      <c r="I1046" s="111">
        <f>TRUNC(E1046*G1046,2)</f>
        <v>188.35</v>
      </c>
    </row>
    <row r="1047" spans="1:9" ht="45">
      <c r="A1047" s="8"/>
      <c r="B1047" s="12" t="s">
        <v>313</v>
      </c>
      <c r="C1047" s="200" t="s">
        <v>314</v>
      </c>
      <c r="D1047" s="8" t="s">
        <v>7</v>
      </c>
      <c r="E1047" s="11">
        <v>1</v>
      </c>
      <c r="F1047" s="7">
        <f>TRUNC(29.25081,2)</f>
        <v>29.25</v>
      </c>
      <c r="G1047" s="7">
        <f aca="true" t="shared" si="54" ref="G1047:G1052">TRUNC(E1047*F1047,2)</f>
        <v>29.25</v>
      </c>
      <c r="H1047" s="7"/>
      <c r="I1047" s="11"/>
    </row>
    <row r="1048" spans="1:9" ht="30">
      <c r="A1048" s="8"/>
      <c r="B1048" s="12" t="s">
        <v>197</v>
      </c>
      <c r="C1048" s="200" t="s">
        <v>198</v>
      </c>
      <c r="D1048" s="8" t="s">
        <v>7</v>
      </c>
      <c r="E1048" s="11">
        <v>0.115</v>
      </c>
      <c r="F1048" s="7">
        <f>TRUNC(31.44,2)</f>
        <v>31.44</v>
      </c>
      <c r="G1048" s="7">
        <f t="shared" si="54"/>
        <v>3.61</v>
      </c>
      <c r="H1048" s="7"/>
      <c r="I1048" s="11"/>
    </row>
    <row r="1049" spans="1:9" ht="15">
      <c r="A1049" s="8"/>
      <c r="B1049" s="12" t="s">
        <v>315</v>
      </c>
      <c r="C1049" s="200" t="s">
        <v>316</v>
      </c>
      <c r="D1049" s="8" t="s">
        <v>7</v>
      </c>
      <c r="E1049" s="11">
        <v>1</v>
      </c>
      <c r="F1049" s="7">
        <f>TRUNC(8.36,2)</f>
        <v>8.36</v>
      </c>
      <c r="G1049" s="7">
        <f t="shared" si="54"/>
        <v>8.36</v>
      </c>
      <c r="H1049" s="7"/>
      <c r="I1049" s="11"/>
    </row>
    <row r="1050" spans="1:9" ht="15">
      <c r="A1050" s="8"/>
      <c r="B1050" s="12" t="s">
        <v>200</v>
      </c>
      <c r="C1050" s="200" t="s">
        <v>201</v>
      </c>
      <c r="D1050" s="8" t="s">
        <v>7</v>
      </c>
      <c r="E1050" s="11">
        <v>2</v>
      </c>
      <c r="F1050" s="7">
        <f>TRUNC(3.5,2)</f>
        <v>3.5</v>
      </c>
      <c r="G1050" s="7">
        <f t="shared" si="54"/>
        <v>7</v>
      </c>
      <c r="H1050" s="7"/>
      <c r="I1050" s="11"/>
    </row>
    <row r="1051" spans="1:9" ht="15">
      <c r="A1051" s="8"/>
      <c r="B1051" s="12" t="s">
        <v>71</v>
      </c>
      <c r="C1051" s="200" t="s">
        <v>72</v>
      </c>
      <c r="D1051" s="8" t="s">
        <v>47</v>
      </c>
      <c r="E1051" s="11">
        <v>0.1926</v>
      </c>
      <c r="F1051" s="7">
        <f>TRUNC(29.27,2)</f>
        <v>29.27</v>
      </c>
      <c r="G1051" s="7">
        <f t="shared" si="54"/>
        <v>5.63</v>
      </c>
      <c r="H1051" s="7"/>
      <c r="I1051" s="11"/>
    </row>
    <row r="1052" spans="1:9" ht="15">
      <c r="A1052" s="8"/>
      <c r="B1052" s="12" t="s">
        <v>177</v>
      </c>
      <c r="C1052" s="200" t="s">
        <v>178</v>
      </c>
      <c r="D1052" s="8" t="s">
        <v>47</v>
      </c>
      <c r="E1052" s="11">
        <v>0.1926</v>
      </c>
      <c r="F1052" s="7">
        <f>TRUNC(24.08,2)</f>
        <v>24.08</v>
      </c>
      <c r="G1052" s="7">
        <f t="shared" si="54"/>
        <v>4.63</v>
      </c>
      <c r="H1052" s="7"/>
      <c r="I1052" s="11"/>
    </row>
    <row r="1053" spans="1:9" ht="15">
      <c r="A1053" s="8"/>
      <c r="B1053" s="12"/>
      <c r="C1053" s="200"/>
      <c r="D1053" s="8"/>
      <c r="E1053" s="11" t="s">
        <v>33</v>
      </c>
      <c r="F1053" s="7"/>
      <c r="G1053" s="7">
        <f>TRUNC(SUM(G1048:G1052),2)</f>
        <v>29.23</v>
      </c>
      <c r="H1053" s="7"/>
      <c r="I1053" s="11"/>
    </row>
    <row r="1054" spans="1:9" ht="45">
      <c r="A1054" s="103" t="s">
        <v>1423</v>
      </c>
      <c r="B1054" s="110" t="s">
        <v>317</v>
      </c>
      <c r="C1054" s="210" t="s">
        <v>318</v>
      </c>
      <c r="D1054" s="103" t="s">
        <v>7</v>
      </c>
      <c r="E1054" s="111">
        <v>2</v>
      </c>
      <c r="F1054" s="111">
        <f>TRUNC(F1055,2)</f>
        <v>30.09</v>
      </c>
      <c r="G1054" s="111">
        <f>TRUNC(F1054*1.2882,2)</f>
        <v>38.76</v>
      </c>
      <c r="H1054" s="111">
        <f>TRUNC(F1054*E1054,2)</f>
        <v>60.18</v>
      </c>
      <c r="I1054" s="111">
        <f>TRUNC(E1054*G1054,2)</f>
        <v>77.52</v>
      </c>
    </row>
    <row r="1055" spans="1:9" ht="45">
      <c r="A1055" s="8"/>
      <c r="B1055" s="12" t="s">
        <v>317</v>
      </c>
      <c r="C1055" s="200" t="s">
        <v>318</v>
      </c>
      <c r="D1055" s="8" t="s">
        <v>7</v>
      </c>
      <c r="E1055" s="11">
        <v>1</v>
      </c>
      <c r="F1055" s="7">
        <f>TRUNC(30.09081,2)</f>
        <v>30.09</v>
      </c>
      <c r="G1055" s="7">
        <f aca="true" t="shared" si="55" ref="G1055:G1060">TRUNC(E1055*F1055,2)</f>
        <v>30.09</v>
      </c>
      <c r="H1055" s="7"/>
      <c r="I1055" s="11"/>
    </row>
    <row r="1056" spans="1:9" ht="30">
      <c r="A1056" s="8"/>
      <c r="B1056" s="12" t="s">
        <v>197</v>
      </c>
      <c r="C1056" s="200" t="s">
        <v>198</v>
      </c>
      <c r="D1056" s="8" t="s">
        <v>7</v>
      </c>
      <c r="E1056" s="11">
        <v>0.115</v>
      </c>
      <c r="F1056" s="7">
        <f>TRUNC(31.44,2)</f>
        <v>31.44</v>
      </c>
      <c r="G1056" s="7">
        <f t="shared" si="55"/>
        <v>3.61</v>
      </c>
      <c r="H1056" s="7"/>
      <c r="I1056" s="11"/>
    </row>
    <row r="1057" spans="1:9" ht="15">
      <c r="A1057" s="8"/>
      <c r="B1057" s="12" t="s">
        <v>319</v>
      </c>
      <c r="C1057" s="200" t="s">
        <v>320</v>
      </c>
      <c r="D1057" s="8" t="s">
        <v>7</v>
      </c>
      <c r="E1057" s="11">
        <v>1</v>
      </c>
      <c r="F1057" s="7">
        <f>TRUNC(9.2,2)</f>
        <v>9.2</v>
      </c>
      <c r="G1057" s="7">
        <f t="shared" si="55"/>
        <v>9.2</v>
      </c>
      <c r="H1057" s="7"/>
      <c r="I1057" s="11"/>
    </row>
    <row r="1058" spans="1:9" ht="15">
      <c r="A1058" s="8"/>
      <c r="B1058" s="12" t="s">
        <v>200</v>
      </c>
      <c r="C1058" s="200" t="s">
        <v>201</v>
      </c>
      <c r="D1058" s="8" t="s">
        <v>7</v>
      </c>
      <c r="E1058" s="11">
        <v>2</v>
      </c>
      <c r="F1058" s="7">
        <f>TRUNC(3.5,2)</f>
        <v>3.5</v>
      </c>
      <c r="G1058" s="7">
        <f t="shared" si="55"/>
        <v>7</v>
      </c>
      <c r="H1058" s="7"/>
      <c r="I1058" s="11"/>
    </row>
    <row r="1059" spans="1:9" ht="15">
      <c r="A1059" s="8"/>
      <c r="B1059" s="12" t="s">
        <v>71</v>
      </c>
      <c r="C1059" s="200" t="s">
        <v>72</v>
      </c>
      <c r="D1059" s="8" t="s">
        <v>47</v>
      </c>
      <c r="E1059" s="11">
        <v>0.1926</v>
      </c>
      <c r="F1059" s="7">
        <f>TRUNC(29.27,2)</f>
        <v>29.27</v>
      </c>
      <c r="G1059" s="7">
        <f t="shared" si="55"/>
        <v>5.63</v>
      </c>
      <c r="H1059" s="7"/>
      <c r="I1059" s="11"/>
    </row>
    <row r="1060" spans="1:9" ht="15">
      <c r="A1060" s="8"/>
      <c r="B1060" s="12" t="s">
        <v>177</v>
      </c>
      <c r="C1060" s="200" t="s">
        <v>178</v>
      </c>
      <c r="D1060" s="8" t="s">
        <v>47</v>
      </c>
      <c r="E1060" s="11">
        <v>0.1926</v>
      </c>
      <c r="F1060" s="7">
        <f>TRUNC(24.08,2)</f>
        <v>24.08</v>
      </c>
      <c r="G1060" s="7">
        <f t="shared" si="55"/>
        <v>4.63</v>
      </c>
      <c r="H1060" s="7"/>
      <c r="I1060" s="11"/>
    </row>
    <row r="1061" spans="1:9" ht="15">
      <c r="A1061" s="8"/>
      <c r="B1061" s="12"/>
      <c r="C1061" s="200"/>
      <c r="D1061" s="8"/>
      <c r="E1061" s="11" t="s">
        <v>33</v>
      </c>
      <c r="F1061" s="7"/>
      <c r="G1061" s="7">
        <f>TRUNC(SUM(G1056:G1060),2)</f>
        <v>30.07</v>
      </c>
      <c r="H1061" s="7"/>
      <c r="I1061" s="11"/>
    </row>
    <row r="1062" spans="1:9" ht="45">
      <c r="A1062" s="103" t="s">
        <v>1424</v>
      </c>
      <c r="B1062" s="110" t="s">
        <v>1484</v>
      </c>
      <c r="C1062" s="210" t="s">
        <v>1485</v>
      </c>
      <c r="D1062" s="103" t="s">
        <v>7</v>
      </c>
      <c r="E1062" s="111">
        <v>3</v>
      </c>
      <c r="F1062" s="111">
        <f>TRUNC(F1063,2)</f>
        <v>44.36</v>
      </c>
      <c r="G1062" s="111">
        <f>TRUNC(F1062*1.2882,2)</f>
        <v>57.14</v>
      </c>
      <c r="H1062" s="111">
        <f>TRUNC(F1062*E1062,2)</f>
        <v>133.08</v>
      </c>
      <c r="I1062" s="111">
        <f>TRUNC(E1062*G1062,2)</f>
        <v>171.42</v>
      </c>
    </row>
    <row r="1063" spans="1:9" ht="45">
      <c r="A1063" s="8"/>
      <c r="B1063" s="12" t="s">
        <v>195</v>
      </c>
      <c r="C1063" s="200" t="s">
        <v>1482</v>
      </c>
      <c r="D1063" s="8" t="s">
        <v>7</v>
      </c>
      <c r="E1063" s="11">
        <v>1</v>
      </c>
      <c r="F1063" s="7">
        <f>TRUNC(44.36081,2)</f>
        <v>44.36</v>
      </c>
      <c r="G1063" s="7">
        <f aca="true" t="shared" si="56" ref="G1063:G1068">TRUNC(E1063*F1063,2)</f>
        <v>44.36</v>
      </c>
      <c r="H1063" s="7"/>
      <c r="I1063" s="11"/>
    </row>
    <row r="1064" spans="1:9" ht="30">
      <c r="A1064" s="8"/>
      <c r="B1064" s="12" t="s">
        <v>197</v>
      </c>
      <c r="C1064" s="200" t="s">
        <v>198</v>
      </c>
      <c r="D1064" s="8" t="s">
        <v>7</v>
      </c>
      <c r="E1064" s="11">
        <v>0.115</v>
      </c>
      <c r="F1064" s="7">
        <f>TRUNC(31.44,2)</f>
        <v>31.44</v>
      </c>
      <c r="G1064" s="7">
        <f t="shared" si="56"/>
        <v>3.61</v>
      </c>
      <c r="H1064" s="7"/>
      <c r="I1064" s="11"/>
    </row>
    <row r="1065" spans="1:9" ht="15">
      <c r="A1065" s="8"/>
      <c r="B1065" s="12" t="s">
        <v>248</v>
      </c>
      <c r="C1065" s="200" t="s">
        <v>1483</v>
      </c>
      <c r="D1065" s="8" t="s">
        <v>7</v>
      </c>
      <c r="E1065" s="11">
        <v>1</v>
      </c>
      <c r="F1065" s="7">
        <f>TRUNC(23.47,2)</f>
        <v>23.47</v>
      </c>
      <c r="G1065" s="7">
        <f t="shared" si="56"/>
        <v>23.47</v>
      </c>
      <c r="H1065" s="7"/>
      <c r="I1065" s="11"/>
    </row>
    <row r="1066" spans="1:9" ht="15">
      <c r="A1066" s="8"/>
      <c r="B1066" s="12" t="s">
        <v>200</v>
      </c>
      <c r="C1066" s="200" t="s">
        <v>201</v>
      </c>
      <c r="D1066" s="8" t="s">
        <v>7</v>
      </c>
      <c r="E1066" s="11">
        <v>2</v>
      </c>
      <c r="F1066" s="7">
        <f>TRUNC(3.5,2)</f>
        <v>3.5</v>
      </c>
      <c r="G1066" s="7">
        <f t="shared" si="56"/>
        <v>7</v>
      </c>
      <c r="H1066" s="7"/>
      <c r="I1066" s="11"/>
    </row>
    <row r="1067" spans="1:9" ht="15">
      <c r="A1067" s="8"/>
      <c r="B1067" s="12" t="s">
        <v>71</v>
      </c>
      <c r="C1067" s="200" t="s">
        <v>72</v>
      </c>
      <c r="D1067" s="8" t="s">
        <v>47</v>
      </c>
      <c r="E1067" s="11">
        <v>0.1926</v>
      </c>
      <c r="F1067" s="7">
        <f>TRUNC(29.27,2)</f>
        <v>29.27</v>
      </c>
      <c r="G1067" s="7">
        <f t="shared" si="56"/>
        <v>5.63</v>
      </c>
      <c r="H1067" s="7"/>
      <c r="I1067" s="11"/>
    </row>
    <row r="1068" spans="1:9" ht="15">
      <c r="A1068" s="8"/>
      <c r="B1068" s="12" t="s">
        <v>177</v>
      </c>
      <c r="C1068" s="200" t="s">
        <v>178</v>
      </c>
      <c r="D1068" s="8" t="s">
        <v>47</v>
      </c>
      <c r="E1068" s="11">
        <v>0.1926</v>
      </c>
      <c r="F1068" s="7">
        <f>TRUNC(24.08,2)</f>
        <v>24.08</v>
      </c>
      <c r="G1068" s="7">
        <f t="shared" si="56"/>
        <v>4.63</v>
      </c>
      <c r="H1068" s="7"/>
      <c r="I1068" s="11"/>
    </row>
    <row r="1069" spans="1:9" ht="15">
      <c r="A1069" s="8"/>
      <c r="B1069" s="12"/>
      <c r="C1069" s="200"/>
      <c r="D1069" s="8"/>
      <c r="E1069" s="11" t="s">
        <v>33</v>
      </c>
      <c r="F1069" s="7"/>
      <c r="G1069" s="7">
        <f>TRUNC(SUM(G1064:G1068),2)</f>
        <v>44.34</v>
      </c>
      <c r="H1069" s="7"/>
      <c r="I1069" s="11"/>
    </row>
    <row r="1070" spans="1:9" ht="45">
      <c r="A1070" s="103" t="s">
        <v>1425</v>
      </c>
      <c r="B1070" s="110" t="s">
        <v>195</v>
      </c>
      <c r="C1070" s="210" t="s">
        <v>196</v>
      </c>
      <c r="D1070" s="103" t="s">
        <v>7</v>
      </c>
      <c r="E1070" s="111">
        <v>3</v>
      </c>
      <c r="F1070" s="111">
        <f>TRUNC(F1071,2)</f>
        <v>41.66</v>
      </c>
      <c r="G1070" s="111">
        <f>TRUNC(F1070*1.2882,2)</f>
        <v>53.66</v>
      </c>
      <c r="H1070" s="111">
        <f>TRUNC(F1070*E1070,2)</f>
        <v>124.98</v>
      </c>
      <c r="I1070" s="111">
        <f>TRUNC(E1070*G1070,2)</f>
        <v>160.98</v>
      </c>
    </row>
    <row r="1071" spans="1:9" ht="45">
      <c r="A1071" s="8"/>
      <c r="B1071" s="12" t="s">
        <v>195</v>
      </c>
      <c r="C1071" s="200" t="s">
        <v>196</v>
      </c>
      <c r="D1071" s="8" t="s">
        <v>7</v>
      </c>
      <c r="E1071" s="11">
        <v>1</v>
      </c>
      <c r="F1071" s="7">
        <f>G1077</f>
        <v>41.66</v>
      </c>
      <c r="G1071" s="7">
        <f aca="true" t="shared" si="57" ref="G1071:G1076">TRUNC(E1071*F1071,2)</f>
        <v>41.66</v>
      </c>
      <c r="H1071" s="7"/>
      <c r="I1071" s="11"/>
    </row>
    <row r="1072" spans="1:9" ht="30">
      <c r="A1072" s="8"/>
      <c r="B1072" s="12" t="s">
        <v>197</v>
      </c>
      <c r="C1072" s="200" t="s">
        <v>198</v>
      </c>
      <c r="D1072" s="8" t="s">
        <v>7</v>
      </c>
      <c r="E1072" s="11">
        <v>0.046</v>
      </c>
      <c r="F1072" s="7">
        <v>31.72</v>
      </c>
      <c r="G1072" s="7">
        <f t="shared" si="57"/>
        <v>1.45</v>
      </c>
      <c r="H1072" s="7"/>
      <c r="I1072" s="11"/>
    </row>
    <row r="1073" spans="1:9" ht="15">
      <c r="A1073" s="8"/>
      <c r="B1073" s="12" t="s">
        <v>199</v>
      </c>
      <c r="C1073" s="200" t="s">
        <v>267</v>
      </c>
      <c r="D1073" s="8" t="s">
        <v>7</v>
      </c>
      <c r="E1073" s="11">
        <v>1</v>
      </c>
      <c r="F1073" s="7">
        <v>23.45</v>
      </c>
      <c r="G1073" s="7">
        <f t="shared" si="57"/>
        <v>23.45</v>
      </c>
      <c r="H1073" s="7"/>
      <c r="I1073" s="11"/>
    </row>
    <row r="1074" spans="1:9" ht="15">
      <c r="A1074" s="8"/>
      <c r="B1074" s="12" t="s">
        <v>200</v>
      </c>
      <c r="C1074" s="200" t="s">
        <v>201</v>
      </c>
      <c r="D1074" s="8" t="s">
        <v>7</v>
      </c>
      <c r="E1074" s="11">
        <v>1</v>
      </c>
      <c r="F1074" s="7">
        <v>3.5</v>
      </c>
      <c r="G1074" s="7">
        <f t="shared" si="57"/>
        <v>3.5</v>
      </c>
      <c r="H1074" s="7"/>
      <c r="I1074" s="11"/>
    </row>
    <row r="1075" spans="1:9" ht="15">
      <c r="A1075" s="8"/>
      <c r="B1075" s="12" t="s">
        <v>71</v>
      </c>
      <c r="C1075" s="200" t="s">
        <v>72</v>
      </c>
      <c r="D1075" s="8" t="s">
        <v>47</v>
      </c>
      <c r="E1075" s="11">
        <v>0.25</v>
      </c>
      <c r="F1075" s="7">
        <f>TRUNC(29.12,2)</f>
        <v>29.12</v>
      </c>
      <c r="G1075" s="7">
        <f t="shared" si="57"/>
        <v>7.28</v>
      </c>
      <c r="H1075" s="7"/>
      <c r="I1075" s="11"/>
    </row>
    <row r="1076" spans="1:9" ht="15">
      <c r="A1076" s="8"/>
      <c r="B1076" s="12" t="s">
        <v>177</v>
      </c>
      <c r="C1076" s="200" t="s">
        <v>178</v>
      </c>
      <c r="D1076" s="8" t="s">
        <v>47</v>
      </c>
      <c r="E1076" s="11">
        <v>0.25</v>
      </c>
      <c r="F1076" s="7">
        <f>TRUNC(23.95,2)</f>
        <v>23.95</v>
      </c>
      <c r="G1076" s="7">
        <f t="shared" si="57"/>
        <v>5.98</v>
      </c>
      <c r="H1076" s="7"/>
      <c r="I1076" s="11"/>
    </row>
    <row r="1077" spans="1:9" ht="15">
      <c r="A1077" s="8"/>
      <c r="B1077" s="12"/>
      <c r="C1077" s="200"/>
      <c r="D1077" s="8"/>
      <c r="E1077" s="11" t="s">
        <v>33</v>
      </c>
      <c r="F1077" s="7"/>
      <c r="G1077" s="7">
        <f>TRUNC(SUM(G1072:G1076),2)</f>
        <v>41.66</v>
      </c>
      <c r="H1077" s="7"/>
      <c r="I1077" s="11"/>
    </row>
    <row r="1078" spans="1:9" ht="30">
      <c r="A1078" s="103" t="s">
        <v>1426</v>
      </c>
      <c r="B1078" s="110" t="s">
        <v>321</v>
      </c>
      <c r="C1078" s="210" t="s">
        <v>322</v>
      </c>
      <c r="D1078" s="103" t="s">
        <v>7</v>
      </c>
      <c r="E1078" s="111">
        <v>3</v>
      </c>
      <c r="F1078" s="111">
        <f>TRUNC(F1079,2)</f>
        <v>109.84</v>
      </c>
      <c r="G1078" s="111">
        <f>TRUNC(F1078*1.2882,2)</f>
        <v>141.49</v>
      </c>
      <c r="H1078" s="111">
        <f>TRUNC(F1078*E1078,2)</f>
        <v>329.52</v>
      </c>
      <c r="I1078" s="111">
        <f>TRUNC(E1078*G1078,2)</f>
        <v>424.47</v>
      </c>
    </row>
    <row r="1079" spans="1:9" ht="30">
      <c r="A1079" s="8"/>
      <c r="B1079" s="12" t="s">
        <v>321</v>
      </c>
      <c r="C1079" s="200" t="s">
        <v>322</v>
      </c>
      <c r="D1079" s="8" t="s">
        <v>7</v>
      </c>
      <c r="E1079" s="11">
        <v>1</v>
      </c>
      <c r="F1079" s="7">
        <f>TRUNC(109.844675,2)</f>
        <v>109.84</v>
      </c>
      <c r="G1079" s="7">
        <f aca="true" t="shared" si="58" ref="G1079:G1084">TRUNC(E1079*F1079,2)</f>
        <v>109.84</v>
      </c>
      <c r="H1079" s="7"/>
      <c r="I1079" s="11"/>
    </row>
    <row r="1080" spans="1:9" ht="15">
      <c r="A1080" s="8"/>
      <c r="B1080" s="12" t="s">
        <v>323</v>
      </c>
      <c r="C1080" s="200" t="s">
        <v>324</v>
      </c>
      <c r="D1080" s="8" t="s">
        <v>7</v>
      </c>
      <c r="E1080" s="11">
        <v>1</v>
      </c>
      <c r="F1080" s="7">
        <f>TRUNC(60.71,2)</f>
        <v>60.71</v>
      </c>
      <c r="G1080" s="7">
        <f t="shared" si="58"/>
        <v>60.71</v>
      </c>
      <c r="H1080" s="7"/>
      <c r="I1080" s="11"/>
    </row>
    <row r="1081" spans="1:9" ht="30">
      <c r="A1081" s="8"/>
      <c r="B1081" s="12" t="s">
        <v>197</v>
      </c>
      <c r="C1081" s="200" t="s">
        <v>198</v>
      </c>
      <c r="D1081" s="8" t="s">
        <v>7</v>
      </c>
      <c r="E1081" s="11">
        <v>0.175</v>
      </c>
      <c r="F1081" s="7">
        <f>TRUNC(31.44,2)</f>
        <v>31.44</v>
      </c>
      <c r="G1081" s="7">
        <f t="shared" si="58"/>
        <v>5.5</v>
      </c>
      <c r="H1081" s="7"/>
      <c r="I1081" s="11"/>
    </row>
    <row r="1082" spans="1:9" ht="15">
      <c r="A1082" s="8"/>
      <c r="B1082" s="12" t="s">
        <v>325</v>
      </c>
      <c r="C1082" s="200" t="s">
        <v>326</v>
      </c>
      <c r="D1082" s="8" t="s">
        <v>7</v>
      </c>
      <c r="E1082" s="11">
        <v>2</v>
      </c>
      <c r="F1082" s="7">
        <f>TRUNC(12.2,2)</f>
        <v>12.2</v>
      </c>
      <c r="G1082" s="7">
        <f t="shared" si="58"/>
        <v>24.4</v>
      </c>
      <c r="H1082" s="7"/>
      <c r="I1082" s="11"/>
    </row>
    <row r="1083" spans="1:9" ht="15">
      <c r="A1083" s="8"/>
      <c r="B1083" s="12" t="s">
        <v>71</v>
      </c>
      <c r="C1083" s="200" t="s">
        <v>72</v>
      </c>
      <c r="D1083" s="8" t="s">
        <v>47</v>
      </c>
      <c r="E1083" s="11">
        <v>0.3605</v>
      </c>
      <c r="F1083" s="7">
        <f>TRUNC(29.27,2)</f>
        <v>29.27</v>
      </c>
      <c r="G1083" s="7">
        <f t="shared" si="58"/>
        <v>10.55</v>
      </c>
      <c r="H1083" s="7"/>
      <c r="I1083" s="11"/>
    </row>
    <row r="1084" spans="1:9" ht="15">
      <c r="A1084" s="8"/>
      <c r="B1084" s="12" t="s">
        <v>177</v>
      </c>
      <c r="C1084" s="200" t="s">
        <v>178</v>
      </c>
      <c r="D1084" s="8" t="s">
        <v>47</v>
      </c>
      <c r="E1084" s="11">
        <v>0.3605</v>
      </c>
      <c r="F1084" s="7">
        <f>TRUNC(24.08,2)</f>
        <v>24.08</v>
      </c>
      <c r="G1084" s="7">
        <f t="shared" si="58"/>
        <v>8.68</v>
      </c>
      <c r="H1084" s="7"/>
      <c r="I1084" s="11"/>
    </row>
    <row r="1085" spans="1:9" ht="15">
      <c r="A1085" s="8"/>
      <c r="B1085" s="12"/>
      <c r="C1085" s="200"/>
      <c r="D1085" s="8"/>
      <c r="E1085" s="11" t="s">
        <v>33</v>
      </c>
      <c r="F1085" s="7"/>
      <c r="G1085" s="7">
        <f>TRUNC(SUM(G1080:G1084),2)</f>
        <v>109.84</v>
      </c>
      <c r="H1085" s="7"/>
      <c r="I1085" s="11"/>
    </row>
    <row r="1086" spans="1:9" ht="45">
      <c r="A1086" s="103" t="s">
        <v>1427</v>
      </c>
      <c r="B1086" s="110" t="s">
        <v>327</v>
      </c>
      <c r="C1086" s="210" t="s">
        <v>328</v>
      </c>
      <c r="D1086" s="103" t="s">
        <v>7</v>
      </c>
      <c r="E1086" s="111">
        <v>3</v>
      </c>
      <c r="F1086" s="111">
        <f>TRUNC(F1087,2)</f>
        <v>55.55</v>
      </c>
      <c r="G1086" s="111">
        <f>TRUNC(F1086*1.2882,2)</f>
        <v>71.55</v>
      </c>
      <c r="H1086" s="111">
        <f>TRUNC(F1086*E1086,2)</f>
        <v>166.65</v>
      </c>
      <c r="I1086" s="111">
        <f>TRUNC(E1086*G1086,2)</f>
        <v>214.65</v>
      </c>
    </row>
    <row r="1087" spans="1:9" ht="45">
      <c r="A1087" s="8"/>
      <c r="B1087" s="12" t="s">
        <v>327</v>
      </c>
      <c r="C1087" s="200" t="s">
        <v>328</v>
      </c>
      <c r="D1087" s="8" t="s">
        <v>7</v>
      </c>
      <c r="E1087" s="11">
        <v>1</v>
      </c>
      <c r="F1087" s="7">
        <f>TRUNC(55.55356,2)</f>
        <v>55.55</v>
      </c>
      <c r="G1087" s="7">
        <f aca="true" t="shared" si="59" ref="G1087:G1092">TRUNC(E1087*F1087,2)</f>
        <v>55.55</v>
      </c>
      <c r="H1087" s="7"/>
      <c r="I1087" s="11"/>
    </row>
    <row r="1088" spans="1:9" ht="30">
      <c r="A1088" s="8"/>
      <c r="B1088" s="12" t="s">
        <v>197</v>
      </c>
      <c r="C1088" s="200" t="s">
        <v>198</v>
      </c>
      <c r="D1088" s="8" t="s">
        <v>7</v>
      </c>
      <c r="E1088" s="11">
        <v>0.1725</v>
      </c>
      <c r="F1088" s="7">
        <f>TRUNC(31.44,2)</f>
        <v>31.44</v>
      </c>
      <c r="G1088" s="7">
        <f t="shared" si="59"/>
        <v>5.42</v>
      </c>
      <c r="H1088" s="7"/>
      <c r="I1088" s="11"/>
    </row>
    <row r="1089" spans="1:9" ht="15">
      <c r="A1089" s="8"/>
      <c r="B1089" s="12" t="s">
        <v>204</v>
      </c>
      <c r="C1089" s="200" t="s">
        <v>205</v>
      </c>
      <c r="D1089" s="8" t="s">
        <v>7</v>
      </c>
      <c r="E1089" s="11">
        <v>1</v>
      </c>
      <c r="F1089" s="7">
        <f>TRUNC(24.18,2)</f>
        <v>24.18</v>
      </c>
      <c r="G1089" s="7">
        <f t="shared" si="59"/>
        <v>24.18</v>
      </c>
      <c r="H1089" s="7"/>
      <c r="I1089" s="11"/>
    </row>
    <row r="1090" spans="1:9" ht="15">
      <c r="A1090" s="8"/>
      <c r="B1090" s="12" t="s">
        <v>200</v>
      </c>
      <c r="C1090" s="200" t="s">
        <v>201</v>
      </c>
      <c r="D1090" s="8" t="s">
        <v>7</v>
      </c>
      <c r="E1090" s="11">
        <v>3</v>
      </c>
      <c r="F1090" s="7">
        <f>TRUNC(3.5,2)</f>
        <v>3.5</v>
      </c>
      <c r="G1090" s="7">
        <f t="shared" si="59"/>
        <v>10.5</v>
      </c>
      <c r="H1090" s="7"/>
      <c r="I1090" s="11"/>
    </row>
    <row r="1091" spans="1:9" ht="15">
      <c r="A1091" s="8"/>
      <c r="B1091" s="12" t="s">
        <v>71</v>
      </c>
      <c r="C1091" s="200" t="s">
        <v>72</v>
      </c>
      <c r="D1091" s="8" t="s">
        <v>47</v>
      </c>
      <c r="E1091" s="11">
        <v>0.2896</v>
      </c>
      <c r="F1091" s="7">
        <f>TRUNC(29.27,2)</f>
        <v>29.27</v>
      </c>
      <c r="G1091" s="7">
        <f t="shared" si="59"/>
        <v>8.47</v>
      </c>
      <c r="H1091" s="7"/>
      <c r="I1091" s="11"/>
    </row>
    <row r="1092" spans="1:9" ht="15">
      <c r="A1092" s="8"/>
      <c r="B1092" s="12" t="s">
        <v>177</v>
      </c>
      <c r="C1092" s="200" t="s">
        <v>178</v>
      </c>
      <c r="D1092" s="8" t="s">
        <v>47</v>
      </c>
      <c r="E1092" s="11">
        <v>0.2896</v>
      </c>
      <c r="F1092" s="7">
        <f>TRUNC(24.08,2)</f>
        <v>24.08</v>
      </c>
      <c r="G1092" s="7">
        <f t="shared" si="59"/>
        <v>6.97</v>
      </c>
      <c r="H1092" s="7"/>
      <c r="I1092" s="11"/>
    </row>
    <row r="1093" spans="1:9" ht="15">
      <c r="A1093" s="8"/>
      <c r="B1093" s="12"/>
      <c r="C1093" s="200"/>
      <c r="D1093" s="8"/>
      <c r="E1093" s="11" t="s">
        <v>33</v>
      </c>
      <c r="F1093" s="7"/>
      <c r="G1093" s="7">
        <f>TRUNC(SUM(G1088:G1092),2)</f>
        <v>55.54</v>
      </c>
      <c r="H1093" s="7"/>
      <c r="I1093" s="11"/>
    </row>
    <row r="1094" spans="1:9" ht="45">
      <c r="A1094" s="103" t="s">
        <v>1428</v>
      </c>
      <c r="B1094" s="110" t="s">
        <v>333</v>
      </c>
      <c r="C1094" s="210" t="s">
        <v>332</v>
      </c>
      <c r="D1094" s="103" t="s">
        <v>7</v>
      </c>
      <c r="E1094" s="111">
        <v>2</v>
      </c>
      <c r="F1094" s="111">
        <f>TRUNC(F1095,2)</f>
        <v>50.77</v>
      </c>
      <c r="G1094" s="111">
        <f>TRUNC(F1094*1.2882,2)</f>
        <v>65.4</v>
      </c>
      <c r="H1094" s="111">
        <f>TRUNC(F1094*E1094,2)</f>
        <v>101.54</v>
      </c>
      <c r="I1094" s="111">
        <f>TRUNC(E1094*G1094,2)</f>
        <v>130.8</v>
      </c>
    </row>
    <row r="1095" spans="1:9" ht="45">
      <c r="A1095" s="8"/>
      <c r="B1095" s="12" t="s">
        <v>329</v>
      </c>
      <c r="C1095" s="200" t="s">
        <v>330</v>
      </c>
      <c r="D1095" s="8" t="s">
        <v>7</v>
      </c>
      <c r="E1095" s="11">
        <v>1</v>
      </c>
      <c r="F1095" s="34">
        <f>G1102</f>
        <v>50.77</v>
      </c>
      <c r="G1095" s="7">
        <f aca="true" t="shared" si="60" ref="G1095:G1101">TRUNC(E1095*F1095,2)</f>
        <v>50.77</v>
      </c>
      <c r="H1095" s="7"/>
      <c r="I1095" s="11"/>
    </row>
    <row r="1096" spans="1:9" ht="30">
      <c r="A1096" s="8"/>
      <c r="B1096" s="12" t="s">
        <v>197</v>
      </c>
      <c r="C1096" s="200" t="s">
        <v>198</v>
      </c>
      <c r="D1096" s="8" t="s">
        <v>7</v>
      </c>
      <c r="E1096" s="11">
        <v>0.14</v>
      </c>
      <c r="F1096" s="7">
        <f>TRUNC(31.44,2)</f>
        <v>31.44</v>
      </c>
      <c r="G1096" s="7">
        <f t="shared" si="60"/>
        <v>4.4</v>
      </c>
      <c r="H1096" s="7"/>
      <c r="I1096" s="11"/>
    </row>
    <row r="1097" spans="1:9" ht="30">
      <c r="A1097" s="8"/>
      <c r="B1097" s="12" t="s">
        <v>248</v>
      </c>
      <c r="C1097" s="200" t="s">
        <v>331</v>
      </c>
      <c r="D1097" s="8" t="s">
        <v>7</v>
      </c>
      <c r="E1097" s="11">
        <v>1</v>
      </c>
      <c r="F1097" s="7">
        <v>25</v>
      </c>
      <c r="G1097" s="7">
        <f t="shared" si="60"/>
        <v>25</v>
      </c>
      <c r="H1097" s="7"/>
      <c r="I1097" s="11"/>
    </row>
    <row r="1098" spans="1:9" ht="15">
      <c r="A1098" s="8"/>
      <c r="B1098" s="12" t="s">
        <v>200</v>
      </c>
      <c r="C1098" s="200" t="s">
        <v>201</v>
      </c>
      <c r="D1098" s="8" t="s">
        <v>7</v>
      </c>
      <c r="E1098" s="11">
        <v>2</v>
      </c>
      <c r="F1098" s="7">
        <f>TRUNC(3.5,2)</f>
        <v>3.5</v>
      </c>
      <c r="G1098" s="7">
        <f t="shared" si="60"/>
        <v>7</v>
      </c>
      <c r="H1098" s="7"/>
      <c r="I1098" s="11"/>
    </row>
    <row r="1099" spans="1:9" ht="15">
      <c r="A1099" s="8"/>
      <c r="B1099" s="12" t="s">
        <v>287</v>
      </c>
      <c r="C1099" s="200" t="s">
        <v>288</v>
      </c>
      <c r="D1099" s="8" t="s">
        <v>7</v>
      </c>
      <c r="E1099" s="11">
        <v>1</v>
      </c>
      <c r="F1099" s="7">
        <f>TRUNC(1.98,2)</f>
        <v>1.98</v>
      </c>
      <c r="G1099" s="7">
        <f t="shared" si="60"/>
        <v>1.98</v>
      </c>
      <c r="H1099" s="7"/>
      <c r="I1099" s="11"/>
    </row>
    <row r="1100" spans="1:9" ht="15">
      <c r="A1100" s="8"/>
      <c r="B1100" s="12" t="s">
        <v>71</v>
      </c>
      <c r="C1100" s="200" t="s">
        <v>72</v>
      </c>
      <c r="D1100" s="8" t="s">
        <v>47</v>
      </c>
      <c r="E1100" s="11">
        <v>0.2325</v>
      </c>
      <c r="F1100" s="7">
        <f>TRUNC(29.27,2)</f>
        <v>29.27</v>
      </c>
      <c r="G1100" s="7">
        <f t="shared" si="60"/>
        <v>6.8</v>
      </c>
      <c r="H1100" s="7"/>
      <c r="I1100" s="11"/>
    </row>
    <row r="1101" spans="1:9" ht="15">
      <c r="A1101" s="8"/>
      <c r="B1101" s="12" t="s">
        <v>177</v>
      </c>
      <c r="C1101" s="200" t="s">
        <v>178</v>
      </c>
      <c r="D1101" s="8" t="s">
        <v>47</v>
      </c>
      <c r="E1101" s="11">
        <v>0.2325</v>
      </c>
      <c r="F1101" s="7">
        <f>TRUNC(24.08,2)</f>
        <v>24.08</v>
      </c>
      <c r="G1101" s="7">
        <f t="shared" si="60"/>
        <v>5.59</v>
      </c>
      <c r="H1101" s="7"/>
      <c r="I1101" s="11"/>
    </row>
    <row r="1102" spans="1:9" ht="15">
      <c r="A1102" s="8"/>
      <c r="B1102" s="12"/>
      <c r="C1102" s="200"/>
      <c r="D1102" s="8"/>
      <c r="E1102" s="11" t="s">
        <v>33</v>
      </c>
      <c r="F1102" s="7"/>
      <c r="G1102" s="7">
        <f>TRUNC(SUM(G1096:G1101),2)</f>
        <v>50.77</v>
      </c>
      <c r="H1102" s="7"/>
      <c r="I1102" s="11"/>
    </row>
    <row r="1103" spans="1:9" ht="30">
      <c r="A1103" s="103" t="s">
        <v>1429</v>
      </c>
      <c r="B1103" s="110" t="s">
        <v>235</v>
      </c>
      <c r="C1103" s="210" t="s">
        <v>236</v>
      </c>
      <c r="D1103" s="103" t="s">
        <v>7</v>
      </c>
      <c r="E1103" s="111">
        <v>3</v>
      </c>
      <c r="F1103" s="111">
        <f>TRUNC(F1104,2)</f>
        <v>439.69</v>
      </c>
      <c r="G1103" s="111">
        <f>TRUNC(F1103*1.2882,2)</f>
        <v>566.4</v>
      </c>
      <c r="H1103" s="111">
        <f>TRUNC(F1103*E1103,2)</f>
        <v>1319.07</v>
      </c>
      <c r="I1103" s="111">
        <f>TRUNC(E1103*G1103,2)</f>
        <v>1699.2</v>
      </c>
    </row>
    <row r="1104" spans="1:9" ht="30">
      <c r="A1104" s="8"/>
      <c r="B1104" s="12" t="s">
        <v>235</v>
      </c>
      <c r="C1104" s="200" t="s">
        <v>236</v>
      </c>
      <c r="D1104" s="8" t="s">
        <v>7</v>
      </c>
      <c r="E1104" s="11">
        <v>1</v>
      </c>
      <c r="F1104" s="7">
        <f>G1120</f>
        <v>439.69</v>
      </c>
      <c r="G1104" s="7">
        <f aca="true" t="shared" si="61" ref="G1104:G1119">TRUNC(E1104*F1104,2)</f>
        <v>439.69</v>
      </c>
      <c r="H1104" s="7"/>
      <c r="I1104" s="11"/>
    </row>
    <row r="1105" spans="1:9" ht="30">
      <c r="A1105" s="8"/>
      <c r="B1105" s="12" t="s">
        <v>217</v>
      </c>
      <c r="C1105" s="200" t="s">
        <v>218</v>
      </c>
      <c r="D1105" s="8" t="s">
        <v>23</v>
      </c>
      <c r="E1105" s="11">
        <v>0.4416</v>
      </c>
      <c r="F1105" s="7">
        <f>TRUNC(24.37,2)</f>
        <v>24.37</v>
      </c>
      <c r="G1105" s="7">
        <f t="shared" si="61"/>
        <v>10.76</v>
      </c>
      <c r="H1105" s="7"/>
      <c r="I1105" s="11"/>
    </row>
    <row r="1106" spans="1:9" ht="15">
      <c r="A1106" s="8"/>
      <c r="B1106" s="12" t="s">
        <v>219</v>
      </c>
      <c r="C1106" s="200" t="s">
        <v>220</v>
      </c>
      <c r="D1106" s="8" t="s">
        <v>44</v>
      </c>
      <c r="E1106" s="11">
        <v>0.0125</v>
      </c>
      <c r="F1106" s="7">
        <f>TRUNC(27.68,2)</f>
        <v>27.68</v>
      </c>
      <c r="G1106" s="7">
        <f t="shared" si="61"/>
        <v>0.34</v>
      </c>
      <c r="H1106" s="7"/>
      <c r="I1106" s="11"/>
    </row>
    <row r="1107" spans="1:9" ht="15">
      <c r="A1107" s="8"/>
      <c r="B1107" s="12" t="s">
        <v>84</v>
      </c>
      <c r="C1107" s="200" t="s">
        <v>85</v>
      </c>
      <c r="D1107" s="8" t="s">
        <v>23</v>
      </c>
      <c r="E1107" s="11">
        <v>0.1408</v>
      </c>
      <c r="F1107" s="7">
        <f>TRUNC(3.04,2)</f>
        <v>3.04</v>
      </c>
      <c r="G1107" s="7">
        <f t="shared" si="61"/>
        <v>0.42</v>
      </c>
      <c r="H1107" s="7"/>
      <c r="I1107" s="11"/>
    </row>
    <row r="1108" spans="1:9" ht="15">
      <c r="A1108" s="8"/>
      <c r="B1108" s="12" t="s">
        <v>221</v>
      </c>
      <c r="C1108" s="200" t="s">
        <v>222</v>
      </c>
      <c r="D1108" s="8" t="s">
        <v>23</v>
      </c>
      <c r="E1108" s="11">
        <v>0.1184</v>
      </c>
      <c r="F1108" s="7">
        <f>TRUNC(8.68,2)</f>
        <v>8.68</v>
      </c>
      <c r="G1108" s="7">
        <f t="shared" si="61"/>
        <v>1.02</v>
      </c>
      <c r="H1108" s="7"/>
      <c r="I1108" s="11"/>
    </row>
    <row r="1109" spans="1:9" ht="30">
      <c r="A1109" s="8"/>
      <c r="B1109" s="12" t="s">
        <v>223</v>
      </c>
      <c r="C1109" s="200" t="s">
        <v>224</v>
      </c>
      <c r="D1109" s="8" t="s">
        <v>127</v>
      </c>
      <c r="E1109" s="11">
        <v>0.0054</v>
      </c>
      <c r="F1109" s="7">
        <f>TRUNC(6.34,2)</f>
        <v>6.34</v>
      </c>
      <c r="G1109" s="7">
        <f t="shared" si="61"/>
        <v>0.03</v>
      </c>
      <c r="H1109" s="7"/>
      <c r="I1109" s="11"/>
    </row>
    <row r="1110" spans="1:9" ht="15">
      <c r="A1110" s="8"/>
      <c r="B1110" s="12" t="s">
        <v>225</v>
      </c>
      <c r="C1110" s="200" t="s">
        <v>226</v>
      </c>
      <c r="D1110" s="8" t="s">
        <v>7</v>
      </c>
      <c r="E1110" s="11">
        <v>20.7615</v>
      </c>
      <c r="F1110" s="7">
        <f>TRUNC(2.7,2)</f>
        <v>2.7</v>
      </c>
      <c r="G1110" s="7">
        <f t="shared" si="61"/>
        <v>56.05</v>
      </c>
      <c r="H1110" s="7"/>
      <c r="I1110" s="11"/>
    </row>
    <row r="1111" spans="1:9" ht="15">
      <c r="A1111" s="8"/>
      <c r="B1111" s="12" t="s">
        <v>49</v>
      </c>
      <c r="C1111" s="200" t="s">
        <v>50</v>
      </c>
      <c r="D1111" s="8" t="s">
        <v>47</v>
      </c>
      <c r="E1111" s="11">
        <v>2.8038</v>
      </c>
      <c r="F1111" s="7">
        <f>TRUNC(23.64,2)</f>
        <v>23.64</v>
      </c>
      <c r="G1111" s="7">
        <f t="shared" si="61"/>
        <v>66.28</v>
      </c>
      <c r="H1111" s="7"/>
      <c r="I1111" s="11"/>
    </row>
    <row r="1112" spans="1:9" ht="15">
      <c r="A1112" s="8"/>
      <c r="B1112" s="12" t="s">
        <v>51</v>
      </c>
      <c r="C1112" s="200" t="s">
        <v>52</v>
      </c>
      <c r="D1112" s="8" t="s">
        <v>47</v>
      </c>
      <c r="E1112" s="11">
        <v>3.5684</v>
      </c>
      <c r="F1112" s="7">
        <f>TRUNC(29.95,2)</f>
        <v>29.95</v>
      </c>
      <c r="G1112" s="7">
        <f t="shared" si="61"/>
        <v>106.87</v>
      </c>
      <c r="H1112" s="7"/>
      <c r="I1112" s="11"/>
    </row>
    <row r="1113" spans="1:9" ht="30">
      <c r="A1113" s="8"/>
      <c r="B1113" s="12" t="s">
        <v>227</v>
      </c>
      <c r="C1113" s="200" t="s">
        <v>334</v>
      </c>
      <c r="D1113" s="8" t="s">
        <v>17</v>
      </c>
      <c r="E1113" s="11">
        <v>0.81</v>
      </c>
      <c r="F1113" s="7">
        <f>TRUNC(6.92,2)</f>
        <v>6.92</v>
      </c>
      <c r="G1113" s="7">
        <f t="shared" si="61"/>
        <v>5.6</v>
      </c>
      <c r="H1113" s="7"/>
      <c r="I1113" s="11"/>
    </row>
    <row r="1114" spans="1:9" ht="30">
      <c r="A1114" s="8"/>
      <c r="B1114" s="12" t="s">
        <v>237</v>
      </c>
      <c r="C1114" s="200" t="s">
        <v>238</v>
      </c>
      <c r="D1114" s="8" t="s">
        <v>48</v>
      </c>
      <c r="E1114" s="11">
        <v>0.0448</v>
      </c>
      <c r="F1114" s="7">
        <f>TRUNC(2561.06,2)</f>
        <v>2561.06</v>
      </c>
      <c r="G1114" s="7">
        <f t="shared" si="61"/>
        <v>114.73</v>
      </c>
      <c r="H1114" s="7"/>
      <c r="I1114" s="11"/>
    </row>
    <row r="1115" spans="1:9" ht="30">
      <c r="A1115" s="8"/>
      <c r="B1115" s="12" t="s">
        <v>231</v>
      </c>
      <c r="C1115" s="200" t="s">
        <v>232</v>
      </c>
      <c r="D1115" s="8" t="s">
        <v>48</v>
      </c>
      <c r="E1115" s="11">
        <v>0.0744</v>
      </c>
      <c r="F1115" s="7">
        <f>TRUNC(429.84,2)</f>
        <v>429.84</v>
      </c>
      <c r="G1115" s="7">
        <f t="shared" si="61"/>
        <v>31.98</v>
      </c>
      <c r="H1115" s="7"/>
      <c r="I1115" s="11"/>
    </row>
    <row r="1116" spans="1:9" ht="30">
      <c r="A1116" s="8"/>
      <c r="B1116" s="12" t="s">
        <v>239</v>
      </c>
      <c r="C1116" s="200" t="s">
        <v>240</v>
      </c>
      <c r="D1116" s="8" t="s">
        <v>48</v>
      </c>
      <c r="E1116" s="11">
        <v>0.0728</v>
      </c>
      <c r="F1116" s="7">
        <f>TRUNC(502.93,2)</f>
        <v>502.93</v>
      </c>
      <c r="G1116" s="7">
        <f t="shared" si="61"/>
        <v>36.61</v>
      </c>
      <c r="H1116" s="7"/>
      <c r="I1116" s="11"/>
    </row>
    <row r="1117" spans="1:9" ht="30">
      <c r="A1117" s="8"/>
      <c r="B1117" s="12" t="s">
        <v>233</v>
      </c>
      <c r="C1117" s="200" t="s">
        <v>234</v>
      </c>
      <c r="D1117" s="8" t="s">
        <v>48</v>
      </c>
      <c r="E1117" s="11">
        <v>0.0148</v>
      </c>
      <c r="F1117" s="7">
        <f>TRUNC(444.74,2)</f>
        <v>444.74</v>
      </c>
      <c r="G1117" s="7">
        <f t="shared" si="61"/>
        <v>6.58</v>
      </c>
      <c r="H1117" s="7"/>
      <c r="I1117" s="11"/>
    </row>
    <row r="1118" spans="1:9" ht="60">
      <c r="A1118" s="8"/>
      <c r="B1118" s="12" t="s">
        <v>241</v>
      </c>
      <c r="C1118" s="200" t="s">
        <v>242</v>
      </c>
      <c r="D1118" s="8" t="s">
        <v>62</v>
      </c>
      <c r="E1118" s="11">
        <v>0.0178</v>
      </c>
      <c r="F1118" s="7">
        <f>TRUNC(63.54,2)</f>
        <v>63.54</v>
      </c>
      <c r="G1118" s="7">
        <f t="shared" si="61"/>
        <v>1.13</v>
      </c>
      <c r="H1118" s="7"/>
      <c r="I1118" s="11"/>
    </row>
    <row r="1119" spans="1:9" ht="60">
      <c r="A1119" s="8"/>
      <c r="B1119" s="12" t="s">
        <v>243</v>
      </c>
      <c r="C1119" s="200" t="s">
        <v>244</v>
      </c>
      <c r="D1119" s="8" t="s">
        <v>63</v>
      </c>
      <c r="E1119" s="11">
        <v>0.0087</v>
      </c>
      <c r="F1119" s="7">
        <f>TRUNC(148.83,2)</f>
        <v>148.83</v>
      </c>
      <c r="G1119" s="7">
        <f t="shared" si="61"/>
        <v>1.29</v>
      </c>
      <c r="H1119" s="7"/>
      <c r="I1119" s="11"/>
    </row>
    <row r="1120" spans="1:9" ht="15">
      <c r="A1120" s="8"/>
      <c r="B1120" s="12"/>
      <c r="C1120" s="200"/>
      <c r="D1120" s="8"/>
      <c r="E1120" s="11" t="s">
        <v>33</v>
      </c>
      <c r="F1120" s="7"/>
      <c r="G1120" s="7">
        <f>TRUNC(SUM(G1105:G1119),2)</f>
        <v>439.69</v>
      </c>
      <c r="H1120" s="7"/>
      <c r="I1120" s="11"/>
    </row>
    <row r="1121" spans="1:9" ht="45">
      <c r="A1121" s="103" t="s">
        <v>1430</v>
      </c>
      <c r="B1121" s="110" t="s">
        <v>215</v>
      </c>
      <c r="C1121" s="210" t="s">
        <v>216</v>
      </c>
      <c r="D1121" s="103" t="s">
        <v>7</v>
      </c>
      <c r="E1121" s="111">
        <v>1</v>
      </c>
      <c r="F1121" s="111">
        <f>TRUNC(F1122,2)</f>
        <v>486.61</v>
      </c>
      <c r="G1121" s="111">
        <f>TRUNC(F1121*1.2882,2)</f>
        <v>626.85</v>
      </c>
      <c r="H1121" s="111">
        <f>TRUNC(F1121*E1121,2)</f>
        <v>486.61</v>
      </c>
      <c r="I1121" s="111">
        <f>TRUNC(E1121*G1121,2)</f>
        <v>626.85</v>
      </c>
    </row>
    <row r="1122" spans="1:9" ht="45">
      <c r="A1122" s="8"/>
      <c r="B1122" s="12" t="s">
        <v>215</v>
      </c>
      <c r="C1122" s="200" t="s">
        <v>216</v>
      </c>
      <c r="D1122" s="8" t="s">
        <v>7</v>
      </c>
      <c r="E1122" s="11">
        <v>1</v>
      </c>
      <c r="F1122" s="7">
        <f>G1137</f>
        <v>486.61</v>
      </c>
      <c r="G1122" s="7">
        <f aca="true" t="shared" si="62" ref="G1122:G1136">TRUNC(E1122*F1122,2)</f>
        <v>486.61</v>
      </c>
      <c r="H1122" s="7"/>
      <c r="I1122" s="11"/>
    </row>
    <row r="1123" spans="1:9" ht="30">
      <c r="A1123" s="8"/>
      <c r="B1123" s="12" t="s">
        <v>217</v>
      </c>
      <c r="C1123" s="200" t="s">
        <v>218</v>
      </c>
      <c r="D1123" s="8" t="s">
        <v>23</v>
      </c>
      <c r="E1123" s="11">
        <v>0.3312</v>
      </c>
      <c r="F1123" s="7">
        <v>24.37</v>
      </c>
      <c r="G1123" s="7">
        <f t="shared" si="62"/>
        <v>8.07</v>
      </c>
      <c r="H1123" s="7"/>
      <c r="I1123" s="11"/>
    </row>
    <row r="1124" spans="1:9" ht="15">
      <c r="A1124" s="8"/>
      <c r="B1124" s="12" t="s">
        <v>219</v>
      </c>
      <c r="C1124" s="200" t="s">
        <v>220</v>
      </c>
      <c r="D1124" s="8" t="s">
        <v>44</v>
      </c>
      <c r="E1124" s="11">
        <v>0.0094</v>
      </c>
      <c r="F1124" s="7">
        <v>27.94</v>
      </c>
      <c r="G1124" s="7">
        <f t="shared" si="62"/>
        <v>0.26</v>
      </c>
      <c r="H1124" s="7"/>
      <c r="I1124" s="11"/>
    </row>
    <row r="1125" spans="1:9" ht="15">
      <c r="A1125" s="8"/>
      <c r="B1125" s="12" t="s">
        <v>84</v>
      </c>
      <c r="C1125" s="200" t="s">
        <v>85</v>
      </c>
      <c r="D1125" s="8" t="s">
        <v>23</v>
      </c>
      <c r="E1125" s="11">
        <v>0.1056</v>
      </c>
      <c r="F1125" s="7">
        <v>2.7</v>
      </c>
      <c r="G1125" s="7">
        <f t="shared" si="62"/>
        <v>0.28</v>
      </c>
      <c r="H1125" s="7"/>
      <c r="I1125" s="11"/>
    </row>
    <row r="1126" spans="1:9" ht="15">
      <c r="A1126" s="8"/>
      <c r="B1126" s="12" t="s">
        <v>221</v>
      </c>
      <c r="C1126" s="200" t="s">
        <v>222</v>
      </c>
      <c r="D1126" s="8" t="s">
        <v>23</v>
      </c>
      <c r="E1126" s="11">
        <v>0.0888</v>
      </c>
      <c r="F1126" s="7">
        <v>7.72</v>
      </c>
      <c r="G1126" s="7">
        <f t="shared" si="62"/>
        <v>0.68</v>
      </c>
      <c r="H1126" s="7"/>
      <c r="I1126" s="11"/>
    </row>
    <row r="1127" spans="1:9" ht="30">
      <c r="A1127" s="8"/>
      <c r="B1127" s="12" t="s">
        <v>223</v>
      </c>
      <c r="C1127" s="200" t="s">
        <v>224</v>
      </c>
      <c r="D1127" s="8" t="s">
        <v>127</v>
      </c>
      <c r="E1127" s="11">
        <v>0.0041</v>
      </c>
      <c r="F1127" s="7">
        <v>6.29</v>
      </c>
      <c r="G1127" s="7">
        <f t="shared" si="62"/>
        <v>0.02</v>
      </c>
      <c r="H1127" s="7"/>
      <c r="I1127" s="11"/>
    </row>
    <row r="1128" spans="1:9" ht="15">
      <c r="A1128" s="8"/>
      <c r="B1128" s="12" t="s">
        <v>225</v>
      </c>
      <c r="C1128" s="200" t="s">
        <v>226</v>
      </c>
      <c r="D1128" s="8" t="s">
        <v>7</v>
      </c>
      <c r="E1128" s="11">
        <v>26.0438</v>
      </c>
      <c r="F1128" s="7">
        <v>2.7</v>
      </c>
      <c r="G1128" s="7">
        <f t="shared" si="62"/>
        <v>70.31</v>
      </c>
      <c r="H1128" s="7"/>
      <c r="I1128" s="11"/>
    </row>
    <row r="1129" spans="1:9" ht="15">
      <c r="A1129" s="8"/>
      <c r="B1129" s="12" t="s">
        <v>49</v>
      </c>
      <c r="C1129" s="200" t="s">
        <v>50</v>
      </c>
      <c r="D1129" s="8" t="s">
        <v>47</v>
      </c>
      <c r="E1129" s="11">
        <v>3.6423</v>
      </c>
      <c r="F1129" s="7">
        <f>TRUNC(23.51,2)</f>
        <v>23.51</v>
      </c>
      <c r="G1129" s="7">
        <f t="shared" si="62"/>
        <v>85.63</v>
      </c>
      <c r="H1129" s="7"/>
      <c r="I1129" s="11"/>
    </row>
    <row r="1130" spans="1:9" ht="15">
      <c r="A1130" s="8"/>
      <c r="B1130" s="12" t="s">
        <v>51</v>
      </c>
      <c r="C1130" s="200" t="s">
        <v>52</v>
      </c>
      <c r="D1130" s="8" t="s">
        <v>47</v>
      </c>
      <c r="E1130" s="11">
        <v>4.6356</v>
      </c>
      <c r="F1130" s="7">
        <f>TRUNC(29.79,2)</f>
        <v>29.79</v>
      </c>
      <c r="G1130" s="7">
        <f t="shared" si="62"/>
        <v>138.09</v>
      </c>
      <c r="H1130" s="7"/>
      <c r="I1130" s="11"/>
    </row>
    <row r="1131" spans="1:9" ht="30">
      <c r="A1131" s="8"/>
      <c r="B1131" s="12" t="s">
        <v>227</v>
      </c>
      <c r="C1131" s="200" t="s">
        <v>269</v>
      </c>
      <c r="D1131" s="8" t="s">
        <v>17</v>
      </c>
      <c r="E1131" s="11">
        <v>0.7</v>
      </c>
      <c r="F1131" s="7">
        <f>TRUNC(6.903929,2)</f>
        <v>6.9</v>
      </c>
      <c r="G1131" s="7">
        <f t="shared" si="62"/>
        <v>4.83</v>
      </c>
      <c r="H1131" s="7"/>
      <c r="I1131" s="11"/>
    </row>
    <row r="1132" spans="1:9" ht="30">
      <c r="A1132" s="8"/>
      <c r="B1132" s="12" t="s">
        <v>228</v>
      </c>
      <c r="C1132" s="200" t="s">
        <v>270</v>
      </c>
      <c r="D1132" s="8" t="s">
        <v>48</v>
      </c>
      <c r="E1132" s="11">
        <v>0.0928</v>
      </c>
      <c r="F1132" s="7">
        <f>TRUNC(621.1773,2)</f>
        <v>621.17</v>
      </c>
      <c r="G1132" s="7">
        <f t="shared" si="62"/>
        <v>57.64</v>
      </c>
      <c r="H1132" s="7"/>
      <c r="I1132" s="11"/>
    </row>
    <row r="1133" spans="1:9" ht="30">
      <c r="A1133" s="8"/>
      <c r="B1133" s="12" t="s">
        <v>229</v>
      </c>
      <c r="C1133" s="200" t="s">
        <v>271</v>
      </c>
      <c r="D1133" s="8" t="s">
        <v>48</v>
      </c>
      <c r="E1133" s="11">
        <v>0.0168</v>
      </c>
      <c r="F1133" s="7">
        <f>TRUNC(3100.294357,2)</f>
        <v>3100.29</v>
      </c>
      <c r="G1133" s="7">
        <f t="shared" si="62"/>
        <v>52.08</v>
      </c>
      <c r="H1133" s="7"/>
      <c r="I1133" s="11"/>
    </row>
    <row r="1134" spans="1:9" ht="30">
      <c r="A1134" s="8"/>
      <c r="B1134" s="12" t="s">
        <v>230</v>
      </c>
      <c r="C1134" s="200" t="s">
        <v>272</v>
      </c>
      <c r="D1134" s="8" t="s">
        <v>48</v>
      </c>
      <c r="E1134" s="11">
        <v>0.0112</v>
      </c>
      <c r="F1134" s="7">
        <f>TRUNC(3581.592019,2)</f>
        <v>3581.59</v>
      </c>
      <c r="G1134" s="7">
        <f t="shared" si="62"/>
        <v>40.11</v>
      </c>
      <c r="H1134" s="7"/>
      <c r="I1134" s="11"/>
    </row>
    <row r="1135" spans="1:9" ht="30">
      <c r="A1135" s="8"/>
      <c r="B1135" s="12" t="s">
        <v>231</v>
      </c>
      <c r="C1135" s="200" t="s">
        <v>273</v>
      </c>
      <c r="D1135" s="8" t="s">
        <v>48</v>
      </c>
      <c r="E1135" s="11">
        <v>0.0502</v>
      </c>
      <c r="F1135" s="7">
        <f>TRUNC(404.186446,2)</f>
        <v>404.18</v>
      </c>
      <c r="G1135" s="7">
        <f t="shared" si="62"/>
        <v>20.28</v>
      </c>
      <c r="H1135" s="7"/>
      <c r="I1135" s="11"/>
    </row>
    <row r="1136" spans="1:9" ht="30">
      <c r="A1136" s="8"/>
      <c r="B1136" s="12" t="s">
        <v>233</v>
      </c>
      <c r="C1136" s="200" t="s">
        <v>274</v>
      </c>
      <c r="D1136" s="8" t="s">
        <v>48</v>
      </c>
      <c r="E1136" s="11">
        <v>0.0195</v>
      </c>
      <c r="F1136" s="7">
        <f>TRUNC(427.5772,2)</f>
        <v>427.57</v>
      </c>
      <c r="G1136" s="7">
        <f t="shared" si="62"/>
        <v>8.33</v>
      </c>
      <c r="H1136" s="7"/>
      <c r="I1136" s="11"/>
    </row>
    <row r="1137" spans="1:9" ht="15">
      <c r="A1137" s="8"/>
      <c r="B1137" s="12"/>
      <c r="C1137" s="200"/>
      <c r="D1137" s="8"/>
      <c r="E1137" s="11" t="s">
        <v>33</v>
      </c>
      <c r="F1137" s="7"/>
      <c r="G1137" s="7">
        <f>TRUNC(SUM(G1123:G1136),2)</f>
        <v>486.61</v>
      </c>
      <c r="H1137" s="7"/>
      <c r="I1137" s="11"/>
    </row>
    <row r="1138" spans="1:9" ht="45">
      <c r="A1138" s="103" t="s">
        <v>1431</v>
      </c>
      <c r="B1138" s="110" t="s">
        <v>264</v>
      </c>
      <c r="C1138" s="210" t="s">
        <v>263</v>
      </c>
      <c r="D1138" s="103" t="s">
        <v>7</v>
      </c>
      <c r="E1138" s="111">
        <v>3</v>
      </c>
      <c r="F1138" s="111">
        <f>TRUNC(F1139,2)</f>
        <v>141.55</v>
      </c>
      <c r="G1138" s="111">
        <f>TRUNC(F1138*1.2882,2)</f>
        <v>182.34</v>
      </c>
      <c r="H1138" s="111">
        <f>TRUNC(F1138*E1138,2)</f>
        <v>424.65</v>
      </c>
      <c r="I1138" s="111">
        <f>TRUNC(E1138*G1138,2)</f>
        <v>547.02</v>
      </c>
    </row>
    <row r="1139" spans="1:9" ht="30">
      <c r="A1139" s="8"/>
      <c r="B1139" s="12" t="s">
        <v>211</v>
      </c>
      <c r="C1139" s="200" t="s">
        <v>212</v>
      </c>
      <c r="D1139" s="8" t="s">
        <v>7</v>
      </c>
      <c r="E1139" s="11">
        <v>1</v>
      </c>
      <c r="F1139" s="7">
        <f>G1149</f>
        <v>141.55</v>
      </c>
      <c r="G1139" s="7">
        <f aca="true" t="shared" si="63" ref="G1139:G1148">TRUNC(E1139*F1139,2)</f>
        <v>141.55</v>
      </c>
      <c r="H1139" s="7"/>
      <c r="I1139" s="11"/>
    </row>
    <row r="1140" spans="1:9" ht="15">
      <c r="A1140" s="8"/>
      <c r="B1140" s="12" t="s">
        <v>171</v>
      </c>
      <c r="C1140" s="200" t="s">
        <v>172</v>
      </c>
      <c r="D1140" s="8" t="s">
        <v>7</v>
      </c>
      <c r="E1140" s="11">
        <v>0.057</v>
      </c>
      <c r="F1140" s="7">
        <v>2.13</v>
      </c>
      <c r="G1140" s="7">
        <f t="shared" si="63"/>
        <v>0.12</v>
      </c>
      <c r="H1140" s="7"/>
      <c r="I1140" s="11"/>
    </row>
    <row r="1141" spans="1:9" ht="15">
      <c r="A1141" s="8"/>
      <c r="B1141" s="12" t="s">
        <v>173</v>
      </c>
      <c r="C1141" s="200" t="s">
        <v>174</v>
      </c>
      <c r="D1141" s="8" t="s">
        <v>7</v>
      </c>
      <c r="E1141" s="11">
        <v>0.0225</v>
      </c>
      <c r="F1141" s="7">
        <v>87.08</v>
      </c>
      <c r="G1141" s="7">
        <f t="shared" si="63"/>
        <v>1.95</v>
      </c>
      <c r="H1141" s="7"/>
      <c r="I1141" s="11"/>
    </row>
    <row r="1142" spans="1:9" ht="30">
      <c r="A1142" s="8"/>
      <c r="B1142" s="12" t="s">
        <v>197</v>
      </c>
      <c r="C1142" s="200" t="s">
        <v>198</v>
      </c>
      <c r="D1142" s="8" t="s">
        <v>7</v>
      </c>
      <c r="E1142" s="11">
        <v>0.03</v>
      </c>
      <c r="F1142" s="7">
        <v>31.72</v>
      </c>
      <c r="G1142" s="7">
        <f t="shared" si="63"/>
        <v>0.95</v>
      </c>
      <c r="H1142" s="7"/>
      <c r="I1142" s="11"/>
    </row>
    <row r="1143" spans="1:9" ht="15">
      <c r="A1143" s="8"/>
      <c r="B1143" s="12" t="s">
        <v>213</v>
      </c>
      <c r="C1143" s="200" t="s">
        <v>214</v>
      </c>
      <c r="D1143" s="8" t="s">
        <v>7</v>
      </c>
      <c r="E1143" s="11">
        <v>1</v>
      </c>
      <c r="F1143" s="7">
        <v>87.64</v>
      </c>
      <c r="G1143" s="7">
        <f t="shared" si="63"/>
        <v>87.64</v>
      </c>
      <c r="H1143" s="7"/>
      <c r="I1143" s="11"/>
    </row>
    <row r="1144" spans="1:9" ht="15">
      <c r="A1144" s="8"/>
      <c r="B1144" s="12" t="s">
        <v>202</v>
      </c>
      <c r="C1144" s="200" t="s">
        <v>203</v>
      </c>
      <c r="D1144" s="8" t="s">
        <v>7</v>
      </c>
      <c r="E1144" s="11">
        <v>1</v>
      </c>
      <c r="F1144" s="7">
        <v>2.91</v>
      </c>
      <c r="G1144" s="7">
        <f t="shared" si="63"/>
        <v>2.91</v>
      </c>
      <c r="H1144" s="7"/>
      <c r="I1144" s="11"/>
    </row>
    <row r="1145" spans="1:9" ht="15">
      <c r="A1145" s="8"/>
      <c r="B1145" s="12" t="s">
        <v>175</v>
      </c>
      <c r="C1145" s="200" t="s">
        <v>176</v>
      </c>
      <c r="D1145" s="8" t="s">
        <v>7</v>
      </c>
      <c r="E1145" s="11">
        <v>0.0148</v>
      </c>
      <c r="F1145" s="7">
        <v>76.86</v>
      </c>
      <c r="G1145" s="7">
        <f t="shared" si="63"/>
        <v>1.13</v>
      </c>
      <c r="H1145" s="7"/>
      <c r="I1145" s="11"/>
    </row>
    <row r="1146" spans="1:9" s="203" customFormat="1" ht="15.75">
      <c r="A1146" s="31"/>
      <c r="B1146" s="32" t="s">
        <v>261</v>
      </c>
      <c r="C1146" s="221" t="s">
        <v>262</v>
      </c>
      <c r="D1146" s="31" t="s">
        <v>7</v>
      </c>
      <c r="E1146" s="33">
        <v>1</v>
      </c>
      <c r="F1146" s="34">
        <v>26.69</v>
      </c>
      <c r="G1146" s="34">
        <f t="shared" si="63"/>
        <v>26.69</v>
      </c>
      <c r="H1146" s="34"/>
      <c r="I1146" s="33"/>
    </row>
    <row r="1147" spans="1:9" ht="15">
      <c r="A1147" s="8"/>
      <c r="B1147" s="12" t="s">
        <v>71</v>
      </c>
      <c r="C1147" s="200" t="s">
        <v>72</v>
      </c>
      <c r="D1147" s="8" t="s">
        <v>47</v>
      </c>
      <c r="E1147" s="11">
        <v>0.38</v>
      </c>
      <c r="F1147" s="7">
        <f>TRUNC(29.12,2)</f>
        <v>29.12</v>
      </c>
      <c r="G1147" s="7">
        <f t="shared" si="63"/>
        <v>11.06</v>
      </c>
      <c r="H1147" s="7"/>
      <c r="I1147" s="11"/>
    </row>
    <row r="1148" spans="1:9" ht="15">
      <c r="A1148" s="8"/>
      <c r="B1148" s="12" t="s">
        <v>177</v>
      </c>
      <c r="C1148" s="200" t="s">
        <v>178</v>
      </c>
      <c r="D1148" s="8" t="s">
        <v>47</v>
      </c>
      <c r="E1148" s="11">
        <v>0.38</v>
      </c>
      <c r="F1148" s="7">
        <f>TRUNC(23.95,2)</f>
        <v>23.95</v>
      </c>
      <c r="G1148" s="7">
        <f t="shared" si="63"/>
        <v>9.1</v>
      </c>
      <c r="H1148" s="7"/>
      <c r="I1148" s="11"/>
    </row>
    <row r="1149" spans="1:9" ht="15">
      <c r="A1149" s="8"/>
      <c r="B1149" s="12"/>
      <c r="C1149" s="200"/>
      <c r="D1149" s="8"/>
      <c r="E1149" s="11" t="s">
        <v>33</v>
      </c>
      <c r="F1149" s="7"/>
      <c r="G1149" s="7">
        <f>TRUNC(SUM(G1140:G1148),2)</f>
        <v>141.55</v>
      </c>
      <c r="H1149" s="7"/>
      <c r="I1149" s="11"/>
    </row>
    <row r="1150" spans="1:9" ht="30">
      <c r="A1150" s="103" t="s">
        <v>1432</v>
      </c>
      <c r="B1150" s="110" t="s">
        <v>335</v>
      </c>
      <c r="C1150" s="210" t="s">
        <v>336</v>
      </c>
      <c r="D1150" s="103" t="s">
        <v>7</v>
      </c>
      <c r="E1150" s="111">
        <v>2</v>
      </c>
      <c r="F1150" s="111">
        <f>TRUNC(F1151,2)</f>
        <v>49.62</v>
      </c>
      <c r="G1150" s="111">
        <f>TRUNC(F1150*1.2882,2)</f>
        <v>63.92</v>
      </c>
      <c r="H1150" s="111">
        <f>TRUNC(F1150*E1150,2)</f>
        <v>99.24</v>
      </c>
      <c r="I1150" s="111">
        <f>TRUNC(E1150*G1150,2)</f>
        <v>127.84</v>
      </c>
    </row>
    <row r="1151" spans="1:9" ht="30">
      <c r="A1151" s="8"/>
      <c r="B1151" s="12" t="s">
        <v>335</v>
      </c>
      <c r="C1151" s="200" t="s">
        <v>336</v>
      </c>
      <c r="D1151" s="8" t="s">
        <v>7</v>
      </c>
      <c r="E1151" s="11">
        <v>1</v>
      </c>
      <c r="F1151" s="7">
        <f>G1158</f>
        <v>49.62</v>
      </c>
      <c r="G1151" s="7">
        <f aca="true" t="shared" si="64" ref="G1151:G1157">TRUNC(E1151*F1151,2)</f>
        <v>49.62</v>
      </c>
      <c r="H1151" s="7"/>
      <c r="I1151" s="11"/>
    </row>
    <row r="1152" spans="1:9" ht="15">
      <c r="A1152" s="8"/>
      <c r="B1152" s="12" t="s">
        <v>171</v>
      </c>
      <c r="C1152" s="200" t="s">
        <v>172</v>
      </c>
      <c r="D1152" s="8" t="s">
        <v>7</v>
      </c>
      <c r="E1152" s="11">
        <v>0.0068</v>
      </c>
      <c r="F1152" s="7">
        <f>TRUNC(2.13,2)</f>
        <v>2.13</v>
      </c>
      <c r="G1152" s="7">
        <f t="shared" si="64"/>
        <v>0.01</v>
      </c>
      <c r="H1152" s="7"/>
      <c r="I1152" s="11"/>
    </row>
    <row r="1153" spans="1:9" ht="15">
      <c r="A1153" s="8"/>
      <c r="B1153" s="12" t="s">
        <v>173</v>
      </c>
      <c r="C1153" s="200" t="s">
        <v>174</v>
      </c>
      <c r="D1153" s="8" t="s">
        <v>7</v>
      </c>
      <c r="E1153" s="11">
        <v>0.044</v>
      </c>
      <c r="F1153" s="7">
        <f>TRUNC(86.3,2)</f>
        <v>86.3</v>
      </c>
      <c r="G1153" s="7">
        <f t="shared" si="64"/>
        <v>3.79</v>
      </c>
      <c r="H1153" s="7"/>
      <c r="I1153" s="11"/>
    </row>
    <row r="1154" spans="1:9" ht="15">
      <c r="A1154" s="8"/>
      <c r="B1154" s="12" t="s">
        <v>337</v>
      </c>
      <c r="C1154" s="200" t="s">
        <v>338</v>
      </c>
      <c r="D1154" s="8" t="s">
        <v>7</v>
      </c>
      <c r="E1154" s="11">
        <v>1</v>
      </c>
      <c r="F1154" s="7">
        <f>TRUNC(32.01,2)</f>
        <v>32.01</v>
      </c>
      <c r="G1154" s="7">
        <f t="shared" si="64"/>
        <v>32.01</v>
      </c>
      <c r="H1154" s="7"/>
      <c r="I1154" s="11"/>
    </row>
    <row r="1155" spans="1:9" ht="15">
      <c r="A1155" s="8"/>
      <c r="B1155" s="12" t="s">
        <v>175</v>
      </c>
      <c r="C1155" s="200" t="s">
        <v>176</v>
      </c>
      <c r="D1155" s="8" t="s">
        <v>7</v>
      </c>
      <c r="E1155" s="11">
        <v>0.0292</v>
      </c>
      <c r="F1155" s="7">
        <f>TRUNC(76.17,2)</f>
        <v>76.17</v>
      </c>
      <c r="G1155" s="7">
        <f t="shared" si="64"/>
        <v>2.22</v>
      </c>
      <c r="H1155" s="7"/>
      <c r="I1155" s="11"/>
    </row>
    <row r="1156" spans="1:9" ht="15">
      <c r="A1156" s="8"/>
      <c r="B1156" s="12" t="s">
        <v>71</v>
      </c>
      <c r="C1156" s="200" t="s">
        <v>72</v>
      </c>
      <c r="D1156" s="8" t="s">
        <v>47</v>
      </c>
      <c r="E1156" s="11">
        <v>0.2175</v>
      </c>
      <c r="F1156" s="7">
        <f>TRUNC(29.27,2)</f>
        <v>29.27</v>
      </c>
      <c r="G1156" s="7">
        <f t="shared" si="64"/>
        <v>6.36</v>
      </c>
      <c r="H1156" s="7"/>
      <c r="I1156" s="11"/>
    </row>
    <row r="1157" spans="1:9" ht="15">
      <c r="A1157" s="8"/>
      <c r="B1157" s="12" t="s">
        <v>177</v>
      </c>
      <c r="C1157" s="200" t="s">
        <v>178</v>
      </c>
      <c r="D1157" s="8" t="s">
        <v>47</v>
      </c>
      <c r="E1157" s="11">
        <v>0.2175</v>
      </c>
      <c r="F1157" s="7">
        <f>TRUNC(24.08,2)</f>
        <v>24.08</v>
      </c>
      <c r="G1157" s="7">
        <f t="shared" si="64"/>
        <v>5.23</v>
      </c>
      <c r="H1157" s="7"/>
      <c r="I1157" s="11"/>
    </row>
    <row r="1158" spans="1:9" ht="15">
      <c r="A1158" s="8"/>
      <c r="B1158" s="12"/>
      <c r="C1158" s="200"/>
      <c r="D1158" s="8"/>
      <c r="E1158" s="11" t="s">
        <v>33</v>
      </c>
      <c r="F1158" s="7"/>
      <c r="G1158" s="7">
        <f>TRUNC(SUM(G1152:G1157),2)</f>
        <v>49.62</v>
      </c>
      <c r="H1158" s="7"/>
      <c r="I1158" s="11"/>
    </row>
    <row r="1159" spans="1:9" ht="30">
      <c r="A1159" s="103" t="s">
        <v>1433</v>
      </c>
      <c r="B1159" s="110" t="s">
        <v>465</v>
      </c>
      <c r="C1159" s="210" t="s">
        <v>466</v>
      </c>
      <c r="D1159" s="103" t="s">
        <v>23</v>
      </c>
      <c r="E1159" s="111">
        <v>4</v>
      </c>
      <c r="F1159" s="111">
        <f>TRUNC(F1160,2)</f>
        <v>22.08</v>
      </c>
      <c r="G1159" s="111">
        <f>TRUNC(F1159*1.2882,2)</f>
        <v>28.44</v>
      </c>
      <c r="H1159" s="111">
        <f>TRUNC(F1159*E1159,2)</f>
        <v>88.32</v>
      </c>
      <c r="I1159" s="111">
        <f>TRUNC(E1159*G1159,2)</f>
        <v>113.76</v>
      </c>
    </row>
    <row r="1160" spans="1:9" ht="30">
      <c r="A1160" s="8"/>
      <c r="B1160" s="12" t="s">
        <v>465</v>
      </c>
      <c r="C1160" s="200" t="s">
        <v>466</v>
      </c>
      <c r="D1160" s="8" t="s">
        <v>23</v>
      </c>
      <c r="E1160" s="11">
        <v>1</v>
      </c>
      <c r="F1160" s="7">
        <f>TRUNC(22.084729,2)</f>
        <v>22.08</v>
      </c>
      <c r="G1160" s="7">
        <f>TRUNC(E1160*F1160,2)</f>
        <v>22.08</v>
      </c>
      <c r="H1160" s="7"/>
      <c r="I1160" s="11"/>
    </row>
    <row r="1161" spans="1:9" ht="15">
      <c r="A1161" s="8"/>
      <c r="B1161" s="12" t="s">
        <v>467</v>
      </c>
      <c r="C1161" s="200" t="s">
        <v>468</v>
      </c>
      <c r="D1161" s="8" t="s">
        <v>23</v>
      </c>
      <c r="E1161" s="11">
        <v>1.0667</v>
      </c>
      <c r="F1161" s="7">
        <f>TRUNC(9.27,2)</f>
        <v>9.27</v>
      </c>
      <c r="G1161" s="7">
        <f>TRUNC(E1161*F1161,2)</f>
        <v>9.88</v>
      </c>
      <c r="H1161" s="7"/>
      <c r="I1161" s="11"/>
    </row>
    <row r="1162" spans="1:9" ht="15">
      <c r="A1162" s="8"/>
      <c r="B1162" s="12" t="s">
        <v>71</v>
      </c>
      <c r="C1162" s="200" t="s">
        <v>72</v>
      </c>
      <c r="D1162" s="8" t="s">
        <v>47</v>
      </c>
      <c r="E1162" s="11">
        <v>0.226</v>
      </c>
      <c r="F1162" s="7">
        <f>TRUNC(29.27,2)</f>
        <v>29.27</v>
      </c>
      <c r="G1162" s="7">
        <f>TRUNC(E1162*F1162,2)</f>
        <v>6.61</v>
      </c>
      <c r="H1162" s="7"/>
      <c r="I1162" s="11"/>
    </row>
    <row r="1163" spans="1:9" ht="15">
      <c r="A1163" s="8"/>
      <c r="B1163" s="12" t="s">
        <v>177</v>
      </c>
      <c r="C1163" s="200" t="s">
        <v>178</v>
      </c>
      <c r="D1163" s="8" t="s">
        <v>47</v>
      </c>
      <c r="E1163" s="11">
        <v>0.226</v>
      </c>
      <c r="F1163" s="7">
        <f>TRUNC(24.08,2)</f>
        <v>24.08</v>
      </c>
      <c r="G1163" s="7">
        <f>TRUNC(E1163*F1163,2)</f>
        <v>5.44</v>
      </c>
      <c r="H1163" s="7"/>
      <c r="I1163" s="11"/>
    </row>
    <row r="1164" spans="1:9" ht="30">
      <c r="A1164" s="8"/>
      <c r="B1164" s="12" t="s">
        <v>451</v>
      </c>
      <c r="C1164" s="200" t="s">
        <v>452</v>
      </c>
      <c r="D1164" s="8" t="s">
        <v>63</v>
      </c>
      <c r="E1164" s="11">
        <v>0.1548</v>
      </c>
      <c r="F1164" s="7">
        <f>TRUNC(0.9,2)</f>
        <v>0.9</v>
      </c>
      <c r="G1164" s="7">
        <f>TRUNC(E1164*F1164,2)</f>
        <v>0.13</v>
      </c>
      <c r="H1164" s="7"/>
      <c r="I1164" s="11"/>
    </row>
    <row r="1165" spans="1:9" ht="15">
      <c r="A1165" s="8"/>
      <c r="B1165" s="12"/>
      <c r="C1165" s="200"/>
      <c r="D1165" s="8"/>
      <c r="E1165" s="11" t="s">
        <v>33</v>
      </c>
      <c r="F1165" s="7"/>
      <c r="G1165" s="7">
        <f>TRUNC(SUM(G1161:G1164),2)</f>
        <v>22.06</v>
      </c>
      <c r="H1165" s="7"/>
      <c r="I1165" s="11"/>
    </row>
    <row r="1166" spans="1:9" ht="30">
      <c r="A1166" s="103" t="s">
        <v>1434</v>
      </c>
      <c r="B1166" s="110" t="s">
        <v>469</v>
      </c>
      <c r="C1166" s="210" t="s">
        <v>470</v>
      </c>
      <c r="D1166" s="103" t="s">
        <v>23</v>
      </c>
      <c r="E1166" s="111">
        <v>18</v>
      </c>
      <c r="F1166" s="111">
        <f>TRUNC(F1167,2)</f>
        <v>42.46</v>
      </c>
      <c r="G1166" s="111">
        <f>TRUNC(F1166*1.2882,2)</f>
        <v>54.69</v>
      </c>
      <c r="H1166" s="111">
        <f>TRUNC(F1166*E1166,2)</f>
        <v>764.28</v>
      </c>
      <c r="I1166" s="111">
        <f>TRUNC(E1166*G1166,2)</f>
        <v>984.42</v>
      </c>
    </row>
    <row r="1167" spans="1:9" ht="30">
      <c r="A1167" s="8"/>
      <c r="B1167" s="12" t="s">
        <v>469</v>
      </c>
      <c r="C1167" s="200" t="s">
        <v>470</v>
      </c>
      <c r="D1167" s="8" t="s">
        <v>23</v>
      </c>
      <c r="E1167" s="11">
        <v>1</v>
      </c>
      <c r="F1167" s="7">
        <f>TRUNC(42.469752,2)</f>
        <v>42.46</v>
      </c>
      <c r="G1167" s="7">
        <f aca="true" t="shared" si="65" ref="G1167:G1172">TRUNC(E1167*F1167,2)</f>
        <v>42.46</v>
      </c>
      <c r="H1167" s="7"/>
      <c r="I1167" s="11"/>
    </row>
    <row r="1168" spans="1:9" ht="15">
      <c r="A1168" s="8"/>
      <c r="B1168" s="12" t="s">
        <v>471</v>
      </c>
      <c r="C1168" s="200" t="s">
        <v>472</v>
      </c>
      <c r="D1168" s="8" t="s">
        <v>23</v>
      </c>
      <c r="E1168" s="11">
        <v>1.0667</v>
      </c>
      <c r="F1168" s="7">
        <f>TRUNC(12.57,2)</f>
        <v>12.57</v>
      </c>
      <c r="G1168" s="7">
        <f t="shared" si="65"/>
        <v>13.4</v>
      </c>
      <c r="H1168" s="7"/>
      <c r="I1168" s="11"/>
    </row>
    <row r="1169" spans="1:9" ht="15">
      <c r="A1169" s="8"/>
      <c r="B1169" s="12" t="s">
        <v>71</v>
      </c>
      <c r="C1169" s="200" t="s">
        <v>72</v>
      </c>
      <c r="D1169" s="8" t="s">
        <v>47</v>
      </c>
      <c r="E1169" s="11">
        <v>0.5381</v>
      </c>
      <c r="F1169" s="7">
        <f>TRUNC(29.27,2)</f>
        <v>29.27</v>
      </c>
      <c r="G1169" s="7">
        <f t="shared" si="65"/>
        <v>15.75</v>
      </c>
      <c r="H1169" s="7"/>
      <c r="I1169" s="11"/>
    </row>
    <row r="1170" spans="1:9" ht="15">
      <c r="A1170" s="8"/>
      <c r="B1170" s="12" t="s">
        <v>177</v>
      </c>
      <c r="C1170" s="200" t="s">
        <v>178</v>
      </c>
      <c r="D1170" s="8" t="s">
        <v>47</v>
      </c>
      <c r="E1170" s="11">
        <v>0.5381</v>
      </c>
      <c r="F1170" s="7">
        <f>TRUNC(24.08,2)</f>
        <v>24.08</v>
      </c>
      <c r="G1170" s="7">
        <f t="shared" si="65"/>
        <v>12.95</v>
      </c>
      <c r="H1170" s="7"/>
      <c r="I1170" s="11"/>
    </row>
    <row r="1171" spans="1:9" ht="30">
      <c r="A1171" s="8"/>
      <c r="B1171" s="12" t="s">
        <v>473</v>
      </c>
      <c r="C1171" s="200" t="s">
        <v>474</v>
      </c>
      <c r="D1171" s="8" t="s">
        <v>62</v>
      </c>
      <c r="E1171" s="11">
        <v>0.1696</v>
      </c>
      <c r="F1171" s="7">
        <f>TRUNC(0.13,2)</f>
        <v>0.13</v>
      </c>
      <c r="G1171" s="7">
        <f t="shared" si="65"/>
        <v>0.02</v>
      </c>
      <c r="H1171" s="7"/>
      <c r="I1171" s="11"/>
    </row>
    <row r="1172" spans="1:9" ht="30">
      <c r="A1172" s="8"/>
      <c r="B1172" s="12" t="s">
        <v>451</v>
      </c>
      <c r="C1172" s="200" t="s">
        <v>452</v>
      </c>
      <c r="D1172" s="8" t="s">
        <v>63</v>
      </c>
      <c r="E1172" s="11">
        <v>0.3685</v>
      </c>
      <c r="F1172" s="7">
        <f>TRUNC(0.9,2)</f>
        <v>0.9</v>
      </c>
      <c r="G1172" s="7">
        <f t="shared" si="65"/>
        <v>0.33</v>
      </c>
      <c r="H1172" s="7"/>
      <c r="I1172" s="11"/>
    </row>
    <row r="1173" spans="1:9" ht="15">
      <c r="A1173" s="8"/>
      <c r="B1173" s="12"/>
      <c r="C1173" s="200"/>
      <c r="D1173" s="8"/>
      <c r="E1173" s="11" t="s">
        <v>33</v>
      </c>
      <c r="F1173" s="7"/>
      <c r="G1173" s="7">
        <f>TRUNC(SUM(G1168:G1172),2)</f>
        <v>42.45</v>
      </c>
      <c r="H1173" s="7"/>
      <c r="I1173" s="11"/>
    </row>
    <row r="1174" spans="1:9" ht="30">
      <c r="A1174" s="103" t="s">
        <v>1435</v>
      </c>
      <c r="B1174" s="110" t="s">
        <v>447</v>
      </c>
      <c r="C1174" s="210" t="s">
        <v>448</v>
      </c>
      <c r="D1174" s="103" t="s">
        <v>23</v>
      </c>
      <c r="E1174" s="111">
        <v>59</v>
      </c>
      <c r="F1174" s="111">
        <f>TRUNC(F1175,2)</f>
        <v>20.15</v>
      </c>
      <c r="G1174" s="111">
        <f>TRUNC(F1174*1.2882,2)</f>
        <v>25.95</v>
      </c>
      <c r="H1174" s="111">
        <f>TRUNC(F1174*E1174,2)</f>
        <v>1188.85</v>
      </c>
      <c r="I1174" s="111">
        <f>TRUNC(E1174*G1174,2)</f>
        <v>1531.05</v>
      </c>
    </row>
    <row r="1175" spans="1:9" ht="30">
      <c r="A1175" s="8"/>
      <c r="B1175" s="12" t="s">
        <v>447</v>
      </c>
      <c r="C1175" s="200" t="s">
        <v>448</v>
      </c>
      <c r="D1175" s="8" t="s">
        <v>23</v>
      </c>
      <c r="E1175" s="11">
        <v>1</v>
      </c>
      <c r="F1175" s="7">
        <f>TRUNC(20.150234,2)</f>
        <v>20.15</v>
      </c>
      <c r="G1175" s="7">
        <f>TRUNC(E1175*F1175,2)</f>
        <v>20.15</v>
      </c>
      <c r="H1175" s="7"/>
      <c r="I1175" s="11"/>
    </row>
    <row r="1176" spans="1:9" ht="15">
      <c r="A1176" s="8"/>
      <c r="B1176" s="12" t="s">
        <v>449</v>
      </c>
      <c r="C1176" s="200" t="s">
        <v>450</v>
      </c>
      <c r="D1176" s="8" t="s">
        <v>23</v>
      </c>
      <c r="E1176" s="11">
        <v>1.0667</v>
      </c>
      <c r="F1176" s="7">
        <f>TRUNC(10.32,2)</f>
        <v>10.32</v>
      </c>
      <c r="G1176" s="7">
        <f>TRUNC(E1176*F1176,2)</f>
        <v>11</v>
      </c>
      <c r="H1176" s="7"/>
      <c r="I1176" s="11"/>
    </row>
    <row r="1177" spans="1:9" ht="15">
      <c r="A1177" s="8"/>
      <c r="B1177" s="12" t="s">
        <v>71</v>
      </c>
      <c r="C1177" s="200" t="s">
        <v>72</v>
      </c>
      <c r="D1177" s="8" t="s">
        <v>47</v>
      </c>
      <c r="E1177" s="11">
        <v>0.1694</v>
      </c>
      <c r="F1177" s="7">
        <f>TRUNC(29.27,2)</f>
        <v>29.27</v>
      </c>
      <c r="G1177" s="7">
        <f>TRUNC(E1177*F1177,2)</f>
        <v>4.95</v>
      </c>
      <c r="H1177" s="7"/>
      <c r="I1177" s="11"/>
    </row>
    <row r="1178" spans="1:9" ht="15">
      <c r="A1178" s="8"/>
      <c r="B1178" s="12" t="s">
        <v>177</v>
      </c>
      <c r="C1178" s="200" t="s">
        <v>178</v>
      </c>
      <c r="D1178" s="8" t="s">
        <v>47</v>
      </c>
      <c r="E1178" s="11">
        <v>0.1694</v>
      </c>
      <c r="F1178" s="7">
        <f>TRUNC(24.08,2)</f>
        <v>24.08</v>
      </c>
      <c r="G1178" s="7">
        <f>TRUNC(E1178*F1178,2)</f>
        <v>4.07</v>
      </c>
      <c r="H1178" s="7"/>
      <c r="I1178" s="11"/>
    </row>
    <row r="1179" spans="1:9" ht="30">
      <c r="A1179" s="8"/>
      <c r="B1179" s="12" t="s">
        <v>451</v>
      </c>
      <c r="C1179" s="200" t="s">
        <v>452</v>
      </c>
      <c r="D1179" s="8" t="s">
        <v>63</v>
      </c>
      <c r="E1179" s="11">
        <v>0.116</v>
      </c>
      <c r="F1179" s="7">
        <f>TRUNC(0.9,2)</f>
        <v>0.9</v>
      </c>
      <c r="G1179" s="7">
        <f>TRUNC(E1179*F1179,2)</f>
        <v>0.1</v>
      </c>
      <c r="H1179" s="7"/>
      <c r="I1179" s="11"/>
    </row>
    <row r="1180" spans="1:9" ht="15">
      <c r="A1180" s="8"/>
      <c r="B1180" s="12"/>
      <c r="C1180" s="200"/>
      <c r="D1180" s="8"/>
      <c r="E1180" s="11" t="s">
        <v>33</v>
      </c>
      <c r="F1180" s="7"/>
      <c r="G1180" s="7">
        <f>TRUNC(SUM(G1176:G1179),2)</f>
        <v>20.12</v>
      </c>
      <c r="H1180" s="7"/>
      <c r="I1180" s="11"/>
    </row>
    <row r="1181" spans="1:9" ht="30">
      <c r="A1181" s="103" t="s">
        <v>1436</v>
      </c>
      <c r="B1181" s="110" t="s">
        <v>453</v>
      </c>
      <c r="C1181" s="210" t="s">
        <v>454</v>
      </c>
      <c r="D1181" s="103" t="s">
        <v>23</v>
      </c>
      <c r="E1181" s="111">
        <v>6.5</v>
      </c>
      <c r="F1181" s="111">
        <f>TRUNC(F1182,2)</f>
        <v>33.78</v>
      </c>
      <c r="G1181" s="111">
        <f>TRUNC(F1181*1.2882,2)</f>
        <v>43.51</v>
      </c>
      <c r="H1181" s="111">
        <f>TRUNC(F1181*E1181,2)</f>
        <v>219.57</v>
      </c>
      <c r="I1181" s="111">
        <f>TRUNC(E1181*G1181,2)</f>
        <v>282.81</v>
      </c>
    </row>
    <row r="1182" spans="1:9" ht="30">
      <c r="A1182" s="8"/>
      <c r="B1182" s="12" t="s">
        <v>453</v>
      </c>
      <c r="C1182" s="200" t="s">
        <v>454</v>
      </c>
      <c r="D1182" s="8" t="s">
        <v>23</v>
      </c>
      <c r="E1182" s="11">
        <v>1</v>
      </c>
      <c r="F1182" s="7">
        <f>TRUNC(33.784043,2)</f>
        <v>33.78</v>
      </c>
      <c r="G1182" s="7">
        <f>TRUNC(E1182*F1182,2)</f>
        <v>33.78</v>
      </c>
      <c r="H1182" s="7"/>
      <c r="I1182" s="11"/>
    </row>
    <row r="1183" spans="1:9" ht="15">
      <c r="A1183" s="8"/>
      <c r="B1183" s="12" t="s">
        <v>455</v>
      </c>
      <c r="C1183" s="200" t="s">
        <v>456</v>
      </c>
      <c r="D1183" s="8" t="s">
        <v>23</v>
      </c>
      <c r="E1183" s="11">
        <v>1.0667</v>
      </c>
      <c r="F1183" s="7">
        <f>TRUNC(22.99,2)</f>
        <v>22.99</v>
      </c>
      <c r="G1183" s="7">
        <f>TRUNC(E1183*F1183,2)</f>
        <v>24.52</v>
      </c>
      <c r="H1183" s="7"/>
      <c r="I1183" s="11"/>
    </row>
    <row r="1184" spans="1:9" ht="15">
      <c r="A1184" s="8"/>
      <c r="B1184" s="12" t="s">
        <v>71</v>
      </c>
      <c r="C1184" s="200" t="s">
        <v>72</v>
      </c>
      <c r="D1184" s="8" t="s">
        <v>47</v>
      </c>
      <c r="E1184" s="11">
        <v>0.1716</v>
      </c>
      <c r="F1184" s="7">
        <f>TRUNC(29.27,2)</f>
        <v>29.27</v>
      </c>
      <c r="G1184" s="7">
        <f>TRUNC(E1184*F1184,2)</f>
        <v>5.02</v>
      </c>
      <c r="H1184" s="7"/>
      <c r="I1184" s="11"/>
    </row>
    <row r="1185" spans="1:9" ht="15">
      <c r="A1185" s="8"/>
      <c r="B1185" s="12" t="s">
        <v>177</v>
      </c>
      <c r="C1185" s="200" t="s">
        <v>178</v>
      </c>
      <c r="D1185" s="8" t="s">
        <v>47</v>
      </c>
      <c r="E1185" s="11">
        <v>0.1716</v>
      </c>
      <c r="F1185" s="7">
        <f>TRUNC(24.08,2)</f>
        <v>24.08</v>
      </c>
      <c r="G1185" s="7">
        <f>TRUNC(E1185*F1185,2)</f>
        <v>4.13</v>
      </c>
      <c r="H1185" s="7"/>
      <c r="I1185" s="11"/>
    </row>
    <row r="1186" spans="1:9" ht="30">
      <c r="A1186" s="8"/>
      <c r="B1186" s="12" t="s">
        <v>451</v>
      </c>
      <c r="C1186" s="200" t="s">
        <v>452</v>
      </c>
      <c r="D1186" s="8" t="s">
        <v>63</v>
      </c>
      <c r="E1186" s="11">
        <v>0.1175</v>
      </c>
      <c r="F1186" s="7">
        <f>TRUNC(0.9,2)</f>
        <v>0.9</v>
      </c>
      <c r="G1186" s="7">
        <f>TRUNC(E1186*F1186,2)</f>
        <v>0.1</v>
      </c>
      <c r="H1186" s="7"/>
      <c r="I1186" s="11"/>
    </row>
    <row r="1187" spans="1:9" ht="15">
      <c r="A1187" s="8"/>
      <c r="B1187" s="12"/>
      <c r="C1187" s="200"/>
      <c r="D1187" s="8"/>
      <c r="E1187" s="11" t="s">
        <v>33</v>
      </c>
      <c r="F1187" s="7"/>
      <c r="G1187" s="7">
        <f>TRUNC(SUM(G1183:G1186),2)</f>
        <v>33.77</v>
      </c>
      <c r="H1187" s="7"/>
      <c r="I1187" s="11"/>
    </row>
    <row r="1188" spans="1:9" ht="30">
      <c r="A1188" s="103" t="s">
        <v>1437</v>
      </c>
      <c r="B1188" s="110" t="s">
        <v>457</v>
      </c>
      <c r="C1188" s="210" t="s">
        <v>458</v>
      </c>
      <c r="D1188" s="103" t="s">
        <v>23</v>
      </c>
      <c r="E1188" s="111">
        <v>8.5</v>
      </c>
      <c r="F1188" s="111">
        <f>TRUNC(F1189,2)</f>
        <v>64.47</v>
      </c>
      <c r="G1188" s="111">
        <f>TRUNC(F1188*1.2882,2)</f>
        <v>83.05</v>
      </c>
      <c r="H1188" s="111">
        <f>TRUNC(F1188*E1188,2)</f>
        <v>547.99</v>
      </c>
      <c r="I1188" s="111">
        <f>TRUNC(E1188*G1188,2)</f>
        <v>705.92</v>
      </c>
    </row>
    <row r="1189" spans="1:9" ht="30">
      <c r="A1189" s="8"/>
      <c r="B1189" s="12" t="s">
        <v>457</v>
      </c>
      <c r="C1189" s="200" t="s">
        <v>458</v>
      </c>
      <c r="D1189" s="8" t="s">
        <v>23</v>
      </c>
      <c r="E1189" s="11">
        <v>1</v>
      </c>
      <c r="F1189" s="7">
        <f>TRUNC(64.471868,2)</f>
        <v>64.47</v>
      </c>
      <c r="G1189" s="7">
        <f aca="true" t="shared" si="66" ref="G1189:G1194">TRUNC(E1189*F1189,2)</f>
        <v>64.47</v>
      </c>
      <c r="H1189" s="7"/>
      <c r="I1189" s="11"/>
    </row>
    <row r="1190" spans="1:9" ht="15">
      <c r="A1190" s="8"/>
      <c r="B1190" s="12" t="s">
        <v>459</v>
      </c>
      <c r="C1190" s="200" t="s">
        <v>460</v>
      </c>
      <c r="D1190" s="8" t="s">
        <v>23</v>
      </c>
      <c r="E1190" s="11">
        <v>1.0667</v>
      </c>
      <c r="F1190" s="7">
        <f>TRUNC(47.88,2)</f>
        <v>47.88</v>
      </c>
      <c r="G1190" s="7">
        <f t="shared" si="66"/>
        <v>51.07</v>
      </c>
      <c r="H1190" s="7"/>
      <c r="I1190" s="11"/>
    </row>
    <row r="1191" spans="1:9" ht="15">
      <c r="A1191" s="8"/>
      <c r="B1191" s="12" t="s">
        <v>71</v>
      </c>
      <c r="C1191" s="200" t="s">
        <v>72</v>
      </c>
      <c r="D1191" s="8" t="s">
        <v>47</v>
      </c>
      <c r="E1191" s="11">
        <v>0.2469</v>
      </c>
      <c r="F1191" s="7">
        <f>TRUNC(29.27,2)</f>
        <v>29.27</v>
      </c>
      <c r="G1191" s="7">
        <f t="shared" si="66"/>
        <v>7.22</v>
      </c>
      <c r="H1191" s="7"/>
      <c r="I1191" s="11"/>
    </row>
    <row r="1192" spans="1:9" ht="15">
      <c r="A1192" s="8"/>
      <c r="B1192" s="12" t="s">
        <v>177</v>
      </c>
      <c r="C1192" s="200" t="s">
        <v>178</v>
      </c>
      <c r="D1192" s="8" t="s">
        <v>47</v>
      </c>
      <c r="E1192" s="11">
        <v>0.2469</v>
      </c>
      <c r="F1192" s="7">
        <f>TRUNC(24.08,2)</f>
        <v>24.08</v>
      </c>
      <c r="G1192" s="7">
        <f t="shared" si="66"/>
        <v>5.94</v>
      </c>
      <c r="H1192" s="7"/>
      <c r="I1192" s="11"/>
    </row>
    <row r="1193" spans="1:9" ht="30">
      <c r="A1193" s="8"/>
      <c r="B1193" s="12" t="s">
        <v>461</v>
      </c>
      <c r="C1193" s="200" t="s">
        <v>462</v>
      </c>
      <c r="D1193" s="8" t="s">
        <v>62</v>
      </c>
      <c r="E1193" s="11">
        <v>0.0778</v>
      </c>
      <c r="F1193" s="7">
        <f>TRUNC(0.19,2)</f>
        <v>0.19</v>
      </c>
      <c r="G1193" s="7">
        <f t="shared" si="66"/>
        <v>0.01</v>
      </c>
      <c r="H1193" s="7"/>
      <c r="I1193" s="11"/>
    </row>
    <row r="1194" spans="1:9" ht="30">
      <c r="A1194" s="8"/>
      <c r="B1194" s="12" t="s">
        <v>463</v>
      </c>
      <c r="C1194" s="200" t="s">
        <v>464</v>
      </c>
      <c r="D1194" s="8" t="s">
        <v>63</v>
      </c>
      <c r="E1194" s="11">
        <v>0.1691</v>
      </c>
      <c r="F1194" s="7">
        <f>TRUNC(1.25,2)</f>
        <v>1.25</v>
      </c>
      <c r="G1194" s="7">
        <f t="shared" si="66"/>
        <v>0.21</v>
      </c>
      <c r="H1194" s="7"/>
      <c r="I1194" s="11"/>
    </row>
    <row r="1195" spans="1:9" ht="15">
      <c r="A1195" s="8"/>
      <c r="B1195" s="12"/>
      <c r="C1195" s="200"/>
      <c r="D1195" s="8"/>
      <c r="E1195" s="11" t="s">
        <v>33</v>
      </c>
      <c r="F1195" s="7"/>
      <c r="G1195" s="7">
        <f>TRUNC(SUM(G1190:G1194),2)</f>
        <v>64.45</v>
      </c>
      <c r="H1195" s="7"/>
      <c r="I1195" s="11"/>
    </row>
    <row r="1196" spans="1:9" ht="30">
      <c r="A1196" s="103" t="s">
        <v>1438</v>
      </c>
      <c r="B1196" s="110" t="s">
        <v>475</v>
      </c>
      <c r="C1196" s="210" t="s">
        <v>476</v>
      </c>
      <c r="D1196" s="103" t="s">
        <v>7</v>
      </c>
      <c r="E1196" s="111">
        <v>2</v>
      </c>
      <c r="F1196" s="111">
        <f>TRUNC(F1197,2)</f>
        <v>6.19</v>
      </c>
      <c r="G1196" s="111">
        <f>TRUNC(F1196*1.2882,2)</f>
        <v>7.97</v>
      </c>
      <c r="H1196" s="111">
        <f>TRUNC(F1196*E1196,2)</f>
        <v>12.38</v>
      </c>
      <c r="I1196" s="111">
        <f>TRUNC(E1196*G1196,2)</f>
        <v>15.94</v>
      </c>
    </row>
    <row r="1197" spans="1:9" ht="30">
      <c r="A1197" s="8"/>
      <c r="B1197" s="12" t="s">
        <v>475</v>
      </c>
      <c r="C1197" s="200" t="s">
        <v>476</v>
      </c>
      <c r="D1197" s="8" t="s">
        <v>7</v>
      </c>
      <c r="E1197" s="11">
        <v>1</v>
      </c>
      <c r="F1197" s="7">
        <f>G1202</f>
        <v>6.19</v>
      </c>
      <c r="G1197" s="7">
        <f>TRUNC(E1197*F1197,2)</f>
        <v>6.19</v>
      </c>
      <c r="H1197" s="7"/>
      <c r="I1197" s="11"/>
    </row>
    <row r="1198" spans="1:9" ht="15">
      <c r="A1198" s="8"/>
      <c r="B1198" s="12" t="s">
        <v>477</v>
      </c>
      <c r="C1198" s="200" t="s">
        <v>478</v>
      </c>
      <c r="D1198" s="8" t="s">
        <v>7</v>
      </c>
      <c r="E1198" s="11">
        <v>1</v>
      </c>
      <c r="F1198" s="7">
        <f>TRUNC(2.27,2)</f>
        <v>2.27</v>
      </c>
      <c r="G1198" s="7">
        <f>TRUNC(E1198*F1198,2)</f>
        <v>2.27</v>
      </c>
      <c r="H1198" s="7"/>
      <c r="I1198" s="11"/>
    </row>
    <row r="1199" spans="1:9" ht="15">
      <c r="A1199" s="8"/>
      <c r="B1199" s="12" t="s">
        <v>71</v>
      </c>
      <c r="C1199" s="200" t="s">
        <v>72</v>
      </c>
      <c r="D1199" s="8" t="s">
        <v>47</v>
      </c>
      <c r="E1199" s="11">
        <v>0.0729</v>
      </c>
      <c r="F1199" s="7">
        <f>TRUNC(29.27,2)</f>
        <v>29.27</v>
      </c>
      <c r="G1199" s="7">
        <f>TRUNC(E1199*F1199,2)</f>
        <v>2.13</v>
      </c>
      <c r="H1199" s="7"/>
      <c r="I1199" s="11"/>
    </row>
    <row r="1200" spans="1:9" ht="15">
      <c r="A1200" s="8"/>
      <c r="B1200" s="12" t="s">
        <v>177</v>
      </c>
      <c r="C1200" s="200" t="s">
        <v>178</v>
      </c>
      <c r="D1200" s="8" t="s">
        <v>47</v>
      </c>
      <c r="E1200" s="11">
        <v>0.0729</v>
      </c>
      <c r="F1200" s="7">
        <f>TRUNC(24.08,2)</f>
        <v>24.08</v>
      </c>
      <c r="G1200" s="7">
        <f>TRUNC(E1200*F1200,2)</f>
        <v>1.75</v>
      </c>
      <c r="H1200" s="7"/>
      <c r="I1200" s="11"/>
    </row>
    <row r="1201" spans="1:9" ht="30">
      <c r="A1201" s="8"/>
      <c r="B1201" s="12" t="s">
        <v>451</v>
      </c>
      <c r="C1201" s="200" t="s">
        <v>452</v>
      </c>
      <c r="D1201" s="8" t="s">
        <v>63</v>
      </c>
      <c r="E1201" s="11">
        <v>0.0499</v>
      </c>
      <c r="F1201" s="7">
        <f>TRUNC(0.9,2)</f>
        <v>0.9</v>
      </c>
      <c r="G1201" s="7">
        <f>TRUNC(E1201*F1201,2)</f>
        <v>0.04</v>
      </c>
      <c r="H1201" s="7"/>
      <c r="I1201" s="11"/>
    </row>
    <row r="1202" spans="1:9" ht="15">
      <c r="A1202" s="8"/>
      <c r="B1202" s="12"/>
      <c r="C1202" s="200"/>
      <c r="D1202" s="8"/>
      <c r="E1202" s="11" t="s">
        <v>33</v>
      </c>
      <c r="F1202" s="7"/>
      <c r="G1202" s="7">
        <f>TRUNC(SUM(G1198:G1201),2)</f>
        <v>6.19</v>
      </c>
      <c r="H1202" s="7"/>
      <c r="I1202" s="11"/>
    </row>
    <row r="1203" spans="1:9" ht="30">
      <c r="A1203" s="103" t="s">
        <v>1439</v>
      </c>
      <c r="B1203" s="110" t="s">
        <v>479</v>
      </c>
      <c r="C1203" s="210" t="s">
        <v>480</v>
      </c>
      <c r="D1203" s="103" t="s">
        <v>7</v>
      </c>
      <c r="E1203" s="111">
        <v>6</v>
      </c>
      <c r="F1203" s="111">
        <f>TRUNC(F1204,2)</f>
        <v>11.43</v>
      </c>
      <c r="G1203" s="111">
        <f>TRUNC(F1203*1.2882,2)</f>
        <v>14.72</v>
      </c>
      <c r="H1203" s="111">
        <f>TRUNC(F1203*E1203,2)</f>
        <v>68.58</v>
      </c>
      <c r="I1203" s="111">
        <f>TRUNC(E1203*G1203,2)</f>
        <v>88.32</v>
      </c>
    </row>
    <row r="1204" spans="1:9" ht="30">
      <c r="A1204" s="8"/>
      <c r="B1204" s="12" t="s">
        <v>479</v>
      </c>
      <c r="C1204" s="200" t="s">
        <v>480</v>
      </c>
      <c r="D1204" s="8" t="s">
        <v>7</v>
      </c>
      <c r="E1204" s="11">
        <v>1</v>
      </c>
      <c r="F1204" s="7">
        <f>TRUNC(11.433145,2)</f>
        <v>11.43</v>
      </c>
      <c r="G1204" s="7">
        <f>TRUNC(E1204*F1204,2)</f>
        <v>11.43</v>
      </c>
      <c r="H1204" s="7"/>
      <c r="I1204" s="11"/>
    </row>
    <row r="1205" spans="1:9" ht="15">
      <c r="A1205" s="8"/>
      <c r="B1205" s="12" t="s">
        <v>481</v>
      </c>
      <c r="C1205" s="200" t="s">
        <v>482</v>
      </c>
      <c r="D1205" s="8" t="s">
        <v>7</v>
      </c>
      <c r="E1205" s="11">
        <v>1</v>
      </c>
      <c r="F1205" s="7">
        <f>TRUNC(2.07,2)</f>
        <v>2.07</v>
      </c>
      <c r="G1205" s="7">
        <f>TRUNC(E1205*F1205,2)</f>
        <v>2.07</v>
      </c>
      <c r="H1205" s="7"/>
      <c r="I1205" s="11"/>
    </row>
    <row r="1206" spans="1:9" ht="15">
      <c r="A1206" s="8"/>
      <c r="B1206" s="12" t="s">
        <v>71</v>
      </c>
      <c r="C1206" s="200" t="s">
        <v>72</v>
      </c>
      <c r="D1206" s="8" t="s">
        <v>47</v>
      </c>
      <c r="E1206" s="11">
        <v>0.1735</v>
      </c>
      <c r="F1206" s="7">
        <f>TRUNC(29.27,2)</f>
        <v>29.27</v>
      </c>
      <c r="G1206" s="7">
        <f>TRUNC(E1206*F1206,2)</f>
        <v>5.07</v>
      </c>
      <c r="H1206" s="7"/>
      <c r="I1206" s="11"/>
    </row>
    <row r="1207" spans="1:9" ht="15">
      <c r="A1207" s="8"/>
      <c r="B1207" s="12" t="s">
        <v>177</v>
      </c>
      <c r="C1207" s="200" t="s">
        <v>178</v>
      </c>
      <c r="D1207" s="8" t="s">
        <v>47</v>
      </c>
      <c r="E1207" s="11">
        <v>0.1735</v>
      </c>
      <c r="F1207" s="7">
        <f>TRUNC(24.08,2)</f>
        <v>24.08</v>
      </c>
      <c r="G1207" s="7">
        <f>TRUNC(E1207*F1207,2)</f>
        <v>4.17</v>
      </c>
      <c r="H1207" s="7"/>
      <c r="I1207" s="11"/>
    </row>
    <row r="1208" spans="1:9" ht="30">
      <c r="A1208" s="8"/>
      <c r="B1208" s="12" t="s">
        <v>451</v>
      </c>
      <c r="C1208" s="200" t="s">
        <v>452</v>
      </c>
      <c r="D1208" s="8" t="s">
        <v>63</v>
      </c>
      <c r="E1208" s="11">
        <v>0.1188</v>
      </c>
      <c r="F1208" s="7">
        <f>TRUNC(0.9,2)</f>
        <v>0.9</v>
      </c>
      <c r="G1208" s="7">
        <f>TRUNC(E1208*F1208,2)</f>
        <v>0.1</v>
      </c>
      <c r="H1208" s="7"/>
      <c r="I1208" s="11"/>
    </row>
    <row r="1209" spans="1:9" ht="15">
      <c r="A1209" s="8"/>
      <c r="B1209" s="12"/>
      <c r="C1209" s="200"/>
      <c r="D1209" s="8"/>
      <c r="E1209" s="11" t="s">
        <v>33</v>
      </c>
      <c r="F1209" s="7"/>
      <c r="G1209" s="7">
        <f>TRUNC(SUM(G1205:G1208),2)</f>
        <v>11.41</v>
      </c>
      <c r="H1209" s="7"/>
      <c r="I1209" s="11"/>
    </row>
    <row r="1210" spans="1:9" ht="30">
      <c r="A1210" s="103" t="s">
        <v>1440</v>
      </c>
      <c r="B1210" s="110" t="s">
        <v>483</v>
      </c>
      <c r="C1210" s="210" t="s">
        <v>484</v>
      </c>
      <c r="D1210" s="103" t="s">
        <v>7</v>
      </c>
      <c r="E1210" s="111">
        <v>8</v>
      </c>
      <c r="F1210" s="111">
        <f>TRUNC(F1211,2)</f>
        <v>8.41</v>
      </c>
      <c r="G1210" s="111">
        <f>TRUNC(F1210*1.2882,2)</f>
        <v>10.83</v>
      </c>
      <c r="H1210" s="111">
        <f>TRUNC(F1210*E1210,2)</f>
        <v>67.28</v>
      </c>
      <c r="I1210" s="111">
        <f>TRUNC(E1210*G1210,2)</f>
        <v>86.64</v>
      </c>
    </row>
    <row r="1211" spans="1:9" ht="30">
      <c r="A1211" s="8"/>
      <c r="B1211" s="12" t="s">
        <v>483</v>
      </c>
      <c r="C1211" s="200" t="s">
        <v>484</v>
      </c>
      <c r="D1211" s="8" t="s">
        <v>7</v>
      </c>
      <c r="E1211" s="11">
        <v>1</v>
      </c>
      <c r="F1211" s="7">
        <f>TRUNC(8.41509,2)</f>
        <v>8.41</v>
      </c>
      <c r="G1211" s="7">
        <f>TRUNC(E1211*F1211,2)</f>
        <v>8.41</v>
      </c>
      <c r="H1211" s="7"/>
      <c r="I1211" s="11"/>
    </row>
    <row r="1212" spans="1:9" ht="15">
      <c r="A1212" s="8"/>
      <c r="B1212" s="12" t="s">
        <v>485</v>
      </c>
      <c r="C1212" s="200" t="s">
        <v>486</v>
      </c>
      <c r="D1212" s="8" t="s">
        <v>7</v>
      </c>
      <c r="E1212" s="11">
        <v>1</v>
      </c>
      <c r="F1212" s="7">
        <f>TRUNC(3.72,2)</f>
        <v>3.72</v>
      </c>
      <c r="G1212" s="7">
        <f>TRUNC(E1212*F1212,2)</f>
        <v>3.72</v>
      </c>
      <c r="H1212" s="7"/>
      <c r="I1212" s="11"/>
    </row>
    <row r="1213" spans="1:9" ht="15">
      <c r="A1213" s="8"/>
      <c r="B1213" s="12" t="s">
        <v>71</v>
      </c>
      <c r="C1213" s="200" t="s">
        <v>72</v>
      </c>
      <c r="D1213" s="8" t="s">
        <v>47</v>
      </c>
      <c r="E1213" s="11">
        <v>0.087</v>
      </c>
      <c r="F1213" s="7">
        <f>TRUNC(29.27,2)</f>
        <v>29.27</v>
      </c>
      <c r="G1213" s="7">
        <f>TRUNC(E1213*F1213,2)</f>
        <v>2.54</v>
      </c>
      <c r="H1213" s="7"/>
      <c r="I1213" s="11"/>
    </row>
    <row r="1214" spans="1:9" ht="15">
      <c r="A1214" s="8"/>
      <c r="B1214" s="12" t="s">
        <v>177</v>
      </c>
      <c r="C1214" s="200" t="s">
        <v>178</v>
      </c>
      <c r="D1214" s="8" t="s">
        <v>47</v>
      </c>
      <c r="E1214" s="11">
        <v>0.087</v>
      </c>
      <c r="F1214" s="7">
        <f>TRUNC(24.08,2)</f>
        <v>24.08</v>
      </c>
      <c r="G1214" s="7">
        <f>TRUNC(E1214*F1214,2)</f>
        <v>2.09</v>
      </c>
      <c r="H1214" s="7"/>
      <c r="I1214" s="11"/>
    </row>
    <row r="1215" spans="1:9" ht="30">
      <c r="A1215" s="8"/>
      <c r="B1215" s="12" t="s">
        <v>451</v>
      </c>
      <c r="C1215" s="200" t="s">
        <v>452</v>
      </c>
      <c r="D1215" s="8" t="s">
        <v>63</v>
      </c>
      <c r="E1215" s="11">
        <v>0.0596</v>
      </c>
      <c r="F1215" s="7">
        <f>TRUNC(0.9,2)</f>
        <v>0.9</v>
      </c>
      <c r="G1215" s="7">
        <f>TRUNC(E1215*F1215,2)</f>
        <v>0.05</v>
      </c>
      <c r="H1215" s="7"/>
      <c r="I1215" s="11"/>
    </row>
    <row r="1216" spans="1:9" ht="15">
      <c r="A1216" s="8"/>
      <c r="B1216" s="12"/>
      <c r="C1216" s="200"/>
      <c r="D1216" s="8"/>
      <c r="E1216" s="11" t="s">
        <v>33</v>
      </c>
      <c r="F1216" s="7"/>
      <c r="G1216" s="7">
        <f>TRUNC(SUM(G1212:G1215),2)</f>
        <v>8.4</v>
      </c>
      <c r="H1216" s="7"/>
      <c r="I1216" s="11"/>
    </row>
    <row r="1217" spans="1:9" ht="30">
      <c r="A1217" s="103" t="s">
        <v>1441</v>
      </c>
      <c r="B1217" s="110" t="s">
        <v>487</v>
      </c>
      <c r="C1217" s="210" t="s">
        <v>488</v>
      </c>
      <c r="D1217" s="103" t="s">
        <v>7</v>
      </c>
      <c r="E1217" s="111">
        <v>2</v>
      </c>
      <c r="F1217" s="111">
        <f>TRUNC(F1218,2)</f>
        <v>23.92</v>
      </c>
      <c r="G1217" s="111">
        <f>TRUNC(F1217*1.2882,2)</f>
        <v>30.81</v>
      </c>
      <c r="H1217" s="111">
        <f>TRUNC(F1217*E1217,2)</f>
        <v>47.84</v>
      </c>
      <c r="I1217" s="111">
        <f>TRUNC(E1217*G1217,2)</f>
        <v>61.62</v>
      </c>
    </row>
    <row r="1218" spans="1:9" ht="30">
      <c r="A1218" s="8"/>
      <c r="B1218" s="12" t="s">
        <v>487</v>
      </c>
      <c r="C1218" s="200" t="s">
        <v>488</v>
      </c>
      <c r="D1218" s="8" t="s">
        <v>7</v>
      </c>
      <c r="E1218" s="11">
        <v>1</v>
      </c>
      <c r="F1218" s="7">
        <f>G1223</f>
        <v>23.92</v>
      </c>
      <c r="G1218" s="7">
        <f>TRUNC(E1218*F1218,2)</f>
        <v>23.92</v>
      </c>
      <c r="H1218" s="7"/>
      <c r="I1218" s="11"/>
    </row>
    <row r="1219" spans="1:9" ht="15">
      <c r="A1219" s="8"/>
      <c r="B1219" s="12" t="s">
        <v>489</v>
      </c>
      <c r="C1219" s="200" t="s">
        <v>490</v>
      </c>
      <c r="D1219" s="8" t="s">
        <v>7</v>
      </c>
      <c r="E1219" s="11">
        <v>1</v>
      </c>
      <c r="F1219" s="7">
        <f>TRUNC(12.83,2)</f>
        <v>12.83</v>
      </c>
      <c r="G1219" s="7">
        <f>TRUNC(E1219*F1219,2)</f>
        <v>12.83</v>
      </c>
      <c r="H1219" s="7"/>
      <c r="I1219" s="11"/>
    </row>
    <row r="1220" spans="1:9" ht="15">
      <c r="A1220" s="8"/>
      <c r="B1220" s="12" t="s">
        <v>71</v>
      </c>
      <c r="C1220" s="200" t="s">
        <v>72</v>
      </c>
      <c r="D1220" s="8" t="s">
        <v>47</v>
      </c>
      <c r="E1220" s="11">
        <v>0.2059</v>
      </c>
      <c r="F1220" s="7">
        <f>TRUNC(29.27,2)</f>
        <v>29.27</v>
      </c>
      <c r="G1220" s="7">
        <f>TRUNC(E1220*F1220,2)</f>
        <v>6.02</v>
      </c>
      <c r="H1220" s="7"/>
      <c r="I1220" s="11"/>
    </row>
    <row r="1221" spans="1:9" ht="15">
      <c r="A1221" s="8"/>
      <c r="B1221" s="12" t="s">
        <v>177</v>
      </c>
      <c r="C1221" s="200" t="s">
        <v>178</v>
      </c>
      <c r="D1221" s="8" t="s">
        <v>47</v>
      </c>
      <c r="E1221" s="11">
        <v>0.2059</v>
      </c>
      <c r="F1221" s="7">
        <f>TRUNC(24.08,2)</f>
        <v>24.08</v>
      </c>
      <c r="G1221" s="7">
        <f>TRUNC(E1221*F1221,2)</f>
        <v>4.95</v>
      </c>
      <c r="H1221" s="7"/>
      <c r="I1221" s="11"/>
    </row>
    <row r="1222" spans="1:9" ht="30">
      <c r="A1222" s="8"/>
      <c r="B1222" s="12" t="s">
        <v>451</v>
      </c>
      <c r="C1222" s="200" t="s">
        <v>452</v>
      </c>
      <c r="D1222" s="8" t="s">
        <v>63</v>
      </c>
      <c r="E1222" s="11">
        <v>0.141</v>
      </c>
      <c r="F1222" s="7">
        <f>TRUNC(0.9,2)</f>
        <v>0.9</v>
      </c>
      <c r="G1222" s="7">
        <f>TRUNC(E1222*F1222,2)</f>
        <v>0.12</v>
      </c>
      <c r="H1222" s="7"/>
      <c r="I1222" s="11"/>
    </row>
    <row r="1223" spans="1:9" ht="15">
      <c r="A1223" s="8"/>
      <c r="B1223" s="12"/>
      <c r="C1223" s="200"/>
      <c r="D1223" s="8"/>
      <c r="E1223" s="11" t="s">
        <v>33</v>
      </c>
      <c r="F1223" s="7"/>
      <c r="G1223" s="7">
        <f>TRUNC(SUM(G1219:G1222),2)</f>
        <v>23.92</v>
      </c>
      <c r="H1223" s="7"/>
      <c r="I1223" s="11"/>
    </row>
    <row r="1224" spans="1:9" ht="30">
      <c r="A1224" s="103" t="s">
        <v>1442</v>
      </c>
      <c r="B1224" s="110" t="s">
        <v>1489</v>
      </c>
      <c r="C1224" s="210" t="s">
        <v>1488</v>
      </c>
      <c r="D1224" s="103" t="s">
        <v>7</v>
      </c>
      <c r="E1224" s="111">
        <v>6</v>
      </c>
      <c r="F1224" s="111">
        <f>TRUNC(F1225,2)</f>
        <v>16.46</v>
      </c>
      <c r="G1224" s="111">
        <f>TRUNC(F1224*1.2882,2)</f>
        <v>21.2</v>
      </c>
      <c r="H1224" s="111">
        <f>TRUNC(F1224*E1224,2)</f>
        <v>98.76</v>
      </c>
      <c r="I1224" s="111">
        <f>TRUNC(E1224*G1224,2)</f>
        <v>127.2</v>
      </c>
    </row>
    <row r="1225" spans="1:9" ht="30">
      <c r="A1225" s="8"/>
      <c r="B1225" s="12" t="s">
        <v>491</v>
      </c>
      <c r="C1225" s="200" t="s">
        <v>492</v>
      </c>
      <c r="D1225" s="8" t="s">
        <v>7</v>
      </c>
      <c r="E1225" s="11">
        <v>1</v>
      </c>
      <c r="F1225" s="7">
        <f>TRUNC(16.467475,2)</f>
        <v>16.46</v>
      </c>
      <c r="G1225" s="7">
        <f>TRUNC(E1225*F1225,2)</f>
        <v>16.46</v>
      </c>
      <c r="H1225" s="7"/>
      <c r="I1225" s="11"/>
    </row>
    <row r="1226" spans="1:9" ht="15">
      <c r="A1226" s="8"/>
      <c r="B1226" s="12" t="s">
        <v>1486</v>
      </c>
      <c r="C1226" s="200" t="s">
        <v>1487</v>
      </c>
      <c r="D1226" s="8" t="s">
        <v>7</v>
      </c>
      <c r="E1226" s="11">
        <v>1</v>
      </c>
      <c r="F1226" s="7">
        <v>1.8</v>
      </c>
      <c r="G1226" s="7">
        <f>TRUNC(E1226*F1226,2)</f>
        <v>1.8</v>
      </c>
      <c r="H1226" s="7"/>
      <c r="I1226" s="11"/>
    </row>
    <row r="1227" spans="1:9" ht="15">
      <c r="A1227" s="8"/>
      <c r="B1227" s="12" t="s">
        <v>71</v>
      </c>
      <c r="C1227" s="200" t="s">
        <v>72</v>
      </c>
      <c r="D1227" s="8" t="s">
        <v>47</v>
      </c>
      <c r="E1227" s="11">
        <v>0.2603</v>
      </c>
      <c r="F1227" s="7">
        <f>TRUNC(29.27,2)</f>
        <v>29.27</v>
      </c>
      <c r="G1227" s="7">
        <f>TRUNC(E1227*F1227,2)</f>
        <v>7.61</v>
      </c>
      <c r="H1227" s="7"/>
      <c r="I1227" s="11"/>
    </row>
    <row r="1228" spans="1:9" ht="15">
      <c r="A1228" s="8"/>
      <c r="B1228" s="12" t="s">
        <v>177</v>
      </c>
      <c r="C1228" s="200" t="s">
        <v>178</v>
      </c>
      <c r="D1228" s="8" t="s">
        <v>47</v>
      </c>
      <c r="E1228" s="11">
        <v>0.2603</v>
      </c>
      <c r="F1228" s="7">
        <f>TRUNC(24.08,2)</f>
        <v>24.08</v>
      </c>
      <c r="G1228" s="7">
        <f>TRUNC(E1228*F1228,2)</f>
        <v>6.26</v>
      </c>
      <c r="H1228" s="7"/>
      <c r="I1228" s="11"/>
    </row>
    <row r="1229" spans="1:9" ht="30">
      <c r="A1229" s="8"/>
      <c r="B1229" s="12" t="s">
        <v>451</v>
      </c>
      <c r="C1229" s="200" t="s">
        <v>452</v>
      </c>
      <c r="D1229" s="8" t="s">
        <v>63</v>
      </c>
      <c r="E1229" s="11">
        <v>0.1783</v>
      </c>
      <c r="F1229" s="7">
        <f>TRUNC(0.9,2)</f>
        <v>0.9</v>
      </c>
      <c r="G1229" s="7">
        <f>TRUNC(E1229*F1229,2)</f>
        <v>0.16</v>
      </c>
      <c r="H1229" s="7"/>
      <c r="I1229" s="11"/>
    </row>
    <row r="1230" spans="1:9" ht="15">
      <c r="A1230" s="8"/>
      <c r="B1230" s="12"/>
      <c r="C1230" s="200"/>
      <c r="D1230" s="8"/>
      <c r="E1230" s="11" t="s">
        <v>33</v>
      </c>
      <c r="F1230" s="7"/>
      <c r="G1230" s="7">
        <f>TRUNC(SUM(G1226:G1229),2)</f>
        <v>15.83</v>
      </c>
      <c r="H1230" s="7"/>
      <c r="I1230" s="11"/>
    </row>
    <row r="1231" spans="1:9" ht="30">
      <c r="A1231" s="103" t="s">
        <v>1443</v>
      </c>
      <c r="B1231" s="110" t="s">
        <v>491</v>
      </c>
      <c r="C1231" s="210" t="s">
        <v>492</v>
      </c>
      <c r="D1231" s="103" t="s">
        <v>7</v>
      </c>
      <c r="E1231" s="111">
        <v>16</v>
      </c>
      <c r="F1231" s="111">
        <f>TRUNC(F1232,2)</f>
        <v>16.46</v>
      </c>
      <c r="G1231" s="111">
        <f>TRUNC(F1231*1.2882,2)</f>
        <v>21.2</v>
      </c>
      <c r="H1231" s="111">
        <f>TRUNC(F1231*E1231,2)</f>
        <v>263.36</v>
      </c>
      <c r="I1231" s="111">
        <f>TRUNC(E1231*G1231,2)</f>
        <v>339.2</v>
      </c>
    </row>
    <row r="1232" spans="1:9" ht="30">
      <c r="A1232" s="8"/>
      <c r="B1232" s="12" t="s">
        <v>491</v>
      </c>
      <c r="C1232" s="200" t="s">
        <v>492</v>
      </c>
      <c r="D1232" s="8" t="s">
        <v>7</v>
      </c>
      <c r="E1232" s="11">
        <v>1</v>
      </c>
      <c r="F1232" s="7">
        <f>TRUNC(16.467475,2)</f>
        <v>16.46</v>
      </c>
      <c r="G1232" s="7">
        <f>TRUNC(E1232*F1232,2)</f>
        <v>16.46</v>
      </c>
      <c r="H1232" s="7"/>
      <c r="I1232" s="11"/>
    </row>
    <row r="1233" spans="1:9" ht="15">
      <c r="A1233" s="8"/>
      <c r="B1233" s="12" t="s">
        <v>493</v>
      </c>
      <c r="C1233" s="200" t="s">
        <v>494</v>
      </c>
      <c r="D1233" s="8" t="s">
        <v>7</v>
      </c>
      <c r="E1233" s="11">
        <v>1</v>
      </c>
      <c r="F1233" s="7">
        <f>TRUNC(2.42,2)</f>
        <v>2.42</v>
      </c>
      <c r="G1233" s="7">
        <f>TRUNC(E1233*F1233,2)</f>
        <v>2.42</v>
      </c>
      <c r="H1233" s="7"/>
      <c r="I1233" s="11"/>
    </row>
    <row r="1234" spans="1:9" ht="15">
      <c r="A1234" s="8"/>
      <c r="B1234" s="12" t="s">
        <v>71</v>
      </c>
      <c r="C1234" s="200" t="s">
        <v>72</v>
      </c>
      <c r="D1234" s="8" t="s">
        <v>47</v>
      </c>
      <c r="E1234" s="11">
        <v>0.2603</v>
      </c>
      <c r="F1234" s="7">
        <f>TRUNC(29.27,2)</f>
        <v>29.27</v>
      </c>
      <c r="G1234" s="7">
        <f>TRUNC(E1234*F1234,2)</f>
        <v>7.61</v>
      </c>
      <c r="H1234" s="7"/>
      <c r="I1234" s="11"/>
    </row>
    <row r="1235" spans="1:9" ht="15">
      <c r="A1235" s="8"/>
      <c r="B1235" s="12" t="s">
        <v>177</v>
      </c>
      <c r="C1235" s="200" t="s">
        <v>178</v>
      </c>
      <c r="D1235" s="8" t="s">
        <v>47</v>
      </c>
      <c r="E1235" s="11">
        <v>0.2603</v>
      </c>
      <c r="F1235" s="7">
        <f>TRUNC(24.08,2)</f>
        <v>24.08</v>
      </c>
      <c r="G1235" s="7">
        <f>TRUNC(E1235*F1235,2)</f>
        <v>6.26</v>
      </c>
      <c r="H1235" s="7"/>
      <c r="I1235" s="11"/>
    </row>
    <row r="1236" spans="1:9" ht="30">
      <c r="A1236" s="8"/>
      <c r="B1236" s="12" t="s">
        <v>451</v>
      </c>
      <c r="C1236" s="200" t="s">
        <v>452</v>
      </c>
      <c r="D1236" s="8" t="s">
        <v>63</v>
      </c>
      <c r="E1236" s="11">
        <v>0.1783</v>
      </c>
      <c r="F1236" s="7">
        <f>TRUNC(0.9,2)</f>
        <v>0.9</v>
      </c>
      <c r="G1236" s="7">
        <f>TRUNC(E1236*F1236,2)</f>
        <v>0.16</v>
      </c>
      <c r="H1236" s="7"/>
      <c r="I1236" s="11"/>
    </row>
    <row r="1237" spans="1:9" ht="15">
      <c r="A1237" s="8"/>
      <c r="B1237" s="12"/>
      <c r="C1237" s="200"/>
      <c r="D1237" s="8"/>
      <c r="E1237" s="11" t="s">
        <v>33</v>
      </c>
      <c r="F1237" s="7"/>
      <c r="G1237" s="7">
        <f>TRUNC(SUM(G1233:G1236),2)</f>
        <v>16.45</v>
      </c>
      <c r="H1237" s="7"/>
      <c r="I1237" s="11"/>
    </row>
    <row r="1238" spans="1:9" ht="30">
      <c r="A1238" s="103" t="s">
        <v>1444</v>
      </c>
      <c r="B1238" s="110" t="s">
        <v>495</v>
      </c>
      <c r="C1238" s="210" t="s">
        <v>496</v>
      </c>
      <c r="D1238" s="103" t="s">
        <v>7</v>
      </c>
      <c r="E1238" s="111">
        <v>10</v>
      </c>
      <c r="F1238" s="111">
        <f>TRUNC(F1239,2)</f>
        <v>10.73</v>
      </c>
      <c r="G1238" s="111">
        <f>TRUNC(F1238*1.2882,2)</f>
        <v>13.82</v>
      </c>
      <c r="H1238" s="111">
        <f>TRUNC(F1238*E1238,2)</f>
        <v>107.3</v>
      </c>
      <c r="I1238" s="111">
        <f>TRUNC(E1238*G1238,2)</f>
        <v>138.2</v>
      </c>
    </row>
    <row r="1239" spans="1:9" ht="30">
      <c r="A1239" s="8"/>
      <c r="B1239" s="12" t="s">
        <v>495</v>
      </c>
      <c r="C1239" s="200" t="s">
        <v>496</v>
      </c>
      <c r="D1239" s="8" t="s">
        <v>7</v>
      </c>
      <c r="E1239" s="11">
        <v>1</v>
      </c>
      <c r="F1239" s="7">
        <f>TRUNC(10.732635,2)</f>
        <v>10.73</v>
      </c>
      <c r="G1239" s="7">
        <f>TRUNC(E1239*F1239,2)</f>
        <v>10.73</v>
      </c>
      <c r="H1239" s="7"/>
      <c r="I1239" s="11"/>
    </row>
    <row r="1240" spans="1:9" ht="15">
      <c r="A1240" s="8"/>
      <c r="B1240" s="12" t="s">
        <v>497</v>
      </c>
      <c r="C1240" s="200" t="s">
        <v>498</v>
      </c>
      <c r="D1240" s="8" t="s">
        <v>7</v>
      </c>
      <c r="E1240" s="11">
        <v>1</v>
      </c>
      <c r="F1240" s="7">
        <f>TRUNC(3.69,2)</f>
        <v>3.69</v>
      </c>
      <c r="G1240" s="7">
        <f>TRUNC(E1240*F1240,2)</f>
        <v>3.69</v>
      </c>
      <c r="H1240" s="7"/>
      <c r="I1240" s="11"/>
    </row>
    <row r="1241" spans="1:9" ht="15">
      <c r="A1241" s="8"/>
      <c r="B1241" s="12" t="s">
        <v>71</v>
      </c>
      <c r="C1241" s="200" t="s">
        <v>72</v>
      </c>
      <c r="D1241" s="8" t="s">
        <v>47</v>
      </c>
      <c r="E1241" s="11">
        <v>0.1305</v>
      </c>
      <c r="F1241" s="7">
        <f>TRUNC(29.27,2)</f>
        <v>29.27</v>
      </c>
      <c r="G1241" s="7">
        <f>TRUNC(E1241*F1241,2)</f>
        <v>3.81</v>
      </c>
      <c r="H1241" s="7"/>
      <c r="I1241" s="11"/>
    </row>
    <row r="1242" spans="1:9" ht="15">
      <c r="A1242" s="8"/>
      <c r="B1242" s="12" t="s">
        <v>177</v>
      </c>
      <c r="C1242" s="200" t="s">
        <v>178</v>
      </c>
      <c r="D1242" s="8" t="s">
        <v>47</v>
      </c>
      <c r="E1242" s="11">
        <v>0.1305</v>
      </c>
      <c r="F1242" s="7">
        <f>TRUNC(24.08,2)</f>
        <v>24.08</v>
      </c>
      <c r="G1242" s="7">
        <f>TRUNC(E1242*F1242,2)</f>
        <v>3.14</v>
      </c>
      <c r="H1242" s="7"/>
      <c r="I1242" s="11"/>
    </row>
    <row r="1243" spans="1:9" ht="30">
      <c r="A1243" s="8"/>
      <c r="B1243" s="12" t="s">
        <v>451</v>
      </c>
      <c r="C1243" s="200" t="s">
        <v>452</v>
      </c>
      <c r="D1243" s="8" t="s">
        <v>63</v>
      </c>
      <c r="E1243" s="11">
        <v>0.0894</v>
      </c>
      <c r="F1243" s="7">
        <f>TRUNC(0.9,2)</f>
        <v>0.9</v>
      </c>
      <c r="G1243" s="7">
        <f>TRUNC(E1243*F1243,2)</f>
        <v>0.08</v>
      </c>
      <c r="H1243" s="7"/>
      <c r="I1243" s="11"/>
    </row>
    <row r="1244" spans="1:9" ht="15">
      <c r="A1244" s="8"/>
      <c r="B1244" s="12"/>
      <c r="C1244" s="200"/>
      <c r="D1244" s="8"/>
      <c r="E1244" s="11" t="s">
        <v>33</v>
      </c>
      <c r="F1244" s="7"/>
      <c r="G1244" s="7">
        <f>TRUNC(SUM(G1240:G1243),2)</f>
        <v>10.72</v>
      </c>
      <c r="H1244" s="7"/>
      <c r="I1244" s="11"/>
    </row>
    <row r="1245" spans="1:9" ht="30">
      <c r="A1245" s="103" t="s">
        <v>1445</v>
      </c>
      <c r="B1245" s="110" t="s">
        <v>499</v>
      </c>
      <c r="C1245" s="210" t="s">
        <v>500</v>
      </c>
      <c r="D1245" s="103" t="s">
        <v>7</v>
      </c>
      <c r="E1245" s="111">
        <v>6</v>
      </c>
      <c r="F1245" s="111">
        <f>TRUNC(F1246,2)</f>
        <v>30.47</v>
      </c>
      <c r="G1245" s="111">
        <f>TRUNC(F1245*1.2882,2)</f>
        <v>39.25</v>
      </c>
      <c r="H1245" s="111">
        <f>TRUNC(F1245*E1245,2)</f>
        <v>182.82</v>
      </c>
      <c r="I1245" s="111">
        <f>TRUNC(E1245*G1245,2)</f>
        <v>235.5</v>
      </c>
    </row>
    <row r="1246" spans="1:9" ht="30">
      <c r="A1246" s="8"/>
      <c r="B1246" s="12" t="s">
        <v>499</v>
      </c>
      <c r="C1246" s="200" t="s">
        <v>500</v>
      </c>
      <c r="D1246" s="8" t="s">
        <v>7</v>
      </c>
      <c r="E1246" s="11">
        <v>1</v>
      </c>
      <c r="F1246" s="7">
        <f>TRUNC(30.472904,2)</f>
        <v>30.47</v>
      </c>
      <c r="G1246" s="7">
        <f aca="true" t="shared" si="67" ref="G1246:G1251">TRUNC(E1246*F1246,2)</f>
        <v>30.47</v>
      </c>
      <c r="H1246" s="7"/>
      <c r="I1246" s="11"/>
    </row>
    <row r="1247" spans="1:9" ht="15">
      <c r="A1247" s="8"/>
      <c r="B1247" s="12" t="s">
        <v>501</v>
      </c>
      <c r="C1247" s="200" t="s">
        <v>502</v>
      </c>
      <c r="D1247" s="8" t="s">
        <v>7</v>
      </c>
      <c r="E1247" s="11">
        <v>1</v>
      </c>
      <c r="F1247" s="7">
        <f>TRUNC(13.79,2)</f>
        <v>13.79</v>
      </c>
      <c r="G1247" s="7">
        <f t="shared" si="67"/>
        <v>13.79</v>
      </c>
      <c r="H1247" s="7"/>
      <c r="I1247" s="11"/>
    </row>
    <row r="1248" spans="1:9" ht="15">
      <c r="A1248" s="8"/>
      <c r="B1248" s="12" t="s">
        <v>71</v>
      </c>
      <c r="C1248" s="200" t="s">
        <v>72</v>
      </c>
      <c r="D1248" s="8" t="s">
        <v>47</v>
      </c>
      <c r="E1248" s="11">
        <v>0.3089</v>
      </c>
      <c r="F1248" s="7">
        <f>TRUNC(29.27,2)</f>
        <v>29.27</v>
      </c>
      <c r="G1248" s="7">
        <f t="shared" si="67"/>
        <v>9.04</v>
      </c>
      <c r="H1248" s="7"/>
      <c r="I1248" s="11"/>
    </row>
    <row r="1249" spans="1:9" ht="15">
      <c r="A1249" s="8"/>
      <c r="B1249" s="12" t="s">
        <v>177</v>
      </c>
      <c r="C1249" s="200" t="s">
        <v>178</v>
      </c>
      <c r="D1249" s="8" t="s">
        <v>47</v>
      </c>
      <c r="E1249" s="11">
        <v>0.3089</v>
      </c>
      <c r="F1249" s="7">
        <f>TRUNC(24.08,2)</f>
        <v>24.08</v>
      </c>
      <c r="G1249" s="7">
        <f t="shared" si="67"/>
        <v>7.43</v>
      </c>
      <c r="H1249" s="7"/>
      <c r="I1249" s="11"/>
    </row>
    <row r="1250" spans="1:9" ht="30">
      <c r="A1250" s="8"/>
      <c r="B1250" s="12" t="s">
        <v>473</v>
      </c>
      <c r="C1250" s="200" t="s">
        <v>474</v>
      </c>
      <c r="D1250" s="8" t="s">
        <v>62</v>
      </c>
      <c r="E1250" s="11">
        <v>0.0973</v>
      </c>
      <c r="F1250" s="7">
        <f>TRUNC(0.13,2)</f>
        <v>0.13</v>
      </c>
      <c r="G1250" s="7">
        <f t="shared" si="67"/>
        <v>0.01</v>
      </c>
      <c r="H1250" s="7"/>
      <c r="I1250" s="11"/>
    </row>
    <row r="1251" spans="1:9" ht="30">
      <c r="A1251" s="8"/>
      <c r="B1251" s="12" t="s">
        <v>451</v>
      </c>
      <c r="C1251" s="200" t="s">
        <v>452</v>
      </c>
      <c r="D1251" s="8" t="s">
        <v>63</v>
      </c>
      <c r="E1251" s="11">
        <v>0.2116</v>
      </c>
      <c r="F1251" s="7">
        <f>TRUNC(0.9,2)</f>
        <v>0.9</v>
      </c>
      <c r="G1251" s="7">
        <f t="shared" si="67"/>
        <v>0.19</v>
      </c>
      <c r="H1251" s="7"/>
      <c r="I1251" s="11"/>
    </row>
    <row r="1252" spans="1:9" ht="15">
      <c r="A1252" s="8"/>
      <c r="B1252" s="12"/>
      <c r="C1252" s="200"/>
      <c r="D1252" s="8"/>
      <c r="E1252" s="11" t="s">
        <v>33</v>
      </c>
      <c r="F1252" s="7"/>
      <c r="G1252" s="7">
        <f>TRUNC(SUM(G1247:G1251),2)</f>
        <v>30.46</v>
      </c>
      <c r="H1252" s="7"/>
      <c r="I1252" s="11"/>
    </row>
    <row r="1253" spans="1:9" ht="30">
      <c r="A1253" s="103" t="s">
        <v>1446</v>
      </c>
      <c r="B1253" s="110" t="s">
        <v>503</v>
      </c>
      <c r="C1253" s="210" t="s">
        <v>504</v>
      </c>
      <c r="D1253" s="103" t="s">
        <v>7</v>
      </c>
      <c r="E1253" s="111">
        <v>4</v>
      </c>
      <c r="F1253" s="111">
        <f>TRUNC(F1254,2)</f>
        <v>13.89</v>
      </c>
      <c r="G1253" s="111">
        <f>TRUNC(F1253*1.2882,2)</f>
        <v>17.89</v>
      </c>
      <c r="H1253" s="111">
        <f>TRUNC(F1253*E1253,2)</f>
        <v>55.56</v>
      </c>
      <c r="I1253" s="111">
        <f>TRUNC(E1253*G1253,2)</f>
        <v>71.56</v>
      </c>
    </row>
    <row r="1254" spans="1:9" ht="30">
      <c r="A1254" s="8"/>
      <c r="B1254" s="12" t="s">
        <v>503</v>
      </c>
      <c r="C1254" s="200" t="s">
        <v>504</v>
      </c>
      <c r="D1254" s="8" t="s">
        <v>7</v>
      </c>
      <c r="E1254" s="11">
        <v>1</v>
      </c>
      <c r="F1254" s="7">
        <f>G1259</f>
        <v>13.89</v>
      </c>
      <c r="G1254" s="7">
        <f>TRUNC(E1254*F1254,2)</f>
        <v>13.89</v>
      </c>
      <c r="H1254" s="7"/>
      <c r="I1254" s="11"/>
    </row>
    <row r="1255" spans="1:9" ht="15">
      <c r="A1255" s="8"/>
      <c r="B1255" s="12" t="s">
        <v>505</v>
      </c>
      <c r="C1255" s="200" t="s">
        <v>506</v>
      </c>
      <c r="D1255" s="8" t="s">
        <v>7</v>
      </c>
      <c r="E1255" s="11">
        <v>1</v>
      </c>
      <c r="F1255" s="7">
        <f>TRUNC(6.86,2)</f>
        <v>6.86</v>
      </c>
      <c r="G1255" s="7">
        <f>TRUNC(E1255*F1255,2)</f>
        <v>6.86</v>
      </c>
      <c r="H1255" s="7"/>
      <c r="I1255" s="11"/>
    </row>
    <row r="1256" spans="1:9" ht="15">
      <c r="A1256" s="8"/>
      <c r="B1256" s="12" t="s">
        <v>71</v>
      </c>
      <c r="C1256" s="200" t="s">
        <v>72</v>
      </c>
      <c r="D1256" s="8" t="s">
        <v>47</v>
      </c>
      <c r="E1256" s="11">
        <v>0.1305</v>
      </c>
      <c r="F1256" s="7">
        <f>TRUNC(29.27,2)</f>
        <v>29.27</v>
      </c>
      <c r="G1256" s="7">
        <f>TRUNC(E1256*F1256,2)</f>
        <v>3.81</v>
      </c>
      <c r="H1256" s="7"/>
      <c r="I1256" s="11"/>
    </row>
    <row r="1257" spans="1:9" ht="15">
      <c r="A1257" s="8"/>
      <c r="B1257" s="12" t="s">
        <v>177</v>
      </c>
      <c r="C1257" s="200" t="s">
        <v>178</v>
      </c>
      <c r="D1257" s="8" t="s">
        <v>47</v>
      </c>
      <c r="E1257" s="11">
        <v>0.1305</v>
      </c>
      <c r="F1257" s="7">
        <f>TRUNC(24.08,2)</f>
        <v>24.08</v>
      </c>
      <c r="G1257" s="7">
        <f>TRUNC(E1257*F1257,2)</f>
        <v>3.14</v>
      </c>
      <c r="H1257" s="7"/>
      <c r="I1257" s="11"/>
    </row>
    <row r="1258" spans="1:9" ht="30">
      <c r="A1258" s="8"/>
      <c r="B1258" s="12" t="s">
        <v>451</v>
      </c>
      <c r="C1258" s="200" t="s">
        <v>452</v>
      </c>
      <c r="D1258" s="8" t="s">
        <v>63</v>
      </c>
      <c r="E1258" s="11">
        <v>0.0894</v>
      </c>
      <c r="F1258" s="7">
        <f>TRUNC(0.9,2)</f>
        <v>0.9</v>
      </c>
      <c r="G1258" s="7">
        <f>TRUNC(E1258*F1258,2)</f>
        <v>0.08</v>
      </c>
      <c r="H1258" s="7"/>
      <c r="I1258" s="11"/>
    </row>
    <row r="1259" spans="1:9" ht="15">
      <c r="A1259" s="8"/>
      <c r="B1259" s="12"/>
      <c r="C1259" s="200"/>
      <c r="D1259" s="8"/>
      <c r="E1259" s="11" t="s">
        <v>33</v>
      </c>
      <c r="F1259" s="7"/>
      <c r="G1259" s="7">
        <f>TRUNC(SUM(G1255:G1258),2)</f>
        <v>13.89</v>
      </c>
      <c r="H1259" s="7"/>
      <c r="I1259" s="11"/>
    </row>
    <row r="1260" spans="1:9" ht="30">
      <c r="A1260" s="103" t="s">
        <v>1447</v>
      </c>
      <c r="B1260" s="110" t="s">
        <v>507</v>
      </c>
      <c r="C1260" s="210" t="s">
        <v>508</v>
      </c>
      <c r="D1260" s="103" t="s">
        <v>7</v>
      </c>
      <c r="E1260" s="111">
        <v>4</v>
      </c>
      <c r="F1260" s="111">
        <f>TRUNC(F1261,2)</f>
        <v>38.6</v>
      </c>
      <c r="G1260" s="111">
        <f>TRUNC(F1260*1.2882,2)</f>
        <v>49.72</v>
      </c>
      <c r="H1260" s="111">
        <f>TRUNC(F1260*E1260,2)</f>
        <v>154.4</v>
      </c>
      <c r="I1260" s="111">
        <f>TRUNC(E1260*G1260,2)</f>
        <v>198.88</v>
      </c>
    </row>
    <row r="1261" spans="1:9" ht="30">
      <c r="A1261" s="8"/>
      <c r="B1261" s="12" t="s">
        <v>507</v>
      </c>
      <c r="C1261" s="200" t="s">
        <v>508</v>
      </c>
      <c r="D1261" s="8" t="s">
        <v>7</v>
      </c>
      <c r="E1261" s="11">
        <v>1</v>
      </c>
      <c r="F1261" s="7">
        <f>G1267</f>
        <v>38.6</v>
      </c>
      <c r="G1261" s="7">
        <f aca="true" t="shared" si="68" ref="G1261:G1266">TRUNC(E1261*F1261,2)</f>
        <v>38.6</v>
      </c>
      <c r="H1261" s="7"/>
      <c r="I1261" s="11"/>
    </row>
    <row r="1262" spans="1:9" ht="15">
      <c r="A1262" s="8"/>
      <c r="B1262" s="12" t="s">
        <v>509</v>
      </c>
      <c r="C1262" s="200" t="s">
        <v>510</v>
      </c>
      <c r="D1262" s="8" t="s">
        <v>7</v>
      </c>
      <c r="E1262" s="11">
        <v>1</v>
      </c>
      <c r="F1262" s="7">
        <f>TRUNC(21.93,2)</f>
        <v>21.93</v>
      </c>
      <c r="G1262" s="7">
        <f t="shared" si="68"/>
        <v>21.93</v>
      </c>
      <c r="H1262" s="7"/>
      <c r="I1262" s="11"/>
    </row>
    <row r="1263" spans="1:9" ht="15">
      <c r="A1263" s="8"/>
      <c r="B1263" s="12" t="s">
        <v>71</v>
      </c>
      <c r="C1263" s="200" t="s">
        <v>72</v>
      </c>
      <c r="D1263" s="8" t="s">
        <v>47</v>
      </c>
      <c r="E1263" s="11">
        <v>0.3089</v>
      </c>
      <c r="F1263" s="7">
        <f>TRUNC(29.27,2)</f>
        <v>29.27</v>
      </c>
      <c r="G1263" s="7">
        <f t="shared" si="68"/>
        <v>9.04</v>
      </c>
      <c r="H1263" s="7"/>
      <c r="I1263" s="11"/>
    </row>
    <row r="1264" spans="1:9" ht="15">
      <c r="A1264" s="8"/>
      <c r="B1264" s="12" t="s">
        <v>177</v>
      </c>
      <c r="C1264" s="200" t="s">
        <v>178</v>
      </c>
      <c r="D1264" s="8" t="s">
        <v>47</v>
      </c>
      <c r="E1264" s="11">
        <v>0.3089</v>
      </c>
      <c r="F1264" s="7">
        <f>TRUNC(24.08,2)</f>
        <v>24.08</v>
      </c>
      <c r="G1264" s="7">
        <f t="shared" si="68"/>
        <v>7.43</v>
      </c>
      <c r="H1264" s="7"/>
      <c r="I1264" s="11"/>
    </row>
    <row r="1265" spans="1:9" ht="30">
      <c r="A1265" s="8"/>
      <c r="B1265" s="12" t="s">
        <v>473</v>
      </c>
      <c r="C1265" s="200" t="s">
        <v>474</v>
      </c>
      <c r="D1265" s="8" t="s">
        <v>62</v>
      </c>
      <c r="E1265" s="11">
        <v>0.0973</v>
      </c>
      <c r="F1265" s="7">
        <f>TRUNC(0.13,2)</f>
        <v>0.13</v>
      </c>
      <c r="G1265" s="7">
        <f t="shared" si="68"/>
        <v>0.01</v>
      </c>
      <c r="H1265" s="7"/>
      <c r="I1265" s="11"/>
    </row>
    <row r="1266" spans="1:9" ht="30">
      <c r="A1266" s="8"/>
      <c r="B1266" s="12" t="s">
        <v>451</v>
      </c>
      <c r="C1266" s="200" t="s">
        <v>452</v>
      </c>
      <c r="D1266" s="8" t="s">
        <v>63</v>
      </c>
      <c r="E1266" s="11">
        <v>0.2116</v>
      </c>
      <c r="F1266" s="7">
        <f>TRUNC(0.9,2)</f>
        <v>0.9</v>
      </c>
      <c r="G1266" s="7">
        <f t="shared" si="68"/>
        <v>0.19</v>
      </c>
      <c r="H1266" s="7"/>
      <c r="I1266" s="11"/>
    </row>
    <row r="1267" spans="1:9" ht="15">
      <c r="A1267" s="8"/>
      <c r="B1267" s="12"/>
      <c r="C1267" s="200"/>
      <c r="D1267" s="8"/>
      <c r="E1267" s="11" t="s">
        <v>33</v>
      </c>
      <c r="F1267" s="7"/>
      <c r="G1267" s="7">
        <f>TRUNC(SUM(G1262:G1266),2)</f>
        <v>38.6</v>
      </c>
      <c r="H1267" s="7"/>
      <c r="I1267" s="11"/>
    </row>
    <row r="1268" spans="1:9" ht="30">
      <c r="A1268" s="103" t="s">
        <v>1448</v>
      </c>
      <c r="B1268" s="110" t="s">
        <v>1490</v>
      </c>
      <c r="C1268" s="210" t="s">
        <v>1491</v>
      </c>
      <c r="D1268" s="103" t="s">
        <v>7</v>
      </c>
      <c r="E1268" s="111">
        <v>1</v>
      </c>
      <c r="F1268" s="111">
        <f>TRUNC(F1269,2)</f>
        <v>11.3</v>
      </c>
      <c r="G1268" s="111">
        <f>TRUNC(F1268*1.2882,2)</f>
        <v>14.55</v>
      </c>
      <c r="H1268" s="111">
        <f>TRUNC(F1268*E1268,2)</f>
        <v>11.3</v>
      </c>
      <c r="I1268" s="111">
        <f>TRUNC(E1268*G1268,2)</f>
        <v>14.55</v>
      </c>
    </row>
    <row r="1269" spans="1:9" ht="30">
      <c r="A1269" s="8"/>
      <c r="B1269" s="12" t="s">
        <v>1490</v>
      </c>
      <c r="C1269" s="200" t="s">
        <v>1491</v>
      </c>
      <c r="D1269" s="8" t="s">
        <v>7</v>
      </c>
      <c r="E1269" s="11">
        <v>1</v>
      </c>
      <c r="F1269" s="7">
        <f>G1274</f>
        <v>11.3</v>
      </c>
      <c r="G1269" s="7">
        <f>TRUNC(E1269*F1269,2)</f>
        <v>11.3</v>
      </c>
      <c r="H1269" s="7"/>
      <c r="I1269" s="11"/>
    </row>
    <row r="1270" spans="1:9" ht="30">
      <c r="A1270" s="8"/>
      <c r="B1270" s="12" t="s">
        <v>1492</v>
      </c>
      <c r="C1270" s="200" t="s">
        <v>1493</v>
      </c>
      <c r="D1270" s="8" t="s">
        <v>7</v>
      </c>
      <c r="E1270" s="11">
        <v>1</v>
      </c>
      <c r="F1270" s="7">
        <f>TRUNC(3.45,2)</f>
        <v>3.45</v>
      </c>
      <c r="G1270" s="7">
        <f>TRUNC(E1270*F1270,2)</f>
        <v>3.45</v>
      </c>
      <c r="H1270" s="7"/>
      <c r="I1270" s="11"/>
    </row>
    <row r="1271" spans="1:9" ht="15">
      <c r="A1271" s="8"/>
      <c r="B1271" s="12" t="s">
        <v>71</v>
      </c>
      <c r="C1271" s="200" t="s">
        <v>72</v>
      </c>
      <c r="D1271" s="8" t="s">
        <v>47</v>
      </c>
      <c r="E1271" s="11">
        <v>0.1458</v>
      </c>
      <c r="F1271" s="7">
        <f>TRUNC(29.27,2)</f>
        <v>29.27</v>
      </c>
      <c r="G1271" s="7">
        <f>TRUNC(E1271*F1271,2)</f>
        <v>4.26</v>
      </c>
      <c r="H1271" s="7"/>
      <c r="I1271" s="11"/>
    </row>
    <row r="1272" spans="1:9" ht="15">
      <c r="A1272" s="8"/>
      <c r="B1272" s="12" t="s">
        <v>177</v>
      </c>
      <c r="C1272" s="200" t="s">
        <v>178</v>
      </c>
      <c r="D1272" s="8" t="s">
        <v>47</v>
      </c>
      <c r="E1272" s="11">
        <v>0.1458</v>
      </c>
      <c r="F1272" s="7">
        <f>TRUNC(24.08,2)</f>
        <v>24.08</v>
      </c>
      <c r="G1272" s="7">
        <f>TRUNC(E1272*F1272,2)</f>
        <v>3.51</v>
      </c>
      <c r="H1272" s="7"/>
      <c r="I1272" s="11"/>
    </row>
    <row r="1273" spans="1:9" ht="30">
      <c r="A1273" s="8"/>
      <c r="B1273" s="12" t="s">
        <v>451</v>
      </c>
      <c r="C1273" s="200" t="s">
        <v>452</v>
      </c>
      <c r="D1273" s="8" t="s">
        <v>63</v>
      </c>
      <c r="E1273" s="11">
        <v>0.0999</v>
      </c>
      <c r="F1273" s="7">
        <f>TRUNC(0.9,2)</f>
        <v>0.9</v>
      </c>
      <c r="G1273" s="7">
        <f>TRUNC(E1273*F1273,2)</f>
        <v>0.08</v>
      </c>
      <c r="H1273" s="7"/>
      <c r="I1273" s="11"/>
    </row>
    <row r="1274" spans="1:9" ht="15">
      <c r="A1274" s="8"/>
      <c r="B1274" s="12"/>
      <c r="C1274" s="200"/>
      <c r="D1274" s="8"/>
      <c r="E1274" s="11" t="s">
        <v>33</v>
      </c>
      <c r="F1274" s="7"/>
      <c r="G1274" s="7">
        <f>TRUNC(SUM(G1270:G1273),2)</f>
        <v>11.3</v>
      </c>
      <c r="H1274" s="7"/>
      <c r="I1274" s="11"/>
    </row>
    <row r="1275" spans="1:9" ht="30">
      <c r="A1275" s="103" t="s">
        <v>1449</v>
      </c>
      <c r="B1275" s="110" t="s">
        <v>511</v>
      </c>
      <c r="C1275" s="210" t="s">
        <v>512</v>
      </c>
      <c r="D1275" s="103" t="s">
        <v>7</v>
      </c>
      <c r="E1275" s="111">
        <v>4</v>
      </c>
      <c r="F1275" s="111">
        <f>TRUNC(F1276,2)</f>
        <v>11.89</v>
      </c>
      <c r="G1275" s="111">
        <f>TRUNC(F1275*1.2882,2)</f>
        <v>15.31</v>
      </c>
      <c r="H1275" s="111">
        <f>TRUNC(F1275*E1275,2)</f>
        <v>47.56</v>
      </c>
      <c r="I1275" s="111">
        <f>TRUNC(E1275*G1275,2)</f>
        <v>61.24</v>
      </c>
    </row>
    <row r="1276" spans="1:9" ht="30">
      <c r="A1276" s="8"/>
      <c r="B1276" s="12" t="s">
        <v>511</v>
      </c>
      <c r="C1276" s="200" t="s">
        <v>512</v>
      </c>
      <c r="D1276" s="8" t="s">
        <v>7</v>
      </c>
      <c r="E1276" s="11">
        <v>1</v>
      </c>
      <c r="F1276" s="7">
        <f>G1281</f>
        <v>11.89</v>
      </c>
      <c r="G1276" s="7">
        <f>TRUNC(E1276*F1276,2)</f>
        <v>11.89</v>
      </c>
      <c r="H1276" s="7"/>
      <c r="I1276" s="11"/>
    </row>
    <row r="1277" spans="1:9" ht="30">
      <c r="A1277" s="8"/>
      <c r="B1277" s="12" t="s">
        <v>513</v>
      </c>
      <c r="C1277" s="200" t="s">
        <v>514</v>
      </c>
      <c r="D1277" s="8" t="s">
        <v>7</v>
      </c>
      <c r="E1277" s="11">
        <v>1</v>
      </c>
      <c r="F1277" s="7">
        <f>TRUNC(2.97,2)</f>
        <v>2.97</v>
      </c>
      <c r="G1277" s="7">
        <f>TRUNC(E1277*F1277,2)</f>
        <v>2.97</v>
      </c>
      <c r="H1277" s="7"/>
      <c r="I1277" s="11"/>
    </row>
    <row r="1278" spans="1:9" ht="15">
      <c r="A1278" s="8"/>
      <c r="B1278" s="12" t="s">
        <v>71</v>
      </c>
      <c r="C1278" s="200" t="s">
        <v>72</v>
      </c>
      <c r="D1278" s="8" t="s">
        <v>47</v>
      </c>
      <c r="E1278" s="11">
        <v>0.1654</v>
      </c>
      <c r="F1278" s="7">
        <f>TRUNC(29.27,2)</f>
        <v>29.27</v>
      </c>
      <c r="G1278" s="7">
        <f>TRUNC(E1278*F1278,2)</f>
        <v>4.84</v>
      </c>
      <c r="H1278" s="7"/>
      <c r="I1278" s="11"/>
    </row>
    <row r="1279" spans="1:9" ht="15">
      <c r="A1279" s="8"/>
      <c r="B1279" s="12" t="s">
        <v>177</v>
      </c>
      <c r="C1279" s="200" t="s">
        <v>178</v>
      </c>
      <c r="D1279" s="8" t="s">
        <v>47</v>
      </c>
      <c r="E1279" s="11">
        <v>0.1654</v>
      </c>
      <c r="F1279" s="7">
        <f>TRUNC(24.08,2)</f>
        <v>24.08</v>
      </c>
      <c r="G1279" s="7">
        <f>TRUNC(E1279*F1279,2)</f>
        <v>3.98</v>
      </c>
      <c r="H1279" s="7"/>
      <c r="I1279" s="11"/>
    </row>
    <row r="1280" spans="1:9" ht="30">
      <c r="A1280" s="8"/>
      <c r="B1280" s="12" t="s">
        <v>451</v>
      </c>
      <c r="C1280" s="200" t="s">
        <v>452</v>
      </c>
      <c r="D1280" s="8" t="s">
        <v>63</v>
      </c>
      <c r="E1280" s="11">
        <v>0.1133</v>
      </c>
      <c r="F1280" s="7">
        <f>TRUNC(0.9,2)</f>
        <v>0.9</v>
      </c>
      <c r="G1280" s="7">
        <f>TRUNC(E1280*F1280,2)</f>
        <v>0.1</v>
      </c>
      <c r="H1280" s="7"/>
      <c r="I1280" s="11"/>
    </row>
    <row r="1281" spans="1:9" ht="15">
      <c r="A1281" s="8"/>
      <c r="B1281" s="12"/>
      <c r="C1281" s="200"/>
      <c r="D1281" s="8"/>
      <c r="E1281" s="11" t="s">
        <v>33</v>
      </c>
      <c r="F1281" s="7"/>
      <c r="G1281" s="7">
        <f>TRUNC(SUM(G1277:G1280),2)</f>
        <v>11.89</v>
      </c>
      <c r="H1281" s="7"/>
      <c r="I1281" s="11"/>
    </row>
    <row r="1282" spans="1:9" ht="30">
      <c r="A1282" s="103" t="s">
        <v>1450</v>
      </c>
      <c r="B1282" s="110" t="s">
        <v>515</v>
      </c>
      <c r="C1282" s="210" t="s">
        <v>516</v>
      </c>
      <c r="D1282" s="103" t="s">
        <v>7</v>
      </c>
      <c r="E1282" s="111">
        <v>4</v>
      </c>
      <c r="F1282" s="111">
        <f>TRUNC(F1283,2)</f>
        <v>16.76</v>
      </c>
      <c r="G1282" s="111">
        <f>TRUNC(F1282*1.2882,2)</f>
        <v>21.59</v>
      </c>
      <c r="H1282" s="111">
        <f>TRUNC(F1282*E1282,2)</f>
        <v>67.04</v>
      </c>
      <c r="I1282" s="111">
        <f>TRUNC(E1282*G1282,2)</f>
        <v>86.36</v>
      </c>
    </row>
    <row r="1283" spans="1:9" ht="30">
      <c r="A1283" s="8"/>
      <c r="B1283" s="12" t="s">
        <v>515</v>
      </c>
      <c r="C1283" s="200" t="s">
        <v>516</v>
      </c>
      <c r="D1283" s="8" t="s">
        <v>7</v>
      </c>
      <c r="E1283" s="11">
        <v>1</v>
      </c>
      <c r="F1283" s="7">
        <f>G1288</f>
        <v>16.76</v>
      </c>
      <c r="G1283" s="7">
        <f>TRUNC(E1283*F1283,2)</f>
        <v>16.76</v>
      </c>
      <c r="H1283" s="7"/>
      <c r="I1283" s="11"/>
    </row>
    <row r="1284" spans="1:9" ht="30">
      <c r="A1284" s="8"/>
      <c r="B1284" s="12" t="s">
        <v>517</v>
      </c>
      <c r="C1284" s="200" t="s">
        <v>518</v>
      </c>
      <c r="D1284" s="8" t="s">
        <v>7</v>
      </c>
      <c r="E1284" s="11">
        <v>1</v>
      </c>
      <c r="F1284" s="7">
        <f>TRUNC(7.39,2)</f>
        <v>7.39</v>
      </c>
      <c r="G1284" s="7">
        <f>TRUNC(E1284*F1284,2)</f>
        <v>7.39</v>
      </c>
      <c r="H1284" s="7"/>
      <c r="I1284" s="11"/>
    </row>
    <row r="1285" spans="1:9" ht="15">
      <c r="A1285" s="8"/>
      <c r="B1285" s="12" t="s">
        <v>71</v>
      </c>
      <c r="C1285" s="200" t="s">
        <v>72</v>
      </c>
      <c r="D1285" s="8" t="s">
        <v>47</v>
      </c>
      <c r="E1285" s="11">
        <v>0.174</v>
      </c>
      <c r="F1285" s="7">
        <f>TRUNC(29.27,2)</f>
        <v>29.27</v>
      </c>
      <c r="G1285" s="7">
        <f>TRUNC(E1285*F1285,2)</f>
        <v>5.09</v>
      </c>
      <c r="H1285" s="7"/>
      <c r="I1285" s="11"/>
    </row>
    <row r="1286" spans="1:9" ht="15">
      <c r="A1286" s="8"/>
      <c r="B1286" s="12" t="s">
        <v>177</v>
      </c>
      <c r="C1286" s="200" t="s">
        <v>178</v>
      </c>
      <c r="D1286" s="8" t="s">
        <v>47</v>
      </c>
      <c r="E1286" s="11">
        <v>0.174</v>
      </c>
      <c r="F1286" s="7">
        <f>TRUNC(24.08,2)</f>
        <v>24.08</v>
      </c>
      <c r="G1286" s="7">
        <f>TRUNC(E1286*F1286,2)</f>
        <v>4.18</v>
      </c>
      <c r="H1286" s="7"/>
      <c r="I1286" s="11"/>
    </row>
    <row r="1287" spans="1:9" ht="30">
      <c r="A1287" s="8"/>
      <c r="B1287" s="12" t="s">
        <v>451</v>
      </c>
      <c r="C1287" s="200" t="s">
        <v>452</v>
      </c>
      <c r="D1287" s="8" t="s">
        <v>63</v>
      </c>
      <c r="E1287" s="11">
        <v>0.1192</v>
      </c>
      <c r="F1287" s="7">
        <f>TRUNC(0.9,2)</f>
        <v>0.9</v>
      </c>
      <c r="G1287" s="7">
        <f>TRUNC(E1287*F1287,2)</f>
        <v>0.1</v>
      </c>
      <c r="H1287" s="7"/>
      <c r="I1287" s="11"/>
    </row>
    <row r="1288" spans="1:9" ht="15">
      <c r="A1288" s="8"/>
      <c r="B1288" s="12"/>
      <c r="C1288" s="200"/>
      <c r="D1288" s="8"/>
      <c r="E1288" s="11" t="s">
        <v>33</v>
      </c>
      <c r="F1288" s="7"/>
      <c r="G1288" s="7">
        <f>TRUNC(SUM(G1284:G1287),2)</f>
        <v>16.76</v>
      </c>
      <c r="H1288" s="7"/>
      <c r="I1288" s="11"/>
    </row>
    <row r="1289" spans="1:9" ht="30">
      <c r="A1289" s="103" t="s">
        <v>1451</v>
      </c>
      <c r="B1289" s="110" t="s">
        <v>519</v>
      </c>
      <c r="C1289" s="210" t="s">
        <v>520</v>
      </c>
      <c r="D1289" s="103" t="s">
        <v>7</v>
      </c>
      <c r="E1289" s="111">
        <v>4</v>
      </c>
      <c r="F1289" s="111">
        <f>TRUNC(F1290,2)</f>
        <v>48.17</v>
      </c>
      <c r="G1289" s="111">
        <f>TRUNC(F1289*1.2882,2)</f>
        <v>62.05</v>
      </c>
      <c r="H1289" s="111">
        <f>TRUNC(F1289*E1289,2)</f>
        <v>192.68</v>
      </c>
      <c r="I1289" s="111">
        <f>TRUNC(E1289*G1289,2)</f>
        <v>248.2</v>
      </c>
    </row>
    <row r="1290" spans="1:9" ht="30">
      <c r="A1290" s="8"/>
      <c r="B1290" s="12" t="s">
        <v>519</v>
      </c>
      <c r="C1290" s="200" t="s">
        <v>520</v>
      </c>
      <c r="D1290" s="8" t="s">
        <v>7</v>
      </c>
      <c r="E1290" s="11">
        <v>1</v>
      </c>
      <c r="F1290" s="7">
        <f>G1296</f>
        <v>48.17</v>
      </c>
      <c r="G1290" s="7">
        <f aca="true" t="shared" si="69" ref="G1290:G1295">TRUNC(E1290*F1290,2)</f>
        <v>48.17</v>
      </c>
      <c r="H1290" s="7"/>
      <c r="I1290" s="11"/>
    </row>
    <row r="1291" spans="1:9" ht="30">
      <c r="A1291" s="8"/>
      <c r="B1291" s="12" t="s">
        <v>521</v>
      </c>
      <c r="C1291" s="200" t="s">
        <v>522</v>
      </c>
      <c r="D1291" s="8" t="s">
        <v>7</v>
      </c>
      <c r="E1291" s="11">
        <v>1</v>
      </c>
      <c r="F1291" s="7">
        <f>TRUNC(25.95,2)</f>
        <v>25.95</v>
      </c>
      <c r="G1291" s="7">
        <f t="shared" si="69"/>
        <v>25.95</v>
      </c>
      <c r="H1291" s="7"/>
      <c r="I1291" s="11"/>
    </row>
    <row r="1292" spans="1:9" ht="15">
      <c r="A1292" s="8"/>
      <c r="B1292" s="12" t="s">
        <v>71</v>
      </c>
      <c r="C1292" s="200" t="s">
        <v>72</v>
      </c>
      <c r="D1292" s="8" t="s">
        <v>47</v>
      </c>
      <c r="E1292" s="11">
        <v>0.4118</v>
      </c>
      <c r="F1292" s="7">
        <f>TRUNC(29.27,2)</f>
        <v>29.27</v>
      </c>
      <c r="G1292" s="7">
        <f t="shared" si="69"/>
        <v>12.05</v>
      </c>
      <c r="H1292" s="7"/>
      <c r="I1292" s="11"/>
    </row>
    <row r="1293" spans="1:9" ht="15">
      <c r="A1293" s="8"/>
      <c r="B1293" s="12" t="s">
        <v>177</v>
      </c>
      <c r="C1293" s="200" t="s">
        <v>178</v>
      </c>
      <c r="D1293" s="8" t="s">
        <v>47</v>
      </c>
      <c r="E1293" s="11">
        <v>0.4118</v>
      </c>
      <c r="F1293" s="7">
        <f>TRUNC(24.08,2)</f>
        <v>24.08</v>
      </c>
      <c r="G1293" s="7">
        <f t="shared" si="69"/>
        <v>9.91</v>
      </c>
      <c r="H1293" s="7"/>
      <c r="I1293" s="11"/>
    </row>
    <row r="1294" spans="1:9" ht="30">
      <c r="A1294" s="8"/>
      <c r="B1294" s="12" t="s">
        <v>473</v>
      </c>
      <c r="C1294" s="200" t="s">
        <v>474</v>
      </c>
      <c r="D1294" s="8" t="s">
        <v>62</v>
      </c>
      <c r="E1294" s="11">
        <v>0.1298</v>
      </c>
      <c r="F1294" s="7">
        <f>TRUNC(0.13,2)</f>
        <v>0.13</v>
      </c>
      <c r="G1294" s="7">
        <f t="shared" si="69"/>
        <v>0.01</v>
      </c>
      <c r="H1294" s="7"/>
      <c r="I1294" s="11"/>
    </row>
    <row r="1295" spans="1:9" ht="30">
      <c r="A1295" s="8"/>
      <c r="B1295" s="12" t="s">
        <v>451</v>
      </c>
      <c r="C1295" s="200" t="s">
        <v>452</v>
      </c>
      <c r="D1295" s="8" t="s">
        <v>63</v>
      </c>
      <c r="E1295" s="11">
        <v>0.282</v>
      </c>
      <c r="F1295" s="7">
        <f>TRUNC(0.9,2)</f>
        <v>0.9</v>
      </c>
      <c r="G1295" s="7">
        <f t="shared" si="69"/>
        <v>0.25</v>
      </c>
      <c r="H1295" s="7"/>
      <c r="I1295" s="11"/>
    </row>
    <row r="1296" spans="1:9" ht="15">
      <c r="A1296" s="8"/>
      <c r="B1296" s="12"/>
      <c r="C1296" s="200"/>
      <c r="D1296" s="8"/>
      <c r="E1296" s="11" t="s">
        <v>33</v>
      </c>
      <c r="F1296" s="7"/>
      <c r="G1296" s="7">
        <f>TRUNC(SUM(G1291:G1295),2)</f>
        <v>48.17</v>
      </c>
      <c r="H1296" s="7"/>
      <c r="I1296" s="11"/>
    </row>
    <row r="1297" spans="1:9" ht="15">
      <c r="A1297" s="103" t="s">
        <v>1453</v>
      </c>
      <c r="B1297" s="110" t="s">
        <v>1502</v>
      </c>
      <c r="C1297" s="210" t="s">
        <v>1505</v>
      </c>
      <c r="D1297" s="103" t="s">
        <v>7</v>
      </c>
      <c r="E1297" s="111">
        <v>8</v>
      </c>
      <c r="F1297" s="111">
        <f>TRUNC(F1298,2)</f>
        <v>64.77</v>
      </c>
      <c r="G1297" s="111">
        <f>TRUNC(F1297*1.2882,2)</f>
        <v>83.43</v>
      </c>
      <c r="H1297" s="111">
        <f>TRUNC(F1297*E1297,2)</f>
        <v>518.16</v>
      </c>
      <c r="I1297" s="111">
        <f>TRUNC(E1297*G1297,2)</f>
        <v>667.44</v>
      </c>
    </row>
    <row r="1298" spans="1:9" ht="15">
      <c r="A1298" s="8"/>
      <c r="B1298" s="12" t="s">
        <v>1494</v>
      </c>
      <c r="C1298" s="200" t="s">
        <v>1495</v>
      </c>
      <c r="D1298" s="8" t="s">
        <v>7</v>
      </c>
      <c r="E1298" s="11">
        <v>1</v>
      </c>
      <c r="F1298" s="7">
        <f>G1302</f>
        <v>64.77</v>
      </c>
      <c r="G1298" s="7">
        <f>TRUNC(E1298*F1298,2)</f>
        <v>64.77</v>
      </c>
      <c r="H1298" s="7"/>
      <c r="I1298" s="11"/>
    </row>
    <row r="1299" spans="1:9" ht="15">
      <c r="A1299" s="8"/>
      <c r="B1299" s="12" t="s">
        <v>1496</v>
      </c>
      <c r="C1299" s="200" t="s">
        <v>1497</v>
      </c>
      <c r="D1299" s="8" t="s">
        <v>7</v>
      </c>
      <c r="E1299" s="11">
        <v>1</v>
      </c>
      <c r="F1299" s="7">
        <f>TRUNC(57.1782,2)</f>
        <v>57.17</v>
      </c>
      <c r="G1299" s="7">
        <f>TRUNC(E1299*F1299,2)</f>
        <v>57.17</v>
      </c>
      <c r="H1299" s="7"/>
      <c r="I1299" s="11"/>
    </row>
    <row r="1300" spans="1:9" ht="15">
      <c r="A1300" s="8"/>
      <c r="B1300" s="12" t="s">
        <v>71</v>
      </c>
      <c r="C1300" s="200" t="s">
        <v>72</v>
      </c>
      <c r="D1300" s="8" t="s">
        <v>47</v>
      </c>
      <c r="E1300" s="11">
        <v>0.1426</v>
      </c>
      <c r="F1300" s="7">
        <f>TRUNC(29.27,2)</f>
        <v>29.27</v>
      </c>
      <c r="G1300" s="7">
        <f>TRUNC(E1300*F1300,2)</f>
        <v>4.17</v>
      </c>
      <c r="H1300" s="7"/>
      <c r="I1300" s="11"/>
    </row>
    <row r="1301" spans="1:9" ht="15">
      <c r="A1301" s="8"/>
      <c r="B1301" s="12" t="s">
        <v>177</v>
      </c>
      <c r="C1301" s="200" t="s">
        <v>178</v>
      </c>
      <c r="D1301" s="8" t="s">
        <v>47</v>
      </c>
      <c r="E1301" s="11">
        <v>0.1426</v>
      </c>
      <c r="F1301" s="7">
        <f>TRUNC(24.08,2)</f>
        <v>24.08</v>
      </c>
      <c r="G1301" s="7">
        <f>TRUNC(E1301*F1301,2)</f>
        <v>3.43</v>
      </c>
      <c r="H1301" s="7"/>
      <c r="I1301" s="11"/>
    </row>
    <row r="1302" spans="1:9" ht="15">
      <c r="A1302" s="8"/>
      <c r="B1302" s="12"/>
      <c r="C1302" s="200"/>
      <c r="D1302" s="8"/>
      <c r="E1302" s="11" t="s">
        <v>33</v>
      </c>
      <c r="F1302" s="7"/>
      <c r="G1302" s="7">
        <f>TRUNC(SUM(G1299:G1301),2)</f>
        <v>64.77</v>
      </c>
      <c r="H1302" s="7"/>
      <c r="I1302" s="11"/>
    </row>
    <row r="1303" spans="1:9" ht="15">
      <c r="A1303" s="103" t="s">
        <v>1452</v>
      </c>
      <c r="B1303" s="110" t="s">
        <v>1503</v>
      </c>
      <c r="C1303" s="210" t="s">
        <v>1504</v>
      </c>
      <c r="D1303" s="103" t="s">
        <v>7</v>
      </c>
      <c r="E1303" s="111">
        <v>4</v>
      </c>
      <c r="F1303" s="111">
        <f>TRUNC(F1304,2)</f>
        <v>288.37</v>
      </c>
      <c r="G1303" s="111">
        <f>TRUNC(F1303*1.2882,2)</f>
        <v>371.47</v>
      </c>
      <c r="H1303" s="111">
        <f>TRUNC(F1303*E1303,2)</f>
        <v>1153.48</v>
      </c>
      <c r="I1303" s="111">
        <f>TRUNC(E1303*G1303,2)</f>
        <v>1485.88</v>
      </c>
    </row>
    <row r="1304" spans="1:9" ht="15">
      <c r="A1304" s="8"/>
      <c r="B1304" s="12" t="s">
        <v>1498</v>
      </c>
      <c r="C1304" s="200" t="s">
        <v>1499</v>
      </c>
      <c r="D1304" s="8" t="s">
        <v>7</v>
      </c>
      <c r="E1304" s="11">
        <v>1</v>
      </c>
      <c r="F1304" s="7">
        <f>G1308</f>
        <v>288.37</v>
      </c>
      <c r="G1304" s="7">
        <f>TRUNC(E1304*F1304,2)</f>
        <v>288.37</v>
      </c>
      <c r="H1304" s="7"/>
      <c r="I1304" s="11"/>
    </row>
    <row r="1305" spans="1:9" ht="15">
      <c r="A1305" s="8"/>
      <c r="B1305" s="12" t="s">
        <v>1500</v>
      </c>
      <c r="C1305" s="200" t="s">
        <v>1501</v>
      </c>
      <c r="D1305" s="8" t="s">
        <v>7</v>
      </c>
      <c r="E1305" s="11">
        <v>1</v>
      </c>
      <c r="F1305" s="7">
        <f>TRUNC(280.7723,2)</f>
        <v>280.77</v>
      </c>
      <c r="G1305" s="7">
        <f>TRUNC(E1305*F1305,2)</f>
        <v>280.77</v>
      </c>
      <c r="H1305" s="7"/>
      <c r="I1305" s="11"/>
    </row>
    <row r="1306" spans="1:9" ht="15">
      <c r="A1306" s="8"/>
      <c r="B1306" s="12" t="s">
        <v>71</v>
      </c>
      <c r="C1306" s="200" t="s">
        <v>72</v>
      </c>
      <c r="D1306" s="8" t="s">
        <v>47</v>
      </c>
      <c r="E1306" s="11">
        <v>0.1426</v>
      </c>
      <c r="F1306" s="7">
        <f>TRUNC(29.27,2)</f>
        <v>29.27</v>
      </c>
      <c r="G1306" s="7">
        <f>TRUNC(E1306*F1306,2)</f>
        <v>4.17</v>
      </c>
      <c r="H1306" s="7"/>
      <c r="I1306" s="11"/>
    </row>
    <row r="1307" spans="1:9" ht="15">
      <c r="A1307" s="8"/>
      <c r="B1307" s="12" t="s">
        <v>177</v>
      </c>
      <c r="C1307" s="200" t="s">
        <v>178</v>
      </c>
      <c r="D1307" s="8" t="s">
        <v>47</v>
      </c>
      <c r="E1307" s="11">
        <v>0.1426</v>
      </c>
      <c r="F1307" s="7">
        <f>TRUNC(24.08,2)</f>
        <v>24.08</v>
      </c>
      <c r="G1307" s="7">
        <f>TRUNC(E1307*F1307,2)</f>
        <v>3.43</v>
      </c>
      <c r="H1307" s="7"/>
      <c r="I1307" s="11"/>
    </row>
    <row r="1308" spans="1:9" ht="15">
      <c r="A1308" s="8"/>
      <c r="B1308" s="12"/>
      <c r="C1308" s="200"/>
      <c r="D1308" s="8"/>
      <c r="E1308" s="11" t="s">
        <v>33</v>
      </c>
      <c r="F1308" s="7"/>
      <c r="G1308" s="7">
        <f>TRUNC(SUM(G1305:G1307),2)</f>
        <v>288.37</v>
      </c>
      <c r="H1308" s="7"/>
      <c r="I1308" s="11"/>
    </row>
    <row r="1309" spans="1:9" ht="30">
      <c r="A1309" s="103" t="s">
        <v>1454</v>
      </c>
      <c r="B1309" s="110" t="s">
        <v>535</v>
      </c>
      <c r="C1309" s="210" t="s">
        <v>536</v>
      </c>
      <c r="D1309" s="103" t="s">
        <v>7</v>
      </c>
      <c r="E1309" s="111">
        <v>6</v>
      </c>
      <c r="F1309" s="111">
        <f>TRUNC(F1310,2)</f>
        <v>23.7</v>
      </c>
      <c r="G1309" s="111">
        <f>TRUNC(F1309*1.2882,2)</f>
        <v>30.53</v>
      </c>
      <c r="H1309" s="111">
        <f>TRUNC(F1309*E1309,2)</f>
        <v>142.2</v>
      </c>
      <c r="I1309" s="111">
        <f>TRUNC(E1309*G1309,2)</f>
        <v>183.18</v>
      </c>
    </row>
    <row r="1310" spans="1:9" ht="30">
      <c r="A1310" s="8"/>
      <c r="B1310" s="12" t="s">
        <v>531</v>
      </c>
      <c r="C1310" s="200" t="s">
        <v>532</v>
      </c>
      <c r="D1310" s="8" t="s">
        <v>7</v>
      </c>
      <c r="E1310" s="11">
        <v>1</v>
      </c>
      <c r="F1310" s="7">
        <f>G1315</f>
        <v>23.7</v>
      </c>
      <c r="G1310" s="7">
        <f>TRUNC(E1310*F1310,2)</f>
        <v>23.7</v>
      </c>
      <c r="H1310" s="7"/>
      <c r="I1310" s="11"/>
    </row>
    <row r="1311" spans="1:9" s="203" customFormat="1" ht="15.75">
      <c r="A1311" s="31"/>
      <c r="B1311" s="32" t="s">
        <v>533</v>
      </c>
      <c r="C1311" s="221" t="s">
        <v>534</v>
      </c>
      <c r="D1311" s="31" t="s">
        <v>7</v>
      </c>
      <c r="E1311" s="33">
        <v>1</v>
      </c>
      <c r="F1311" s="34">
        <v>16.02</v>
      </c>
      <c r="G1311" s="34">
        <f>TRUNC(E1311*F1311,2)</f>
        <v>16.02</v>
      </c>
      <c r="H1311" s="34"/>
      <c r="I1311" s="33"/>
    </row>
    <row r="1312" spans="1:9" ht="15">
      <c r="A1312" s="8"/>
      <c r="B1312" s="12" t="s">
        <v>71</v>
      </c>
      <c r="C1312" s="200" t="s">
        <v>72</v>
      </c>
      <c r="D1312" s="8" t="s">
        <v>47</v>
      </c>
      <c r="E1312" s="11">
        <v>0.1426</v>
      </c>
      <c r="F1312" s="7">
        <f>TRUNC(29.27,2)</f>
        <v>29.27</v>
      </c>
      <c r="G1312" s="7">
        <f>TRUNC(E1312*F1312,2)</f>
        <v>4.17</v>
      </c>
      <c r="H1312" s="7"/>
      <c r="I1312" s="11"/>
    </row>
    <row r="1313" spans="1:9" ht="15">
      <c r="A1313" s="8"/>
      <c r="B1313" s="12" t="s">
        <v>177</v>
      </c>
      <c r="C1313" s="200" t="s">
        <v>178</v>
      </c>
      <c r="D1313" s="8" t="s">
        <v>47</v>
      </c>
      <c r="E1313" s="11">
        <v>0.1426</v>
      </c>
      <c r="F1313" s="7">
        <f>TRUNC(24.08,2)</f>
        <v>24.08</v>
      </c>
      <c r="G1313" s="7">
        <f>TRUNC(E1313*F1313,2)</f>
        <v>3.43</v>
      </c>
      <c r="H1313" s="7"/>
      <c r="I1313" s="11"/>
    </row>
    <row r="1314" spans="1:9" ht="30">
      <c r="A1314" s="8"/>
      <c r="B1314" s="12" t="s">
        <v>451</v>
      </c>
      <c r="C1314" s="200" t="s">
        <v>452</v>
      </c>
      <c r="D1314" s="8" t="s">
        <v>63</v>
      </c>
      <c r="E1314" s="11">
        <v>0.0977</v>
      </c>
      <c r="F1314" s="7">
        <f>TRUNC(0.9,2)</f>
        <v>0.9</v>
      </c>
      <c r="G1314" s="7">
        <f>TRUNC(E1314*F1314,2)</f>
        <v>0.08</v>
      </c>
      <c r="H1314" s="7"/>
      <c r="I1314" s="11"/>
    </row>
    <row r="1315" spans="1:9" ht="15">
      <c r="A1315" s="8"/>
      <c r="B1315" s="12"/>
      <c r="C1315" s="200"/>
      <c r="D1315" s="8"/>
      <c r="E1315" s="11" t="s">
        <v>33</v>
      </c>
      <c r="F1315" s="7"/>
      <c r="G1315" s="7">
        <f>TRUNC(SUM(G1311:G1314),2)</f>
        <v>23.7</v>
      </c>
      <c r="H1315" s="7"/>
      <c r="I1315" s="11"/>
    </row>
    <row r="1316" spans="1:9" ht="30">
      <c r="A1316" s="103" t="s">
        <v>1455</v>
      </c>
      <c r="B1316" s="110" t="s">
        <v>527</v>
      </c>
      <c r="C1316" s="210" t="s">
        <v>528</v>
      </c>
      <c r="D1316" s="103" t="s">
        <v>7</v>
      </c>
      <c r="E1316" s="111">
        <v>6</v>
      </c>
      <c r="F1316" s="111">
        <f>TRUNC(F1317,2)</f>
        <v>9.31</v>
      </c>
      <c r="G1316" s="111">
        <f>TRUNC(F1316*1.2882,2)</f>
        <v>11.99</v>
      </c>
      <c r="H1316" s="111">
        <f>TRUNC(F1316*E1316,2)</f>
        <v>55.86</v>
      </c>
      <c r="I1316" s="111">
        <f>TRUNC(E1316*G1316,2)</f>
        <v>71.94</v>
      </c>
    </row>
    <row r="1317" spans="1:9" ht="30">
      <c r="A1317" s="8"/>
      <c r="B1317" s="12" t="s">
        <v>527</v>
      </c>
      <c r="C1317" s="200" t="s">
        <v>528</v>
      </c>
      <c r="D1317" s="8" t="s">
        <v>7</v>
      </c>
      <c r="E1317" s="11">
        <v>1</v>
      </c>
      <c r="F1317" s="7">
        <f>TRUNC(9.311705,2)</f>
        <v>9.31</v>
      </c>
      <c r="G1317" s="7">
        <f>TRUNC(E1317*F1317,2)</f>
        <v>9.31</v>
      </c>
      <c r="H1317" s="7"/>
      <c r="I1317" s="11"/>
    </row>
    <row r="1318" spans="1:9" ht="15">
      <c r="A1318" s="8"/>
      <c r="B1318" s="12" t="s">
        <v>529</v>
      </c>
      <c r="C1318" s="200" t="s">
        <v>530</v>
      </c>
      <c r="D1318" s="8" t="s">
        <v>7</v>
      </c>
      <c r="E1318" s="11">
        <v>1</v>
      </c>
      <c r="F1318" s="7">
        <f>TRUNC(4.73,2)</f>
        <v>4.73</v>
      </c>
      <c r="G1318" s="7">
        <f>TRUNC(E1318*F1318,2)</f>
        <v>4.73</v>
      </c>
      <c r="H1318" s="7"/>
      <c r="I1318" s="11"/>
    </row>
    <row r="1319" spans="1:9" ht="15">
      <c r="A1319" s="8"/>
      <c r="B1319" s="12" t="s">
        <v>71</v>
      </c>
      <c r="C1319" s="200" t="s">
        <v>72</v>
      </c>
      <c r="D1319" s="8" t="s">
        <v>47</v>
      </c>
      <c r="E1319" s="11">
        <v>0.0849</v>
      </c>
      <c r="F1319" s="7">
        <f>TRUNC(29.27,2)</f>
        <v>29.27</v>
      </c>
      <c r="G1319" s="7">
        <f>TRUNC(E1319*F1319,2)</f>
        <v>2.48</v>
      </c>
      <c r="H1319" s="7"/>
      <c r="I1319" s="11"/>
    </row>
    <row r="1320" spans="1:9" ht="15">
      <c r="A1320" s="8"/>
      <c r="B1320" s="12" t="s">
        <v>177</v>
      </c>
      <c r="C1320" s="200" t="s">
        <v>178</v>
      </c>
      <c r="D1320" s="8" t="s">
        <v>47</v>
      </c>
      <c r="E1320" s="11">
        <v>0.0849</v>
      </c>
      <c r="F1320" s="7">
        <f>TRUNC(24.08,2)</f>
        <v>24.08</v>
      </c>
      <c r="G1320" s="7">
        <f>TRUNC(E1320*F1320,2)</f>
        <v>2.04</v>
      </c>
      <c r="H1320" s="7"/>
      <c r="I1320" s="11"/>
    </row>
    <row r="1321" spans="1:9" ht="30">
      <c r="A1321" s="8"/>
      <c r="B1321" s="12" t="s">
        <v>451</v>
      </c>
      <c r="C1321" s="200" t="s">
        <v>452</v>
      </c>
      <c r="D1321" s="8" t="s">
        <v>63</v>
      </c>
      <c r="E1321" s="11">
        <v>0.0581</v>
      </c>
      <c r="F1321" s="7">
        <f>TRUNC(0.9,2)</f>
        <v>0.9</v>
      </c>
      <c r="G1321" s="7">
        <f>TRUNC(E1321*F1321,2)</f>
        <v>0.05</v>
      </c>
      <c r="H1321" s="7"/>
      <c r="I1321" s="11"/>
    </row>
    <row r="1322" spans="1:9" ht="15">
      <c r="A1322" s="8"/>
      <c r="B1322" s="12"/>
      <c r="C1322" s="200"/>
      <c r="D1322" s="8"/>
      <c r="E1322" s="11" t="s">
        <v>33</v>
      </c>
      <c r="F1322" s="7"/>
      <c r="G1322" s="7">
        <f>TRUNC(SUM(G1318:G1321),2)</f>
        <v>9.3</v>
      </c>
      <c r="H1322" s="7"/>
      <c r="I1322" s="11"/>
    </row>
    <row r="1323" spans="1:9" ht="30">
      <c r="A1323" s="103" t="s">
        <v>1456</v>
      </c>
      <c r="B1323" s="110" t="s">
        <v>523</v>
      </c>
      <c r="C1323" s="210" t="s">
        <v>524</v>
      </c>
      <c r="D1323" s="103" t="s">
        <v>7</v>
      </c>
      <c r="E1323" s="111">
        <v>6</v>
      </c>
      <c r="F1323" s="111">
        <f>TRUNC(F1324,2)</f>
        <v>10.52</v>
      </c>
      <c r="G1323" s="111">
        <f>TRUNC(F1323*1.2882,2)</f>
        <v>13.55</v>
      </c>
      <c r="H1323" s="111">
        <f>TRUNC(F1323*E1323,2)</f>
        <v>63.12</v>
      </c>
      <c r="I1323" s="111">
        <f>TRUNC(E1323*G1323,2)</f>
        <v>81.3</v>
      </c>
    </row>
    <row r="1324" spans="1:9" ht="30">
      <c r="A1324" s="8"/>
      <c r="B1324" s="12" t="s">
        <v>523</v>
      </c>
      <c r="C1324" s="200" t="s">
        <v>524</v>
      </c>
      <c r="D1324" s="8" t="s">
        <v>7</v>
      </c>
      <c r="E1324" s="11">
        <v>1</v>
      </c>
      <c r="F1324" s="7">
        <f>G1329</f>
        <v>10.52</v>
      </c>
      <c r="G1324" s="7">
        <f>TRUNC(E1324*F1324,2)</f>
        <v>10.52</v>
      </c>
      <c r="H1324" s="7"/>
      <c r="I1324" s="11"/>
    </row>
    <row r="1325" spans="1:9" ht="15">
      <c r="A1325" s="8"/>
      <c r="B1325" s="12" t="s">
        <v>525</v>
      </c>
      <c r="C1325" s="200" t="s">
        <v>526</v>
      </c>
      <c r="D1325" s="8" t="s">
        <v>7</v>
      </c>
      <c r="E1325" s="11">
        <v>1</v>
      </c>
      <c r="F1325" s="7">
        <f>TRUNC(3.89,2)</f>
        <v>3.89</v>
      </c>
      <c r="G1325" s="7">
        <f>TRUNC(E1325*F1325,2)</f>
        <v>3.89</v>
      </c>
      <c r="H1325" s="7"/>
      <c r="I1325" s="11"/>
    </row>
    <row r="1326" spans="1:9" ht="15">
      <c r="A1326" s="8"/>
      <c r="B1326" s="12" t="s">
        <v>71</v>
      </c>
      <c r="C1326" s="200" t="s">
        <v>72</v>
      </c>
      <c r="D1326" s="8" t="s">
        <v>47</v>
      </c>
      <c r="E1326" s="11">
        <v>0.1232</v>
      </c>
      <c r="F1326" s="7">
        <f>TRUNC(29.27,2)</f>
        <v>29.27</v>
      </c>
      <c r="G1326" s="7">
        <f>TRUNC(E1326*F1326,2)</f>
        <v>3.6</v>
      </c>
      <c r="H1326" s="7"/>
      <c r="I1326" s="11"/>
    </row>
    <row r="1327" spans="1:9" ht="15">
      <c r="A1327" s="8"/>
      <c r="B1327" s="12" t="s">
        <v>177</v>
      </c>
      <c r="C1327" s="200" t="s">
        <v>178</v>
      </c>
      <c r="D1327" s="8" t="s">
        <v>47</v>
      </c>
      <c r="E1327" s="11">
        <v>0.1232</v>
      </c>
      <c r="F1327" s="7">
        <f>TRUNC(24.08,2)</f>
        <v>24.08</v>
      </c>
      <c r="G1327" s="7">
        <f>TRUNC(E1327*F1327,2)</f>
        <v>2.96</v>
      </c>
      <c r="H1327" s="7"/>
      <c r="I1327" s="11"/>
    </row>
    <row r="1328" spans="1:9" ht="30">
      <c r="A1328" s="8"/>
      <c r="B1328" s="12" t="s">
        <v>451</v>
      </c>
      <c r="C1328" s="200" t="s">
        <v>452</v>
      </c>
      <c r="D1328" s="8" t="s">
        <v>63</v>
      </c>
      <c r="E1328" s="11">
        <v>0.0844</v>
      </c>
      <c r="F1328" s="7">
        <f>TRUNC(0.9,2)</f>
        <v>0.9</v>
      </c>
      <c r="G1328" s="7">
        <f>TRUNC(E1328*F1328,2)</f>
        <v>0.07</v>
      </c>
      <c r="H1328" s="7"/>
      <c r="I1328" s="11"/>
    </row>
    <row r="1329" spans="1:9" ht="15">
      <c r="A1329" s="8"/>
      <c r="B1329" s="12"/>
      <c r="C1329" s="200"/>
      <c r="D1329" s="8"/>
      <c r="E1329" s="11" t="s">
        <v>33</v>
      </c>
      <c r="F1329" s="7"/>
      <c r="G1329" s="7">
        <f>TRUNC(SUM(G1325:G1328),2)</f>
        <v>10.52</v>
      </c>
      <c r="H1329" s="7"/>
      <c r="I1329" s="11"/>
    </row>
    <row r="1330" spans="1:9" ht="30">
      <c r="A1330" s="103" t="s">
        <v>1457</v>
      </c>
      <c r="B1330" s="110" t="s">
        <v>547</v>
      </c>
      <c r="C1330" s="210" t="s">
        <v>548</v>
      </c>
      <c r="D1330" s="103" t="s">
        <v>7</v>
      </c>
      <c r="E1330" s="111">
        <v>3</v>
      </c>
      <c r="F1330" s="111">
        <f>TRUNC(F1331,2)</f>
        <v>63.79</v>
      </c>
      <c r="G1330" s="111">
        <f>TRUNC(F1330*1.2882,2)</f>
        <v>82.17</v>
      </c>
      <c r="H1330" s="111">
        <f>TRUNC(F1330*E1330,2)</f>
        <v>191.37</v>
      </c>
      <c r="I1330" s="111">
        <f>TRUNC(E1330*G1330,2)</f>
        <v>246.51</v>
      </c>
    </row>
    <row r="1331" spans="1:9" ht="30">
      <c r="A1331" s="8"/>
      <c r="B1331" s="12" t="s">
        <v>547</v>
      </c>
      <c r="C1331" s="200" t="s">
        <v>548</v>
      </c>
      <c r="D1331" s="8" t="s">
        <v>7</v>
      </c>
      <c r="E1331" s="11">
        <v>1</v>
      </c>
      <c r="F1331" s="7">
        <f>TRUNC(63.798427,2)</f>
        <v>63.79</v>
      </c>
      <c r="G1331" s="7">
        <f>TRUNC(E1331*F1331,2)</f>
        <v>63.79</v>
      </c>
      <c r="H1331" s="7"/>
      <c r="I1331" s="11"/>
    </row>
    <row r="1332" spans="1:9" ht="15">
      <c r="A1332" s="8"/>
      <c r="B1332" s="12" t="s">
        <v>549</v>
      </c>
      <c r="C1332" s="200" t="s">
        <v>550</v>
      </c>
      <c r="D1332" s="8" t="s">
        <v>7</v>
      </c>
      <c r="E1332" s="11">
        <v>1</v>
      </c>
      <c r="F1332" s="7">
        <f>TRUNC(52.82,2)</f>
        <v>52.82</v>
      </c>
      <c r="G1332" s="7">
        <f>TRUNC(E1332*F1332,2)</f>
        <v>52.82</v>
      </c>
      <c r="H1332" s="7"/>
      <c r="I1332" s="11"/>
    </row>
    <row r="1333" spans="1:9" ht="15">
      <c r="A1333" s="8"/>
      <c r="B1333" s="12" t="s">
        <v>541</v>
      </c>
      <c r="C1333" s="200" t="s">
        <v>542</v>
      </c>
      <c r="D1333" s="8" t="s">
        <v>7</v>
      </c>
      <c r="E1333" s="11">
        <v>0.0168</v>
      </c>
      <c r="F1333" s="7">
        <f>TRUNC(11.69,2)</f>
        <v>11.69</v>
      </c>
      <c r="G1333" s="7">
        <f>TRUNC(E1333*F1333,2)</f>
        <v>0.19</v>
      </c>
      <c r="H1333" s="7"/>
      <c r="I1333" s="11"/>
    </row>
    <row r="1334" spans="1:9" ht="15">
      <c r="A1334" s="8"/>
      <c r="B1334" s="12" t="s">
        <v>71</v>
      </c>
      <c r="C1334" s="200" t="s">
        <v>72</v>
      </c>
      <c r="D1334" s="8" t="s">
        <v>47</v>
      </c>
      <c r="E1334" s="11">
        <v>0.2021</v>
      </c>
      <c r="F1334" s="7">
        <f>TRUNC(29.27,2)</f>
        <v>29.27</v>
      </c>
      <c r="G1334" s="7">
        <f>TRUNC(E1334*F1334,2)</f>
        <v>5.91</v>
      </c>
      <c r="H1334" s="7"/>
      <c r="I1334" s="11"/>
    </row>
    <row r="1335" spans="1:9" ht="15">
      <c r="A1335" s="8"/>
      <c r="B1335" s="12" t="s">
        <v>177</v>
      </c>
      <c r="C1335" s="200" t="s">
        <v>178</v>
      </c>
      <c r="D1335" s="8" t="s">
        <v>47</v>
      </c>
      <c r="E1335" s="11">
        <v>0.2021</v>
      </c>
      <c r="F1335" s="7">
        <f>TRUNC(24.08,2)</f>
        <v>24.08</v>
      </c>
      <c r="G1335" s="7">
        <f>TRUNC(E1335*F1335,2)</f>
        <v>4.86</v>
      </c>
      <c r="H1335" s="7"/>
      <c r="I1335" s="11"/>
    </row>
    <row r="1336" spans="1:9" ht="15">
      <c r="A1336" s="8"/>
      <c r="B1336" s="12"/>
      <c r="C1336" s="200"/>
      <c r="D1336" s="8"/>
      <c r="E1336" s="11" t="s">
        <v>33</v>
      </c>
      <c r="F1336" s="7"/>
      <c r="G1336" s="7">
        <f>TRUNC(SUM(G1332:G1335),2)</f>
        <v>63.78</v>
      </c>
      <c r="H1336" s="7"/>
      <c r="I1336" s="11"/>
    </row>
    <row r="1337" spans="1:9" ht="30">
      <c r="A1337" s="103" t="s">
        <v>1458</v>
      </c>
      <c r="B1337" s="110" t="s">
        <v>551</v>
      </c>
      <c r="C1337" s="210" t="s">
        <v>552</v>
      </c>
      <c r="D1337" s="103" t="s">
        <v>7</v>
      </c>
      <c r="E1337" s="111">
        <v>1</v>
      </c>
      <c r="F1337" s="111">
        <f>TRUNC(F1338,2)</f>
        <v>71.82</v>
      </c>
      <c r="G1337" s="111">
        <f>TRUNC(F1337*1.2882,2)</f>
        <v>92.51</v>
      </c>
      <c r="H1337" s="111">
        <f>TRUNC(F1337*E1337,2)</f>
        <v>71.82</v>
      </c>
      <c r="I1337" s="111">
        <f>TRUNC(E1337*G1337,2)</f>
        <v>92.51</v>
      </c>
    </row>
    <row r="1338" spans="1:9" ht="30">
      <c r="A1338" s="8"/>
      <c r="B1338" s="12" t="s">
        <v>551</v>
      </c>
      <c r="C1338" s="200" t="s">
        <v>552</v>
      </c>
      <c r="D1338" s="8" t="s">
        <v>7</v>
      </c>
      <c r="E1338" s="11">
        <v>1</v>
      </c>
      <c r="F1338" s="7">
        <f>TRUNC(71.824934,2)</f>
        <v>71.82</v>
      </c>
      <c r="G1338" s="7">
        <f>TRUNC(E1338*F1338,2)</f>
        <v>71.82</v>
      </c>
      <c r="H1338" s="7"/>
      <c r="I1338" s="11"/>
    </row>
    <row r="1339" spans="1:9" ht="30">
      <c r="A1339" s="8"/>
      <c r="B1339" s="12" t="s">
        <v>553</v>
      </c>
      <c r="C1339" s="200" t="s">
        <v>554</v>
      </c>
      <c r="D1339" s="8" t="s">
        <v>7</v>
      </c>
      <c r="E1339" s="11">
        <v>1</v>
      </c>
      <c r="F1339" s="7">
        <f>TRUNC(59.9,2)</f>
        <v>59.9</v>
      </c>
      <c r="G1339" s="7">
        <f>TRUNC(E1339*F1339,2)</f>
        <v>59.9</v>
      </c>
      <c r="H1339" s="7"/>
      <c r="I1339" s="11"/>
    </row>
    <row r="1340" spans="1:9" ht="15">
      <c r="A1340" s="8"/>
      <c r="B1340" s="12" t="s">
        <v>541</v>
      </c>
      <c r="C1340" s="200" t="s">
        <v>542</v>
      </c>
      <c r="D1340" s="8" t="s">
        <v>7</v>
      </c>
      <c r="E1340" s="11">
        <v>0.0106</v>
      </c>
      <c r="F1340" s="7">
        <f>TRUNC(11.69,2)</f>
        <v>11.69</v>
      </c>
      <c r="G1340" s="7">
        <f>TRUNC(E1340*F1340,2)</f>
        <v>0.12</v>
      </c>
      <c r="H1340" s="7"/>
      <c r="I1340" s="11"/>
    </row>
    <row r="1341" spans="1:9" ht="15">
      <c r="A1341" s="8"/>
      <c r="B1341" s="12" t="s">
        <v>71</v>
      </c>
      <c r="C1341" s="200" t="s">
        <v>72</v>
      </c>
      <c r="D1341" s="8" t="s">
        <v>47</v>
      </c>
      <c r="E1341" s="11">
        <v>0.2212</v>
      </c>
      <c r="F1341" s="7">
        <f>TRUNC(29.27,2)</f>
        <v>29.27</v>
      </c>
      <c r="G1341" s="7">
        <f>TRUNC(E1341*F1341,2)</f>
        <v>6.47</v>
      </c>
      <c r="H1341" s="7"/>
      <c r="I1341" s="11"/>
    </row>
    <row r="1342" spans="1:9" ht="15">
      <c r="A1342" s="8"/>
      <c r="B1342" s="12" t="s">
        <v>177</v>
      </c>
      <c r="C1342" s="200" t="s">
        <v>178</v>
      </c>
      <c r="D1342" s="8" t="s">
        <v>47</v>
      </c>
      <c r="E1342" s="11">
        <v>0.2212</v>
      </c>
      <c r="F1342" s="7">
        <f>TRUNC(24.08,2)</f>
        <v>24.08</v>
      </c>
      <c r="G1342" s="7">
        <f>TRUNC(E1342*F1342,2)</f>
        <v>5.32</v>
      </c>
      <c r="H1342" s="7"/>
      <c r="I1342" s="11"/>
    </row>
    <row r="1343" spans="1:9" ht="15">
      <c r="A1343" s="8"/>
      <c r="B1343" s="12"/>
      <c r="C1343" s="200"/>
      <c r="D1343" s="8"/>
      <c r="E1343" s="11" t="s">
        <v>33</v>
      </c>
      <c r="F1343" s="7"/>
      <c r="G1343" s="7">
        <f>TRUNC(SUM(G1339:G1342),2)</f>
        <v>71.81</v>
      </c>
      <c r="H1343" s="7"/>
      <c r="I1343" s="11"/>
    </row>
    <row r="1344" spans="1:9" ht="30">
      <c r="A1344" s="103" t="s">
        <v>1459</v>
      </c>
      <c r="B1344" s="110" t="s">
        <v>555</v>
      </c>
      <c r="C1344" s="210" t="s">
        <v>556</v>
      </c>
      <c r="D1344" s="103" t="s">
        <v>7</v>
      </c>
      <c r="E1344" s="111">
        <v>3</v>
      </c>
      <c r="F1344" s="111">
        <f>TRUNC(F1345,2)</f>
        <v>62.95</v>
      </c>
      <c r="G1344" s="111">
        <f>TRUNC(F1344*1.2882,2)</f>
        <v>81.09</v>
      </c>
      <c r="H1344" s="111">
        <f>TRUNC(F1344*E1344,2)</f>
        <v>188.85</v>
      </c>
      <c r="I1344" s="111">
        <f>TRUNC(E1344*G1344,2)</f>
        <v>243.27</v>
      </c>
    </row>
    <row r="1345" spans="1:9" ht="30">
      <c r="A1345" s="8"/>
      <c r="B1345" s="12" t="s">
        <v>555</v>
      </c>
      <c r="C1345" s="200" t="s">
        <v>556</v>
      </c>
      <c r="D1345" s="8" t="s">
        <v>7</v>
      </c>
      <c r="E1345" s="11">
        <v>1</v>
      </c>
      <c r="F1345" s="7">
        <f>TRUNC(62.955911,2)</f>
        <v>62.95</v>
      </c>
      <c r="G1345" s="7">
        <f>TRUNC(E1345*F1345,2)</f>
        <v>62.95</v>
      </c>
      <c r="H1345" s="7"/>
      <c r="I1345" s="11"/>
    </row>
    <row r="1346" spans="1:9" ht="30">
      <c r="A1346" s="8"/>
      <c r="B1346" s="12" t="s">
        <v>557</v>
      </c>
      <c r="C1346" s="200" t="s">
        <v>558</v>
      </c>
      <c r="D1346" s="8" t="s">
        <v>7</v>
      </c>
      <c r="E1346" s="11">
        <v>1</v>
      </c>
      <c r="F1346" s="7">
        <f>TRUNC(53.1,2)</f>
        <v>53.1</v>
      </c>
      <c r="G1346" s="7">
        <f>TRUNC(E1346*F1346,2)</f>
        <v>53.1</v>
      </c>
      <c r="H1346" s="7"/>
      <c r="I1346" s="11"/>
    </row>
    <row r="1347" spans="1:9" ht="15">
      <c r="A1347" s="8"/>
      <c r="B1347" s="12" t="s">
        <v>541</v>
      </c>
      <c r="C1347" s="200" t="s">
        <v>542</v>
      </c>
      <c r="D1347" s="8" t="s">
        <v>7</v>
      </c>
      <c r="E1347" s="11">
        <v>0.0084</v>
      </c>
      <c r="F1347" s="7">
        <f>TRUNC(11.69,2)</f>
        <v>11.69</v>
      </c>
      <c r="G1347" s="7">
        <f>TRUNC(E1347*F1347,2)</f>
        <v>0.09</v>
      </c>
      <c r="H1347" s="7"/>
      <c r="I1347" s="11"/>
    </row>
    <row r="1348" spans="1:9" ht="15">
      <c r="A1348" s="8"/>
      <c r="B1348" s="12" t="s">
        <v>71</v>
      </c>
      <c r="C1348" s="200" t="s">
        <v>72</v>
      </c>
      <c r="D1348" s="8" t="s">
        <v>47</v>
      </c>
      <c r="E1348" s="11">
        <v>0.1829</v>
      </c>
      <c r="F1348" s="7">
        <f>TRUNC(29.27,2)</f>
        <v>29.27</v>
      </c>
      <c r="G1348" s="7">
        <f>TRUNC(E1348*F1348,2)</f>
        <v>5.35</v>
      </c>
      <c r="H1348" s="7"/>
      <c r="I1348" s="11"/>
    </row>
    <row r="1349" spans="1:9" ht="15">
      <c r="A1349" s="8"/>
      <c r="B1349" s="12" t="s">
        <v>177</v>
      </c>
      <c r="C1349" s="200" t="s">
        <v>178</v>
      </c>
      <c r="D1349" s="8" t="s">
        <v>47</v>
      </c>
      <c r="E1349" s="11">
        <v>0.1829</v>
      </c>
      <c r="F1349" s="7">
        <f>TRUNC(24.08,2)</f>
        <v>24.08</v>
      </c>
      <c r="G1349" s="7">
        <f>TRUNC(E1349*F1349,2)</f>
        <v>4.4</v>
      </c>
      <c r="H1349" s="7"/>
      <c r="I1349" s="11"/>
    </row>
    <row r="1350" spans="1:9" ht="15">
      <c r="A1350" s="8"/>
      <c r="B1350" s="12"/>
      <c r="C1350" s="200"/>
      <c r="D1350" s="8"/>
      <c r="E1350" s="11" t="s">
        <v>33</v>
      </c>
      <c r="F1350" s="7"/>
      <c r="G1350" s="7">
        <f>TRUNC(SUM(G1346:G1349),2)</f>
        <v>62.94</v>
      </c>
      <c r="H1350" s="7"/>
      <c r="I1350" s="11"/>
    </row>
    <row r="1351" spans="1:9" ht="30">
      <c r="A1351" s="103" t="s">
        <v>1460</v>
      </c>
      <c r="B1351" s="110" t="s">
        <v>543</v>
      </c>
      <c r="C1351" s="210" t="s">
        <v>544</v>
      </c>
      <c r="D1351" s="103" t="s">
        <v>7</v>
      </c>
      <c r="E1351" s="111">
        <v>3</v>
      </c>
      <c r="F1351" s="111">
        <f>TRUNC(F1352,2)</f>
        <v>25.69</v>
      </c>
      <c r="G1351" s="111">
        <f>TRUNC(F1351*1.2882,2)</f>
        <v>33.09</v>
      </c>
      <c r="H1351" s="111">
        <f>TRUNC(F1351*E1351,2)</f>
        <v>77.07</v>
      </c>
      <c r="I1351" s="111">
        <f>TRUNC(E1351*G1351,2)</f>
        <v>99.27</v>
      </c>
    </row>
    <row r="1352" spans="1:9" ht="30">
      <c r="A1352" s="8"/>
      <c r="B1352" s="12" t="s">
        <v>543</v>
      </c>
      <c r="C1352" s="200" t="s">
        <v>544</v>
      </c>
      <c r="D1352" s="8" t="s">
        <v>7</v>
      </c>
      <c r="E1352" s="11">
        <v>1</v>
      </c>
      <c r="F1352" s="7">
        <f>TRUNC(25.693084,2)</f>
        <v>25.69</v>
      </c>
      <c r="G1352" s="7">
        <f>TRUNC(E1352*F1352,2)</f>
        <v>25.69</v>
      </c>
      <c r="H1352" s="7"/>
      <c r="I1352" s="11"/>
    </row>
    <row r="1353" spans="1:9" ht="15">
      <c r="A1353" s="8"/>
      <c r="B1353" s="12" t="s">
        <v>545</v>
      </c>
      <c r="C1353" s="200" t="s">
        <v>546</v>
      </c>
      <c r="D1353" s="8" t="s">
        <v>7</v>
      </c>
      <c r="E1353" s="11">
        <v>1</v>
      </c>
      <c r="F1353" s="7">
        <f>TRUNC(19.69,2)</f>
        <v>19.69</v>
      </c>
      <c r="G1353" s="7">
        <f>TRUNC(E1353*F1353,2)</f>
        <v>19.69</v>
      </c>
      <c r="H1353" s="7"/>
      <c r="I1353" s="11"/>
    </row>
    <row r="1354" spans="1:9" ht="15">
      <c r="A1354" s="8"/>
      <c r="B1354" s="12" t="s">
        <v>541</v>
      </c>
      <c r="C1354" s="200" t="s">
        <v>542</v>
      </c>
      <c r="D1354" s="8" t="s">
        <v>7</v>
      </c>
      <c r="E1354" s="11">
        <v>0.0106</v>
      </c>
      <c r="F1354" s="7">
        <f>TRUNC(11.69,2)</f>
        <v>11.69</v>
      </c>
      <c r="G1354" s="7">
        <f>TRUNC(E1354*F1354,2)</f>
        <v>0.12</v>
      </c>
      <c r="H1354" s="7"/>
      <c r="I1354" s="11"/>
    </row>
    <row r="1355" spans="1:9" ht="15">
      <c r="A1355" s="8"/>
      <c r="B1355" s="12" t="s">
        <v>71</v>
      </c>
      <c r="C1355" s="200" t="s">
        <v>72</v>
      </c>
      <c r="D1355" s="8" t="s">
        <v>47</v>
      </c>
      <c r="E1355" s="11">
        <v>0.1102</v>
      </c>
      <c r="F1355" s="7">
        <f>TRUNC(29.27,2)</f>
        <v>29.27</v>
      </c>
      <c r="G1355" s="7">
        <f>TRUNC(E1355*F1355,2)</f>
        <v>3.22</v>
      </c>
      <c r="H1355" s="7"/>
      <c r="I1355" s="11"/>
    </row>
    <row r="1356" spans="1:9" ht="15">
      <c r="A1356" s="8"/>
      <c r="B1356" s="12" t="s">
        <v>177</v>
      </c>
      <c r="C1356" s="200" t="s">
        <v>178</v>
      </c>
      <c r="D1356" s="8" t="s">
        <v>47</v>
      </c>
      <c r="E1356" s="11">
        <v>0.1102</v>
      </c>
      <c r="F1356" s="7">
        <f>TRUNC(24.08,2)</f>
        <v>24.08</v>
      </c>
      <c r="G1356" s="7">
        <f>TRUNC(E1356*F1356,2)</f>
        <v>2.65</v>
      </c>
      <c r="H1356" s="7"/>
      <c r="I1356" s="11"/>
    </row>
    <row r="1357" spans="1:9" ht="15">
      <c r="A1357" s="8"/>
      <c r="B1357" s="12"/>
      <c r="C1357" s="200"/>
      <c r="D1357" s="8"/>
      <c r="E1357" s="11" t="s">
        <v>33</v>
      </c>
      <c r="F1357" s="7"/>
      <c r="G1357" s="7">
        <f>TRUNC(SUM(G1353:G1356),2)</f>
        <v>25.68</v>
      </c>
      <c r="H1357" s="7"/>
      <c r="I1357" s="11"/>
    </row>
    <row r="1358" spans="1:9" ht="30">
      <c r="A1358" s="103" t="s">
        <v>1461</v>
      </c>
      <c r="B1358" s="110" t="s">
        <v>537</v>
      </c>
      <c r="C1358" s="210" t="s">
        <v>538</v>
      </c>
      <c r="D1358" s="103" t="s">
        <v>7</v>
      </c>
      <c r="E1358" s="111">
        <v>2</v>
      </c>
      <c r="F1358" s="111">
        <f>TRUNC(F1359,2)</f>
        <v>20.42</v>
      </c>
      <c r="G1358" s="111">
        <f>TRUNC(F1358*1.2882,2)</f>
        <v>26.3</v>
      </c>
      <c r="H1358" s="111">
        <f>TRUNC(F1358*E1358,2)</f>
        <v>40.84</v>
      </c>
      <c r="I1358" s="111">
        <f>TRUNC(E1358*G1358,2)</f>
        <v>52.6</v>
      </c>
    </row>
    <row r="1359" spans="1:9" ht="30">
      <c r="A1359" s="8"/>
      <c r="B1359" s="12" t="s">
        <v>537</v>
      </c>
      <c r="C1359" s="200" t="s">
        <v>538</v>
      </c>
      <c r="D1359" s="8" t="s">
        <v>7</v>
      </c>
      <c r="E1359" s="11">
        <v>1</v>
      </c>
      <c r="F1359" s="7">
        <f>TRUNC(20.424061,2)</f>
        <v>20.42</v>
      </c>
      <c r="G1359" s="7">
        <f>TRUNC(E1359*F1359,2)</f>
        <v>20.42</v>
      </c>
      <c r="H1359" s="7"/>
      <c r="I1359" s="11"/>
    </row>
    <row r="1360" spans="1:9" ht="15">
      <c r="A1360" s="8"/>
      <c r="B1360" s="12" t="s">
        <v>539</v>
      </c>
      <c r="C1360" s="200" t="s">
        <v>540</v>
      </c>
      <c r="D1360" s="8" t="s">
        <v>7</v>
      </c>
      <c r="E1360" s="11">
        <v>1</v>
      </c>
      <c r="F1360" s="7">
        <f>TRUNC(16.49,2)</f>
        <v>16.49</v>
      </c>
      <c r="G1360" s="7">
        <f>TRUNC(E1360*F1360,2)</f>
        <v>16.49</v>
      </c>
      <c r="H1360" s="7"/>
      <c r="I1360" s="11"/>
    </row>
    <row r="1361" spans="1:9" ht="15">
      <c r="A1361" s="8"/>
      <c r="B1361" s="12" t="s">
        <v>541</v>
      </c>
      <c r="C1361" s="200" t="s">
        <v>542</v>
      </c>
      <c r="D1361" s="8" t="s">
        <v>7</v>
      </c>
      <c r="E1361" s="11">
        <v>0.0084</v>
      </c>
      <c r="F1361" s="7">
        <f>TRUNC(11.69,2)</f>
        <v>11.69</v>
      </c>
      <c r="G1361" s="7">
        <f>TRUNC(E1361*F1361,2)</f>
        <v>0.09</v>
      </c>
      <c r="H1361" s="7"/>
      <c r="I1361" s="11"/>
    </row>
    <row r="1362" spans="1:9" ht="15">
      <c r="A1362" s="8"/>
      <c r="B1362" s="12" t="s">
        <v>71</v>
      </c>
      <c r="C1362" s="200" t="s">
        <v>72</v>
      </c>
      <c r="D1362" s="8" t="s">
        <v>47</v>
      </c>
      <c r="E1362" s="11">
        <v>0.0719</v>
      </c>
      <c r="F1362" s="7">
        <f>TRUNC(29.27,2)</f>
        <v>29.27</v>
      </c>
      <c r="G1362" s="7">
        <f>TRUNC(E1362*F1362,2)</f>
        <v>2.1</v>
      </c>
      <c r="H1362" s="7"/>
      <c r="I1362" s="11"/>
    </row>
    <row r="1363" spans="1:9" ht="15">
      <c r="A1363" s="8"/>
      <c r="B1363" s="12" t="s">
        <v>177</v>
      </c>
      <c r="C1363" s="200" t="s">
        <v>178</v>
      </c>
      <c r="D1363" s="8" t="s">
        <v>47</v>
      </c>
      <c r="E1363" s="11">
        <v>0.0719</v>
      </c>
      <c r="F1363" s="7">
        <f>TRUNC(24.08,2)</f>
        <v>24.08</v>
      </c>
      <c r="G1363" s="7">
        <f>TRUNC(E1363*F1363,2)</f>
        <v>1.73</v>
      </c>
      <c r="H1363" s="7"/>
      <c r="I1363" s="11"/>
    </row>
    <row r="1364" spans="1:9" ht="15">
      <c r="A1364" s="8"/>
      <c r="B1364" s="12"/>
      <c r="C1364" s="200"/>
      <c r="D1364" s="8"/>
      <c r="E1364" s="11" t="s">
        <v>33</v>
      </c>
      <c r="F1364" s="7"/>
      <c r="G1364" s="7">
        <f>TRUNC(SUM(G1360:G1363),2)</f>
        <v>20.41</v>
      </c>
      <c r="H1364" s="7"/>
      <c r="I1364" s="11"/>
    </row>
    <row r="1365" spans="1:9" ht="30">
      <c r="A1365" s="103" t="s">
        <v>1462</v>
      </c>
      <c r="B1365" s="110" t="s">
        <v>1222</v>
      </c>
      <c r="C1365" s="210" t="s">
        <v>1223</v>
      </c>
      <c r="D1365" s="103" t="s">
        <v>23</v>
      </c>
      <c r="E1365" s="111">
        <v>48</v>
      </c>
      <c r="F1365" s="111">
        <f>TRUNC(F1366,2)</f>
        <v>61.43</v>
      </c>
      <c r="G1365" s="111">
        <f>TRUNC(F1365*1.2882,2)</f>
        <v>79.13</v>
      </c>
      <c r="H1365" s="111">
        <f>TRUNC(F1365*E1365,2)</f>
        <v>2948.64</v>
      </c>
      <c r="I1365" s="111">
        <f>TRUNC(E1365*G1365,2)</f>
        <v>3798.24</v>
      </c>
    </row>
    <row r="1366" spans="1:9" ht="30">
      <c r="A1366" s="8"/>
      <c r="B1366" s="12" t="s">
        <v>1222</v>
      </c>
      <c r="C1366" s="200" t="s">
        <v>1223</v>
      </c>
      <c r="D1366" s="8" t="s">
        <v>23</v>
      </c>
      <c r="E1366" s="11">
        <v>1</v>
      </c>
      <c r="F1366" s="7">
        <f>G1370</f>
        <v>61.43</v>
      </c>
      <c r="G1366" s="7">
        <f>TRUNC(E1366*F1366,2)</f>
        <v>61.43</v>
      </c>
      <c r="H1366" s="7"/>
      <c r="I1366" s="11"/>
    </row>
    <row r="1367" spans="1:9" ht="15">
      <c r="A1367" s="8"/>
      <c r="B1367" s="12" t="s">
        <v>1224</v>
      </c>
      <c r="C1367" s="200" t="s">
        <v>1225</v>
      </c>
      <c r="D1367" s="8" t="s">
        <v>23</v>
      </c>
      <c r="E1367" s="11">
        <v>1.0216</v>
      </c>
      <c r="F1367" s="7">
        <f>TRUNC(34.9,2)</f>
        <v>34.9</v>
      </c>
      <c r="G1367" s="7">
        <f>TRUNC(E1367*F1367,2)</f>
        <v>35.65</v>
      </c>
      <c r="H1367" s="7"/>
      <c r="I1367" s="11"/>
    </row>
    <row r="1368" spans="1:9" ht="15">
      <c r="A1368" s="8"/>
      <c r="B1368" s="12" t="s">
        <v>71</v>
      </c>
      <c r="C1368" s="200" t="s">
        <v>72</v>
      </c>
      <c r="D1368" s="8" t="s">
        <v>47</v>
      </c>
      <c r="E1368" s="11">
        <v>0.7054</v>
      </c>
      <c r="F1368" s="7">
        <f>TRUNC(29.27,2)</f>
        <v>29.27</v>
      </c>
      <c r="G1368" s="7">
        <f>TRUNC(E1368*F1368,2)</f>
        <v>20.64</v>
      </c>
      <c r="H1368" s="7"/>
      <c r="I1368" s="11"/>
    </row>
    <row r="1369" spans="1:9" ht="15">
      <c r="A1369" s="8"/>
      <c r="B1369" s="12" t="s">
        <v>177</v>
      </c>
      <c r="C1369" s="200" t="s">
        <v>178</v>
      </c>
      <c r="D1369" s="8" t="s">
        <v>47</v>
      </c>
      <c r="E1369" s="11">
        <v>0.2138</v>
      </c>
      <c r="F1369" s="7">
        <f>TRUNC(24.08,2)</f>
        <v>24.08</v>
      </c>
      <c r="G1369" s="7">
        <f>TRUNC(E1369*F1369,2)</f>
        <v>5.14</v>
      </c>
      <c r="H1369" s="7"/>
      <c r="I1369" s="11"/>
    </row>
    <row r="1370" spans="1:9" ht="15">
      <c r="A1370" s="8"/>
      <c r="B1370" s="12"/>
      <c r="C1370" s="200"/>
      <c r="D1370" s="8"/>
      <c r="E1370" s="11" t="s">
        <v>33</v>
      </c>
      <c r="F1370" s="7"/>
      <c r="G1370" s="7">
        <f>TRUNC(SUM(G1367:G1369),2)</f>
        <v>61.43</v>
      </c>
      <c r="H1370" s="7"/>
      <c r="I1370" s="11"/>
    </row>
    <row r="1371" spans="1:9" ht="15">
      <c r="A1371" s="103" t="s">
        <v>1463</v>
      </c>
      <c r="B1371" s="110" t="s">
        <v>1329</v>
      </c>
      <c r="C1371" s="210" t="s">
        <v>1322</v>
      </c>
      <c r="D1371" s="103" t="s">
        <v>1323</v>
      </c>
      <c r="E1371" s="111">
        <v>1</v>
      </c>
      <c r="F1371" s="111">
        <f>TRUNC(G1375,2)</f>
        <v>3347.74</v>
      </c>
      <c r="G1371" s="111">
        <f>TRUNC(F1371*1.2882,2)</f>
        <v>4312.55</v>
      </c>
      <c r="H1371" s="111">
        <f>TRUNC(F1371*E1371,2)</f>
        <v>3347.74</v>
      </c>
      <c r="I1371" s="111">
        <f>TRUNC(E1371*G1371,2)</f>
        <v>4312.55</v>
      </c>
    </row>
    <row r="1372" spans="1:9" ht="15">
      <c r="A1372" s="8"/>
      <c r="B1372" s="12" t="s">
        <v>248</v>
      </c>
      <c r="C1372" s="200" t="s">
        <v>1324</v>
      </c>
      <c r="D1372" s="8" t="s">
        <v>1323</v>
      </c>
      <c r="E1372" s="11">
        <v>1</v>
      </c>
      <c r="F1372" s="7">
        <f>E1380</f>
        <v>3241.92</v>
      </c>
      <c r="G1372" s="7">
        <f>TRUNC(E1372*F1372,2)</f>
        <v>3241.92</v>
      </c>
      <c r="H1372" s="7"/>
      <c r="I1372" s="11"/>
    </row>
    <row r="1373" spans="1:9" ht="15">
      <c r="A1373" s="8"/>
      <c r="B1373" s="12" t="s">
        <v>49</v>
      </c>
      <c r="C1373" s="200" t="s">
        <v>50</v>
      </c>
      <c r="D1373" s="8" t="s">
        <v>47</v>
      </c>
      <c r="E1373" s="11">
        <v>2</v>
      </c>
      <c r="F1373" s="7">
        <f>TRUNC(23.64,2)</f>
        <v>23.64</v>
      </c>
      <c r="G1373" s="7">
        <f>TRUNC(E1373*F1373,2)</f>
        <v>47.28</v>
      </c>
      <c r="H1373" s="7"/>
      <c r="I1373" s="11"/>
    </row>
    <row r="1374" spans="1:9" ht="15">
      <c r="A1374" s="8"/>
      <c r="B1374" s="12" t="s">
        <v>71</v>
      </c>
      <c r="C1374" s="200" t="s">
        <v>72</v>
      </c>
      <c r="D1374" s="8" t="s">
        <v>47</v>
      </c>
      <c r="E1374" s="11">
        <v>2</v>
      </c>
      <c r="F1374" s="7">
        <f>TRUNC(29.27,2)</f>
        <v>29.27</v>
      </c>
      <c r="G1374" s="7">
        <f>TRUNC(E1374*F1374,2)</f>
        <v>58.54</v>
      </c>
      <c r="H1374" s="7"/>
      <c r="I1374" s="11"/>
    </row>
    <row r="1375" spans="1:9" ht="15">
      <c r="A1375" s="8"/>
      <c r="B1375" s="12"/>
      <c r="C1375" s="200"/>
      <c r="D1375" s="8"/>
      <c r="E1375" s="11"/>
      <c r="F1375" s="7" t="s">
        <v>1328</v>
      </c>
      <c r="G1375" s="7">
        <f>SUM(G1372:G1374)</f>
        <v>3347.7400000000002</v>
      </c>
      <c r="H1375" s="7"/>
      <c r="I1375" s="11"/>
    </row>
    <row r="1376" spans="1:9" ht="15">
      <c r="A1376" s="8"/>
      <c r="B1376" s="12"/>
      <c r="C1376" s="200"/>
      <c r="D1376" s="8"/>
      <c r="E1376" s="11"/>
      <c r="F1376" s="7"/>
      <c r="G1376" s="7"/>
      <c r="H1376" s="7"/>
      <c r="I1376" s="11"/>
    </row>
    <row r="1377" spans="1:9" ht="15">
      <c r="A1377" s="8"/>
      <c r="B1377" s="327" t="s">
        <v>1325</v>
      </c>
      <c r="C1377" s="223" t="s">
        <v>1324</v>
      </c>
      <c r="D1377" s="328" t="s">
        <v>1323</v>
      </c>
      <c r="E1377" s="89">
        <f>2929+292.92</f>
        <v>3221.92</v>
      </c>
      <c r="F1377" s="7"/>
      <c r="G1377" s="7"/>
      <c r="H1377" s="7"/>
      <c r="I1377" s="11"/>
    </row>
    <row r="1378" spans="1:9" ht="15">
      <c r="A1378" s="8"/>
      <c r="B1378" s="327" t="s">
        <v>1326</v>
      </c>
      <c r="C1378" s="223" t="s">
        <v>1324</v>
      </c>
      <c r="D1378" s="328" t="s">
        <v>1323</v>
      </c>
      <c r="E1378" s="89">
        <f>3548.35+337.11</f>
        <v>3885.46</v>
      </c>
      <c r="F1378" s="7"/>
      <c r="G1378" s="7"/>
      <c r="H1378" s="7"/>
      <c r="I1378" s="11"/>
    </row>
    <row r="1379" spans="1:9" ht="15">
      <c r="A1379" s="8"/>
      <c r="B1379" s="327" t="s">
        <v>1327</v>
      </c>
      <c r="C1379" s="223" t="s">
        <v>1324</v>
      </c>
      <c r="D1379" s="328" t="s">
        <v>1323</v>
      </c>
      <c r="E1379" s="89">
        <v>3261.92</v>
      </c>
      <c r="F1379" s="7"/>
      <c r="G1379" s="7"/>
      <c r="H1379" s="7"/>
      <c r="I1379" s="11"/>
    </row>
    <row r="1380" spans="1:9" ht="15.75">
      <c r="A1380" s="8"/>
      <c r="B1380" s="327"/>
      <c r="C1380" s="329" t="s">
        <v>391</v>
      </c>
      <c r="D1380" s="326" t="s">
        <v>1323</v>
      </c>
      <c r="E1380" s="93">
        <f>MEDIAN((E1377,E1378,E1379),2)</f>
        <v>3241.92</v>
      </c>
      <c r="F1380" s="7"/>
      <c r="G1380" s="7"/>
      <c r="H1380" s="7"/>
      <c r="I1380" s="11"/>
    </row>
    <row r="1381" spans="1:9" ht="15">
      <c r="A1381" s="8"/>
      <c r="B1381" s="12"/>
      <c r="C1381" s="200"/>
      <c r="D1381" s="8"/>
      <c r="E1381" s="11"/>
      <c r="F1381" s="7"/>
      <c r="G1381" s="7"/>
      <c r="H1381" s="7"/>
      <c r="I1381" s="11"/>
    </row>
    <row r="1382" spans="1:9" ht="30">
      <c r="A1382" s="103" t="s">
        <v>1618</v>
      </c>
      <c r="B1382" s="110" t="s">
        <v>1619</v>
      </c>
      <c r="C1382" s="210" t="s">
        <v>1620</v>
      </c>
      <c r="D1382" s="103" t="s">
        <v>7</v>
      </c>
      <c r="E1382" s="111">
        <v>3</v>
      </c>
      <c r="F1382" s="111">
        <f>TRUNC(F1383,2)</f>
        <v>973.84</v>
      </c>
      <c r="G1382" s="111">
        <f>TRUNC(F1382*1.2882,2)</f>
        <v>1254.5</v>
      </c>
      <c r="H1382" s="111">
        <f>TRUNC(F1382*E1382,2)</f>
        <v>2921.52</v>
      </c>
      <c r="I1382" s="111">
        <f>TRUNC(E1382*G1382,2)</f>
        <v>3763.5</v>
      </c>
    </row>
    <row r="1383" spans="1:9" ht="30">
      <c r="A1383" s="8"/>
      <c r="B1383" s="12" t="s">
        <v>1619</v>
      </c>
      <c r="C1383" s="200" t="s">
        <v>1620</v>
      </c>
      <c r="D1383" s="8" t="s">
        <v>7</v>
      </c>
      <c r="E1383" s="11">
        <v>1</v>
      </c>
      <c r="F1383" s="7">
        <f>G1387</f>
        <v>973.84</v>
      </c>
      <c r="G1383" s="7">
        <f>TRUNC(E1383*F1383,2)</f>
        <v>973.84</v>
      </c>
      <c r="H1383" s="7"/>
      <c r="I1383" s="11"/>
    </row>
    <row r="1384" spans="1:9" ht="15">
      <c r="A1384" s="8"/>
      <c r="B1384" s="12" t="s">
        <v>1621</v>
      </c>
      <c r="C1384" s="200" t="s">
        <v>1622</v>
      </c>
      <c r="D1384" s="8" t="s">
        <v>7</v>
      </c>
      <c r="E1384" s="11">
        <v>1</v>
      </c>
      <c r="F1384" s="7">
        <f>TRUNC(963.31,2)</f>
        <v>963.31</v>
      </c>
      <c r="G1384" s="7">
        <f>TRUNC(E1384*F1384,2)</f>
        <v>963.31</v>
      </c>
      <c r="H1384" s="7"/>
      <c r="I1384" s="11"/>
    </row>
    <row r="1385" spans="1:9" ht="15">
      <c r="A1385" s="8"/>
      <c r="B1385" s="12" t="s">
        <v>71</v>
      </c>
      <c r="C1385" s="200" t="s">
        <v>72</v>
      </c>
      <c r="D1385" s="8" t="s">
        <v>47</v>
      </c>
      <c r="E1385" s="11">
        <v>0.1975</v>
      </c>
      <c r="F1385" s="7">
        <f>TRUNC(29.27,2)</f>
        <v>29.27</v>
      </c>
      <c r="G1385" s="7">
        <f>TRUNC(E1385*F1385,2)</f>
        <v>5.78</v>
      </c>
      <c r="H1385" s="7"/>
      <c r="I1385" s="11"/>
    </row>
    <row r="1386" spans="1:9" ht="15">
      <c r="A1386" s="8"/>
      <c r="B1386" s="12" t="s">
        <v>177</v>
      </c>
      <c r="C1386" s="200" t="s">
        <v>178</v>
      </c>
      <c r="D1386" s="8" t="s">
        <v>47</v>
      </c>
      <c r="E1386" s="11">
        <v>0.1975</v>
      </c>
      <c r="F1386" s="7">
        <f>TRUNC(24.08,2)</f>
        <v>24.08</v>
      </c>
      <c r="G1386" s="7">
        <f>TRUNC(E1386*F1386,2)</f>
        <v>4.75</v>
      </c>
      <c r="H1386" s="7"/>
      <c r="I1386" s="11"/>
    </row>
    <row r="1387" spans="1:9" ht="15">
      <c r="A1387" s="8"/>
      <c r="B1387" s="12"/>
      <c r="C1387" s="200"/>
      <c r="D1387" s="8"/>
      <c r="E1387" s="11" t="s">
        <v>33</v>
      </c>
      <c r="F1387" s="7"/>
      <c r="G1387" s="7">
        <f>TRUNC(SUM(G1384:G1386),2)</f>
        <v>973.84</v>
      </c>
      <c r="H1387" s="7"/>
      <c r="I1387" s="11"/>
    </row>
    <row r="1388" spans="1:9" ht="30">
      <c r="A1388" s="103" t="s">
        <v>1630</v>
      </c>
      <c r="B1388" s="110" t="s">
        <v>1631</v>
      </c>
      <c r="C1388" s="210" t="s">
        <v>1632</v>
      </c>
      <c r="D1388" s="103" t="s">
        <v>23</v>
      </c>
      <c r="E1388" s="111">
        <v>16</v>
      </c>
      <c r="F1388" s="111">
        <f>TRUNC(F1389,2)</f>
        <v>46.64</v>
      </c>
      <c r="G1388" s="111">
        <f>TRUNC(F1388*1.2882,2)</f>
        <v>60.08</v>
      </c>
      <c r="H1388" s="111">
        <f>TRUNC(F1388*E1388,2)</f>
        <v>746.24</v>
      </c>
      <c r="I1388" s="111">
        <f>TRUNC(E1388*G1388,2)</f>
        <v>961.28</v>
      </c>
    </row>
    <row r="1389" spans="1:9" ht="30">
      <c r="A1389" s="8"/>
      <c r="B1389" s="12" t="s">
        <v>1631</v>
      </c>
      <c r="C1389" s="200" t="s">
        <v>1632</v>
      </c>
      <c r="D1389" s="8" t="s">
        <v>23</v>
      </c>
      <c r="E1389" s="11">
        <v>1</v>
      </c>
      <c r="F1389" s="7">
        <f>G1393</f>
        <v>46.64</v>
      </c>
      <c r="G1389" s="7">
        <f>TRUNC(E1389*F1389,2)</f>
        <v>46.64</v>
      </c>
      <c r="H1389" s="7"/>
      <c r="I1389" s="11"/>
    </row>
    <row r="1390" spans="1:9" ht="15">
      <c r="A1390" s="8"/>
      <c r="B1390" s="12" t="s">
        <v>1633</v>
      </c>
      <c r="C1390" s="200" t="s">
        <v>1634</v>
      </c>
      <c r="D1390" s="8" t="s">
        <v>23</v>
      </c>
      <c r="E1390" s="11">
        <v>1.0216</v>
      </c>
      <c r="F1390" s="7">
        <f>TRUNC(25.03,2)</f>
        <v>25.03</v>
      </c>
      <c r="G1390" s="7">
        <f>TRUNC(E1390*F1390,2)</f>
        <v>25.57</v>
      </c>
      <c r="H1390" s="7"/>
      <c r="I1390" s="11"/>
    </row>
    <row r="1391" spans="1:9" ht="15">
      <c r="A1391" s="8"/>
      <c r="B1391" s="12" t="s">
        <v>71</v>
      </c>
      <c r="C1391" s="200" t="s">
        <v>72</v>
      </c>
      <c r="D1391" s="8" t="s">
        <v>47</v>
      </c>
      <c r="E1391" s="11">
        <v>0.5764</v>
      </c>
      <c r="F1391" s="7">
        <f>TRUNC(29.27,2)</f>
        <v>29.27</v>
      </c>
      <c r="G1391" s="7">
        <f>TRUNC(E1391*F1391,2)</f>
        <v>16.87</v>
      </c>
      <c r="H1391" s="7"/>
      <c r="I1391" s="11"/>
    </row>
    <row r="1392" spans="1:9" ht="15">
      <c r="A1392" s="8"/>
      <c r="B1392" s="12" t="s">
        <v>177</v>
      </c>
      <c r="C1392" s="200" t="s">
        <v>178</v>
      </c>
      <c r="D1392" s="8" t="s">
        <v>47</v>
      </c>
      <c r="E1392" s="11">
        <v>0.1748</v>
      </c>
      <c r="F1392" s="7">
        <f>TRUNC(24.08,2)</f>
        <v>24.08</v>
      </c>
      <c r="G1392" s="7">
        <f>TRUNC(E1392*F1392,2)</f>
        <v>4.2</v>
      </c>
      <c r="H1392" s="7"/>
      <c r="I1392" s="11"/>
    </row>
    <row r="1393" spans="1:9" ht="15">
      <c r="A1393" s="8"/>
      <c r="B1393" s="12"/>
      <c r="C1393" s="200"/>
      <c r="D1393" s="8"/>
      <c r="E1393" s="11" t="s">
        <v>33</v>
      </c>
      <c r="F1393" s="7"/>
      <c r="G1393" s="7">
        <f>TRUNC(SUM(G1390:G1392),2)</f>
        <v>46.64</v>
      </c>
      <c r="H1393" s="7"/>
      <c r="I1393" s="11"/>
    </row>
    <row r="1394" spans="1:9" ht="30">
      <c r="A1394" s="103" t="s">
        <v>1650</v>
      </c>
      <c r="B1394" s="110" t="s">
        <v>1635</v>
      </c>
      <c r="C1394" s="210" t="s">
        <v>1636</v>
      </c>
      <c r="D1394" s="103" t="s">
        <v>7</v>
      </c>
      <c r="E1394" s="111">
        <v>1</v>
      </c>
      <c r="F1394" s="111">
        <f>TRUNC(F1395,2)</f>
        <v>34.61</v>
      </c>
      <c r="G1394" s="111">
        <f>TRUNC(F1394*1.2882,2)</f>
        <v>44.58</v>
      </c>
      <c r="H1394" s="111">
        <f>TRUNC(F1394*E1394,2)</f>
        <v>34.61</v>
      </c>
      <c r="I1394" s="111">
        <f>TRUNC(E1394*G1394,2)</f>
        <v>44.58</v>
      </c>
    </row>
    <row r="1395" spans="1:9" ht="30">
      <c r="A1395" s="8"/>
      <c r="B1395" s="12" t="s">
        <v>1635</v>
      </c>
      <c r="C1395" s="200" t="s">
        <v>1636</v>
      </c>
      <c r="D1395" s="8" t="s">
        <v>7</v>
      </c>
      <c r="E1395" s="11">
        <v>1</v>
      </c>
      <c r="F1395" s="7">
        <f>TRUNC(34.613084,2)</f>
        <v>34.61</v>
      </c>
      <c r="G1395" s="7">
        <f>TRUNC(E1395*F1395,2)</f>
        <v>34.61</v>
      </c>
      <c r="H1395" s="7"/>
      <c r="I1395" s="11"/>
    </row>
    <row r="1396" spans="1:9" ht="15">
      <c r="A1396" s="8"/>
      <c r="B1396" s="12" t="s">
        <v>1637</v>
      </c>
      <c r="C1396" s="200" t="s">
        <v>1638</v>
      </c>
      <c r="D1396" s="8" t="s">
        <v>7</v>
      </c>
      <c r="E1396" s="11">
        <v>1</v>
      </c>
      <c r="F1396" s="7">
        <f>TRUNC(28.61,2)</f>
        <v>28.61</v>
      </c>
      <c r="G1396" s="7">
        <f>TRUNC(E1396*F1396,2)</f>
        <v>28.61</v>
      </c>
      <c r="H1396" s="7"/>
      <c r="I1396" s="11"/>
    </row>
    <row r="1397" spans="1:9" ht="15">
      <c r="A1397" s="8"/>
      <c r="B1397" s="12" t="s">
        <v>541</v>
      </c>
      <c r="C1397" s="200" t="s">
        <v>542</v>
      </c>
      <c r="D1397" s="8" t="s">
        <v>7</v>
      </c>
      <c r="E1397" s="11">
        <v>0.0106</v>
      </c>
      <c r="F1397" s="7">
        <f>TRUNC(11.69,2)</f>
        <v>11.69</v>
      </c>
      <c r="G1397" s="7">
        <f>TRUNC(E1397*F1397,2)</f>
        <v>0.12</v>
      </c>
      <c r="H1397" s="7"/>
      <c r="I1397" s="11"/>
    </row>
    <row r="1398" spans="1:9" ht="15">
      <c r="A1398" s="8"/>
      <c r="B1398" s="12" t="s">
        <v>71</v>
      </c>
      <c r="C1398" s="200" t="s">
        <v>72</v>
      </c>
      <c r="D1398" s="8" t="s">
        <v>47</v>
      </c>
      <c r="E1398" s="11">
        <v>0.1102</v>
      </c>
      <c r="F1398" s="7">
        <f>TRUNC(29.27,2)</f>
        <v>29.27</v>
      </c>
      <c r="G1398" s="7">
        <f>TRUNC(E1398*F1398,2)</f>
        <v>3.22</v>
      </c>
      <c r="H1398" s="7"/>
      <c r="I1398" s="11"/>
    </row>
    <row r="1399" spans="1:9" ht="15">
      <c r="A1399" s="8"/>
      <c r="B1399" s="12" t="s">
        <v>177</v>
      </c>
      <c r="C1399" s="200" t="s">
        <v>178</v>
      </c>
      <c r="D1399" s="8" t="s">
        <v>47</v>
      </c>
      <c r="E1399" s="11">
        <v>0.1102</v>
      </c>
      <c r="F1399" s="7">
        <f>TRUNC(24.08,2)</f>
        <v>24.08</v>
      </c>
      <c r="G1399" s="7">
        <f>TRUNC(E1399*F1399,2)</f>
        <v>2.65</v>
      </c>
      <c r="H1399" s="7"/>
      <c r="I1399" s="11"/>
    </row>
    <row r="1400" spans="1:9" ht="15">
      <c r="A1400" s="8"/>
      <c r="B1400" s="12"/>
      <c r="C1400" s="200"/>
      <c r="D1400" s="8"/>
      <c r="E1400" s="11" t="s">
        <v>33</v>
      </c>
      <c r="F1400" s="7"/>
      <c r="G1400" s="7">
        <f>TRUNC(SUM(G1396:G1399),2)</f>
        <v>34.6</v>
      </c>
      <c r="H1400" s="7"/>
      <c r="I1400" s="11"/>
    </row>
    <row r="1401" spans="1:9" ht="30">
      <c r="A1401" s="103" t="s">
        <v>1652</v>
      </c>
      <c r="B1401" s="110" t="s">
        <v>1668</v>
      </c>
      <c r="C1401" s="210" t="s">
        <v>1667</v>
      </c>
      <c r="D1401" s="103" t="s">
        <v>7</v>
      </c>
      <c r="E1401" s="111">
        <v>2</v>
      </c>
      <c r="F1401" s="111">
        <f>TRUNC(F1402,2)</f>
        <v>54.59</v>
      </c>
      <c r="G1401" s="111">
        <f>TRUNC(F1401*1.2882,2)</f>
        <v>70.32</v>
      </c>
      <c r="H1401" s="111">
        <f>TRUNC(F1401*E1401,2)</f>
        <v>109.18</v>
      </c>
      <c r="I1401" s="111">
        <f>TRUNC(E1401*G1401,2)</f>
        <v>140.64</v>
      </c>
    </row>
    <row r="1402" spans="1:9" ht="30">
      <c r="A1402" s="8"/>
      <c r="B1402" s="12" t="s">
        <v>1639</v>
      </c>
      <c r="C1402" s="200" t="s">
        <v>1640</v>
      </c>
      <c r="D1402" s="8" t="s">
        <v>7</v>
      </c>
      <c r="E1402" s="11">
        <v>1</v>
      </c>
      <c r="F1402" s="7">
        <f>G1407</f>
        <v>54.59</v>
      </c>
      <c r="G1402" s="7">
        <f>TRUNC(E1402*F1402,2)</f>
        <v>54.59</v>
      </c>
      <c r="H1402" s="7"/>
      <c r="I1402" s="11"/>
    </row>
    <row r="1403" spans="1:9" ht="15">
      <c r="A1403" s="8"/>
      <c r="B1403" s="12" t="s">
        <v>255</v>
      </c>
      <c r="C1403" s="200" t="s">
        <v>1641</v>
      </c>
      <c r="D1403" s="8" t="s">
        <v>7</v>
      </c>
      <c r="E1403" s="11">
        <v>1</v>
      </c>
      <c r="F1403" s="7">
        <v>30</v>
      </c>
      <c r="G1403" s="7">
        <f>TRUNC(E1403*F1403,2)</f>
        <v>30</v>
      </c>
      <c r="H1403" s="7"/>
      <c r="I1403" s="11"/>
    </row>
    <row r="1404" spans="1:9" ht="15">
      <c r="A1404" s="8"/>
      <c r="B1404" s="12" t="s">
        <v>541</v>
      </c>
      <c r="C1404" s="200" t="s">
        <v>542</v>
      </c>
      <c r="D1404" s="8" t="s">
        <v>7</v>
      </c>
      <c r="E1404" s="11">
        <v>0.0302</v>
      </c>
      <c r="F1404" s="7">
        <f>TRUNC(11.69,2)</f>
        <v>11.69</v>
      </c>
      <c r="G1404" s="7">
        <f>TRUNC(E1404*F1404,2)</f>
        <v>0.35</v>
      </c>
      <c r="H1404" s="7"/>
      <c r="I1404" s="11"/>
    </row>
    <row r="1405" spans="1:9" ht="15">
      <c r="A1405" s="8"/>
      <c r="B1405" s="12" t="s">
        <v>71</v>
      </c>
      <c r="C1405" s="200" t="s">
        <v>72</v>
      </c>
      <c r="D1405" s="8" t="s">
        <v>47</v>
      </c>
      <c r="E1405" s="11">
        <v>0.4546</v>
      </c>
      <c r="F1405" s="7">
        <f>TRUNC(29.27,2)</f>
        <v>29.27</v>
      </c>
      <c r="G1405" s="7">
        <f>TRUNC(E1405*F1405,2)</f>
        <v>13.3</v>
      </c>
      <c r="H1405" s="7"/>
      <c r="I1405" s="11"/>
    </row>
    <row r="1406" spans="1:9" ht="15">
      <c r="A1406" s="8"/>
      <c r="B1406" s="12" t="s">
        <v>177</v>
      </c>
      <c r="C1406" s="200" t="s">
        <v>178</v>
      </c>
      <c r="D1406" s="8" t="s">
        <v>47</v>
      </c>
      <c r="E1406" s="11">
        <v>0.4546</v>
      </c>
      <c r="F1406" s="7">
        <f>TRUNC(24.08,2)</f>
        <v>24.08</v>
      </c>
      <c r="G1406" s="7">
        <f>TRUNC(E1406*F1406,2)</f>
        <v>10.94</v>
      </c>
      <c r="H1406" s="7"/>
      <c r="I1406" s="11"/>
    </row>
    <row r="1407" spans="1:9" ht="15">
      <c r="A1407" s="8"/>
      <c r="B1407" s="12"/>
      <c r="C1407" s="200"/>
      <c r="D1407" s="8"/>
      <c r="E1407" s="11" t="s">
        <v>33</v>
      </c>
      <c r="F1407" s="7"/>
      <c r="G1407" s="7">
        <f>TRUNC(SUM(G1403:G1406),2)</f>
        <v>54.59</v>
      </c>
      <c r="H1407" s="7"/>
      <c r="I1407" s="11"/>
    </row>
    <row r="1408" spans="1:9" ht="30">
      <c r="A1408" s="103" t="s">
        <v>1653</v>
      </c>
      <c r="B1408" s="110" t="s">
        <v>1642</v>
      </c>
      <c r="C1408" s="210" t="s">
        <v>1643</v>
      </c>
      <c r="D1408" s="103" t="s">
        <v>7</v>
      </c>
      <c r="E1408" s="111">
        <v>5</v>
      </c>
      <c r="F1408" s="111">
        <f>TRUNC(F1409,2)</f>
        <v>28.04</v>
      </c>
      <c r="G1408" s="111">
        <f>TRUNC(F1408*1.2882,2)</f>
        <v>36.12</v>
      </c>
      <c r="H1408" s="111">
        <f>TRUNC(F1408*E1408,2)</f>
        <v>140.2</v>
      </c>
      <c r="I1408" s="111">
        <f>TRUNC(E1408*G1408,2)</f>
        <v>180.6</v>
      </c>
    </row>
    <row r="1409" spans="1:9" ht="30">
      <c r="A1409" s="8"/>
      <c r="B1409" s="12" t="s">
        <v>1642</v>
      </c>
      <c r="C1409" s="200" t="s">
        <v>1643</v>
      </c>
      <c r="D1409" s="8" t="s">
        <v>7</v>
      </c>
      <c r="E1409" s="11">
        <v>1</v>
      </c>
      <c r="F1409" s="7">
        <f>G1416</f>
        <v>28.04</v>
      </c>
      <c r="G1409" s="7">
        <f>TRUNC(E1409*F1409,2)</f>
        <v>28.04</v>
      </c>
      <c r="H1409" s="7"/>
      <c r="I1409" s="11"/>
    </row>
    <row r="1410" spans="1:9" ht="15">
      <c r="A1410" s="8"/>
      <c r="B1410" s="12" t="s">
        <v>1644</v>
      </c>
      <c r="C1410" s="200" t="s">
        <v>1645</v>
      </c>
      <c r="D1410" s="8" t="s">
        <v>7</v>
      </c>
      <c r="E1410" s="11">
        <v>0.0014</v>
      </c>
      <c r="F1410" s="7">
        <f>TRUNC(51.58,2)</f>
        <v>51.58</v>
      </c>
      <c r="G1410" s="7">
        <f>TRUNC(E1410*F1410,2)</f>
        <v>0.07</v>
      </c>
      <c r="H1410" s="7"/>
      <c r="I1410" s="11"/>
    </row>
    <row r="1411" spans="1:9" ht="30">
      <c r="A1411" s="8"/>
      <c r="B1411" s="12" t="s">
        <v>1646</v>
      </c>
      <c r="C1411" s="200" t="s">
        <v>1647</v>
      </c>
      <c r="D1411" s="8" t="s">
        <v>7</v>
      </c>
      <c r="E1411" s="11">
        <v>1</v>
      </c>
      <c r="F1411" s="7">
        <f>TRUNC(8.62,2)</f>
        <v>8.62</v>
      </c>
      <c r="G1411" s="7">
        <f>TRUNC(E1411*F1411,2)</f>
        <v>8.62</v>
      </c>
      <c r="H1411" s="7"/>
      <c r="I1411" s="11"/>
    </row>
    <row r="1412" spans="1:9" ht="15">
      <c r="A1412" s="8"/>
      <c r="B1412" s="12" t="s">
        <v>171</v>
      </c>
      <c r="C1412" s="200" t="s">
        <v>172</v>
      </c>
      <c r="D1412" s="8" t="s">
        <v>7</v>
      </c>
      <c r="E1412" s="11">
        <v>0.16355</v>
      </c>
      <c r="F1412" s="7">
        <f>TRUNC(2.13,2)</f>
        <v>2.13</v>
      </c>
      <c r="G1412" s="7">
        <f>TRUNC(E1412*F1412,2)</f>
        <v>0.34</v>
      </c>
      <c r="H1412" s="7"/>
      <c r="I1412" s="11"/>
    </row>
    <row r="1413" spans="1:9" ht="30">
      <c r="A1413" s="8"/>
      <c r="B1413" s="12" t="s">
        <v>1648</v>
      </c>
      <c r="C1413" s="200" t="s">
        <v>1649</v>
      </c>
      <c r="D1413" s="8" t="s">
        <v>7</v>
      </c>
      <c r="E1413" s="11">
        <v>0.0056</v>
      </c>
      <c r="F1413" s="7">
        <f>TRUNC(281.37,2)</f>
        <v>281.37</v>
      </c>
      <c r="G1413" s="7">
        <f>TRUNC(E1413*F1413,2)</f>
        <v>1.57</v>
      </c>
      <c r="H1413" s="7"/>
      <c r="I1413" s="11"/>
    </row>
    <row r="1414" spans="1:9" ht="15">
      <c r="A1414" s="8"/>
      <c r="B1414" s="12" t="s">
        <v>71</v>
      </c>
      <c r="C1414" s="200" t="s">
        <v>72</v>
      </c>
      <c r="D1414" s="8" t="s">
        <v>47</v>
      </c>
      <c r="E1414" s="11">
        <v>0.32705</v>
      </c>
      <c r="F1414" s="7">
        <f>TRUNC(29.27,2)</f>
        <v>29.27</v>
      </c>
      <c r="G1414" s="7">
        <f>TRUNC(E1414*F1414,2)</f>
        <v>9.57</v>
      </c>
      <c r="H1414" s="7"/>
      <c r="I1414" s="11"/>
    </row>
    <row r="1415" spans="1:9" ht="15">
      <c r="A1415" s="8"/>
      <c r="B1415" s="12" t="s">
        <v>177</v>
      </c>
      <c r="C1415" s="200" t="s">
        <v>178</v>
      </c>
      <c r="D1415" s="8" t="s">
        <v>47</v>
      </c>
      <c r="E1415" s="11">
        <v>0.32705</v>
      </c>
      <c r="F1415" s="7">
        <f>TRUNC(24.08,2)</f>
        <v>24.08</v>
      </c>
      <c r="G1415" s="7">
        <f>TRUNC(E1415*F1415,2)</f>
        <v>7.87</v>
      </c>
      <c r="H1415" s="7"/>
      <c r="I1415" s="11"/>
    </row>
    <row r="1416" spans="1:9" ht="15">
      <c r="A1416" s="8"/>
      <c r="B1416" s="12"/>
      <c r="C1416" s="200"/>
      <c r="D1416" s="8"/>
      <c r="E1416" s="11" t="s">
        <v>33</v>
      </c>
      <c r="F1416" s="7"/>
      <c r="G1416" s="7">
        <f>TRUNC(SUM(G1410:G1415),2)</f>
        <v>28.04</v>
      </c>
      <c r="H1416" s="7"/>
      <c r="I1416" s="11"/>
    </row>
    <row r="1417" spans="1:9" ht="30">
      <c r="A1417" s="103" t="s">
        <v>1651</v>
      </c>
      <c r="B1417" s="110" t="s">
        <v>1654</v>
      </c>
      <c r="C1417" s="210" t="s">
        <v>1655</v>
      </c>
      <c r="D1417" s="103" t="s">
        <v>7</v>
      </c>
      <c r="E1417" s="111">
        <v>8</v>
      </c>
      <c r="F1417" s="111">
        <f>TRUNC(F1418,2)</f>
        <v>102.49</v>
      </c>
      <c r="G1417" s="111">
        <f>TRUNC(F1417*1.2882,2)</f>
        <v>132.02</v>
      </c>
      <c r="H1417" s="111">
        <f>TRUNC(F1417*E1417,2)</f>
        <v>819.92</v>
      </c>
      <c r="I1417" s="111">
        <f>TRUNC(E1417*G1417,2)</f>
        <v>1056.16</v>
      </c>
    </row>
    <row r="1418" spans="1:9" ht="30">
      <c r="A1418" s="8"/>
      <c r="B1418" s="12" t="s">
        <v>1654</v>
      </c>
      <c r="C1418" s="200" t="s">
        <v>1655</v>
      </c>
      <c r="D1418" s="8" t="s">
        <v>7</v>
      </c>
      <c r="E1418" s="11">
        <v>1</v>
      </c>
      <c r="F1418" s="7">
        <f>G1424</f>
        <v>102.49</v>
      </c>
      <c r="G1418" s="7">
        <f>TRUNC(E1418*F1418,2)</f>
        <v>102.49</v>
      </c>
      <c r="H1418" s="7"/>
      <c r="I1418" s="11"/>
    </row>
    <row r="1419" spans="1:9" ht="15">
      <c r="A1419" s="8"/>
      <c r="B1419" s="12" t="s">
        <v>1664</v>
      </c>
      <c r="C1419" s="200" t="s">
        <v>1665</v>
      </c>
      <c r="D1419" s="8" t="s">
        <v>7</v>
      </c>
      <c r="E1419" s="11">
        <v>1</v>
      </c>
      <c r="F1419" s="7">
        <f>TRUNC(51.67,2)</f>
        <v>51.67</v>
      </c>
      <c r="G1419" s="7">
        <f>TRUNC(E1419*F1419,2)</f>
        <v>51.67</v>
      </c>
      <c r="H1419" s="7"/>
      <c r="I1419" s="11"/>
    </row>
    <row r="1420" spans="1:9" ht="15">
      <c r="A1420" s="8"/>
      <c r="B1420" s="12" t="s">
        <v>1660</v>
      </c>
      <c r="C1420" s="200" t="s">
        <v>1661</v>
      </c>
      <c r="D1420" s="8" t="s">
        <v>44</v>
      </c>
      <c r="E1420" s="11">
        <v>0.018</v>
      </c>
      <c r="F1420" s="7">
        <f>TRUNC(41.24,2)</f>
        <v>41.24</v>
      </c>
      <c r="G1420" s="7">
        <f>TRUNC(E1420*F1420,2)</f>
        <v>0.74</v>
      </c>
      <c r="H1420" s="7"/>
      <c r="I1420" s="11"/>
    </row>
    <row r="1421" spans="1:9" ht="15">
      <c r="A1421" s="8"/>
      <c r="B1421" s="12" t="s">
        <v>1662</v>
      </c>
      <c r="C1421" s="200" t="s">
        <v>1663</v>
      </c>
      <c r="D1421" s="8" t="s">
        <v>47</v>
      </c>
      <c r="E1421" s="11">
        <v>0.572</v>
      </c>
      <c r="F1421" s="7">
        <f>TRUNC(34.23,2)</f>
        <v>34.23</v>
      </c>
      <c r="G1421" s="7">
        <f>TRUNC(E1421*F1421,2)</f>
        <v>19.57</v>
      </c>
      <c r="H1421" s="7"/>
      <c r="I1421" s="11"/>
    </row>
    <row r="1422" spans="1:9" ht="15">
      <c r="A1422" s="8"/>
      <c r="B1422" s="12" t="s">
        <v>71</v>
      </c>
      <c r="C1422" s="200" t="s">
        <v>72</v>
      </c>
      <c r="D1422" s="8" t="s">
        <v>47</v>
      </c>
      <c r="E1422" s="11">
        <v>0.572</v>
      </c>
      <c r="F1422" s="7">
        <f>TRUNC(29.27,2)</f>
        <v>29.27</v>
      </c>
      <c r="G1422" s="7">
        <f>TRUNC(E1422*F1422,2)</f>
        <v>16.74</v>
      </c>
      <c r="H1422" s="7"/>
      <c r="I1422" s="11"/>
    </row>
    <row r="1423" spans="1:9" ht="15">
      <c r="A1423" s="8"/>
      <c r="B1423" s="12" t="s">
        <v>177</v>
      </c>
      <c r="C1423" s="200" t="s">
        <v>178</v>
      </c>
      <c r="D1423" s="8" t="s">
        <v>47</v>
      </c>
      <c r="E1423" s="11">
        <v>0.572</v>
      </c>
      <c r="F1423" s="7">
        <f>TRUNC(24.08,2)</f>
        <v>24.08</v>
      </c>
      <c r="G1423" s="7">
        <f>TRUNC(E1423*F1423,2)</f>
        <v>13.77</v>
      </c>
      <c r="H1423" s="7"/>
      <c r="I1423" s="11"/>
    </row>
    <row r="1424" spans="1:9" ht="15">
      <c r="A1424" s="8"/>
      <c r="B1424" s="12"/>
      <c r="C1424" s="200"/>
      <c r="D1424" s="8"/>
      <c r="E1424" s="11" t="s">
        <v>33</v>
      </c>
      <c r="F1424" s="7"/>
      <c r="G1424" s="7">
        <f>TRUNC(SUM(G1419:G1423),2)</f>
        <v>102.49</v>
      </c>
      <c r="H1424" s="7"/>
      <c r="I1424" s="11"/>
    </row>
    <row r="1425" spans="1:9" ht="30">
      <c r="A1425" s="103" t="s">
        <v>1666</v>
      </c>
      <c r="B1425" s="110" t="s">
        <v>1656</v>
      </c>
      <c r="C1425" s="210" t="s">
        <v>1657</v>
      </c>
      <c r="D1425" s="103" t="s">
        <v>7</v>
      </c>
      <c r="E1425" s="111">
        <v>6</v>
      </c>
      <c r="F1425" s="111">
        <f>TRUNC(F1426,2)</f>
        <v>62.62</v>
      </c>
      <c r="G1425" s="111">
        <f>TRUNC(F1425*1.2882,2)</f>
        <v>80.66</v>
      </c>
      <c r="H1425" s="111">
        <f>TRUNC(F1425*E1425,2)</f>
        <v>375.72</v>
      </c>
      <c r="I1425" s="111">
        <f>TRUNC(E1425*G1425,2)</f>
        <v>483.96</v>
      </c>
    </row>
    <row r="1426" spans="1:9" ht="30">
      <c r="A1426" s="8"/>
      <c r="B1426" s="12" t="s">
        <v>1656</v>
      </c>
      <c r="C1426" s="200" t="s">
        <v>1657</v>
      </c>
      <c r="D1426" s="8" t="s">
        <v>7</v>
      </c>
      <c r="E1426" s="11">
        <v>1</v>
      </c>
      <c r="F1426" s="7">
        <f>G1432</f>
        <v>62.62</v>
      </c>
      <c r="G1426" s="7">
        <f>TRUNC(E1426*F1426,2)</f>
        <v>62.62</v>
      </c>
      <c r="H1426" s="7"/>
      <c r="I1426" s="11"/>
    </row>
    <row r="1427" spans="1:9" ht="15">
      <c r="A1427" s="8"/>
      <c r="B1427" s="12" t="s">
        <v>1658</v>
      </c>
      <c r="C1427" s="200" t="s">
        <v>1659</v>
      </c>
      <c r="D1427" s="8" t="s">
        <v>7</v>
      </c>
      <c r="E1427" s="11">
        <v>1</v>
      </c>
      <c r="F1427" s="7">
        <f>TRUNC(36.4,2)</f>
        <v>36.4</v>
      </c>
      <c r="G1427" s="7">
        <f>TRUNC(E1427*F1427,2)</f>
        <v>36.4</v>
      </c>
      <c r="H1427" s="7"/>
      <c r="I1427" s="11"/>
    </row>
    <row r="1428" spans="1:9" ht="15">
      <c r="A1428" s="8"/>
      <c r="B1428" s="12" t="s">
        <v>1660</v>
      </c>
      <c r="C1428" s="200" t="s">
        <v>1661</v>
      </c>
      <c r="D1428" s="8" t="s">
        <v>44</v>
      </c>
      <c r="E1428" s="11">
        <v>0.012</v>
      </c>
      <c r="F1428" s="7">
        <f>TRUNC(41.24,2)</f>
        <v>41.24</v>
      </c>
      <c r="G1428" s="7">
        <f>TRUNC(E1428*F1428,2)</f>
        <v>0.49</v>
      </c>
      <c r="H1428" s="7"/>
      <c r="I1428" s="11"/>
    </row>
    <row r="1429" spans="1:9" ht="15">
      <c r="A1429" s="8"/>
      <c r="B1429" s="12" t="s">
        <v>1662</v>
      </c>
      <c r="C1429" s="200" t="s">
        <v>1663</v>
      </c>
      <c r="D1429" s="8" t="s">
        <v>47</v>
      </c>
      <c r="E1429" s="11">
        <v>0.294</v>
      </c>
      <c r="F1429" s="7">
        <f>TRUNC(34.23,2)</f>
        <v>34.23</v>
      </c>
      <c r="G1429" s="7">
        <f>TRUNC(E1429*F1429,2)</f>
        <v>10.06</v>
      </c>
      <c r="H1429" s="7"/>
      <c r="I1429" s="11"/>
    </row>
    <row r="1430" spans="1:9" ht="15">
      <c r="A1430" s="8"/>
      <c r="B1430" s="12" t="s">
        <v>71</v>
      </c>
      <c r="C1430" s="200" t="s">
        <v>72</v>
      </c>
      <c r="D1430" s="8" t="s">
        <v>47</v>
      </c>
      <c r="E1430" s="11">
        <v>0.294</v>
      </c>
      <c r="F1430" s="7">
        <f>TRUNC(29.27,2)</f>
        <v>29.27</v>
      </c>
      <c r="G1430" s="7">
        <f>TRUNC(E1430*F1430,2)</f>
        <v>8.6</v>
      </c>
      <c r="H1430" s="7"/>
      <c r="I1430" s="11"/>
    </row>
    <row r="1431" spans="1:9" ht="15">
      <c r="A1431" s="8"/>
      <c r="B1431" s="12" t="s">
        <v>177</v>
      </c>
      <c r="C1431" s="200" t="s">
        <v>178</v>
      </c>
      <c r="D1431" s="8" t="s">
        <v>47</v>
      </c>
      <c r="E1431" s="11">
        <v>0.294</v>
      </c>
      <c r="F1431" s="7">
        <f>TRUNC(24.08,2)</f>
        <v>24.08</v>
      </c>
      <c r="G1431" s="7">
        <f>TRUNC(E1431*F1431,2)</f>
        <v>7.07</v>
      </c>
      <c r="H1431" s="7"/>
      <c r="I1431" s="11"/>
    </row>
    <row r="1432" spans="1:9" ht="15">
      <c r="A1432" s="8"/>
      <c r="B1432" s="12"/>
      <c r="C1432" s="200"/>
      <c r="D1432" s="8"/>
      <c r="E1432" s="11" t="s">
        <v>33</v>
      </c>
      <c r="F1432" s="7"/>
      <c r="G1432" s="7">
        <f>TRUNC(SUM(G1427:G1431),2)</f>
        <v>62.62</v>
      </c>
      <c r="H1432" s="7"/>
      <c r="I1432" s="11"/>
    </row>
    <row r="1433" spans="1:9" ht="30">
      <c r="A1433" s="103" t="s">
        <v>1669</v>
      </c>
      <c r="B1433" s="110" t="s">
        <v>1673</v>
      </c>
      <c r="C1433" s="210" t="s">
        <v>1674</v>
      </c>
      <c r="D1433" s="103" t="s">
        <v>7</v>
      </c>
      <c r="E1433" s="111">
        <v>2</v>
      </c>
      <c r="F1433" s="111">
        <f>TRUNC(F1434,2)</f>
        <v>25.1</v>
      </c>
      <c r="G1433" s="111">
        <f>TRUNC(F1433*1.2882,2)</f>
        <v>32.33</v>
      </c>
      <c r="H1433" s="111">
        <f>TRUNC(F1433*E1433,2)</f>
        <v>50.2</v>
      </c>
      <c r="I1433" s="111">
        <f>TRUNC(E1433*G1433,2)</f>
        <v>64.66</v>
      </c>
    </row>
    <row r="1434" spans="1:9" ht="30">
      <c r="A1434" s="8"/>
      <c r="B1434" s="12" t="s">
        <v>1673</v>
      </c>
      <c r="C1434" s="200" t="s">
        <v>1674</v>
      </c>
      <c r="D1434" s="8" t="s">
        <v>7</v>
      </c>
      <c r="E1434" s="11">
        <v>1</v>
      </c>
      <c r="F1434" s="7">
        <f>G1439</f>
        <v>25.1</v>
      </c>
      <c r="G1434" s="7">
        <f>TRUNC(E1434*F1434,2)</f>
        <v>25.1</v>
      </c>
      <c r="H1434" s="7"/>
      <c r="I1434" s="11"/>
    </row>
    <row r="1435" spans="1:9" ht="30">
      <c r="A1435" s="8"/>
      <c r="B1435" s="12" t="s">
        <v>1679</v>
      </c>
      <c r="C1435" s="200" t="s">
        <v>1680</v>
      </c>
      <c r="D1435" s="8" t="s">
        <v>7</v>
      </c>
      <c r="E1435" s="11">
        <v>1</v>
      </c>
      <c r="F1435" s="7">
        <f>TRUNC(18.47,2)</f>
        <v>18.47</v>
      </c>
      <c r="G1435" s="7">
        <f>TRUNC(E1435*F1435,2)</f>
        <v>18.47</v>
      </c>
      <c r="H1435" s="7"/>
      <c r="I1435" s="11"/>
    </row>
    <row r="1436" spans="1:9" ht="15">
      <c r="A1436" s="8"/>
      <c r="B1436" s="12" t="s">
        <v>71</v>
      </c>
      <c r="C1436" s="200" t="s">
        <v>72</v>
      </c>
      <c r="D1436" s="8" t="s">
        <v>47</v>
      </c>
      <c r="E1436" s="11">
        <v>0.1232</v>
      </c>
      <c r="F1436" s="7">
        <f>TRUNC(29.27,2)</f>
        <v>29.27</v>
      </c>
      <c r="G1436" s="7">
        <f>TRUNC(E1436*F1436,2)</f>
        <v>3.6</v>
      </c>
      <c r="H1436" s="7"/>
      <c r="I1436" s="11"/>
    </row>
    <row r="1437" spans="1:9" ht="15">
      <c r="A1437" s="8"/>
      <c r="B1437" s="12" t="s">
        <v>177</v>
      </c>
      <c r="C1437" s="200" t="s">
        <v>178</v>
      </c>
      <c r="D1437" s="8" t="s">
        <v>47</v>
      </c>
      <c r="E1437" s="11">
        <v>0.1232</v>
      </c>
      <c r="F1437" s="7">
        <f>TRUNC(24.08,2)</f>
        <v>24.08</v>
      </c>
      <c r="G1437" s="7">
        <f>TRUNC(E1437*F1437,2)</f>
        <v>2.96</v>
      </c>
      <c r="H1437" s="7"/>
      <c r="I1437" s="11"/>
    </row>
    <row r="1438" spans="1:9" ht="30">
      <c r="A1438" s="8"/>
      <c r="B1438" s="12" t="s">
        <v>451</v>
      </c>
      <c r="C1438" s="200" t="s">
        <v>452</v>
      </c>
      <c r="D1438" s="8" t="s">
        <v>63</v>
      </c>
      <c r="E1438" s="11">
        <v>0.0844</v>
      </c>
      <c r="F1438" s="7">
        <f>TRUNC(0.9,2)</f>
        <v>0.9</v>
      </c>
      <c r="G1438" s="7">
        <f>TRUNC(E1438*F1438,2)</f>
        <v>0.07</v>
      </c>
      <c r="H1438" s="7"/>
      <c r="I1438" s="11"/>
    </row>
    <row r="1439" spans="1:9" ht="15">
      <c r="A1439" s="8"/>
      <c r="B1439" s="12"/>
      <c r="C1439" s="200"/>
      <c r="D1439" s="8"/>
      <c r="E1439" s="11" t="s">
        <v>33</v>
      </c>
      <c r="F1439" s="7"/>
      <c r="G1439" s="7">
        <f>TRUNC(SUM(G1435:G1438),2)</f>
        <v>25.1</v>
      </c>
      <c r="H1439" s="7"/>
      <c r="I1439" s="11"/>
    </row>
    <row r="1440" spans="1:9" ht="30">
      <c r="A1440" s="103" t="s">
        <v>1670</v>
      </c>
      <c r="B1440" s="110" t="s">
        <v>1675</v>
      </c>
      <c r="C1440" s="210" t="s">
        <v>1676</v>
      </c>
      <c r="D1440" s="103" t="s">
        <v>7</v>
      </c>
      <c r="E1440" s="111">
        <v>2</v>
      </c>
      <c r="F1440" s="111">
        <f>TRUNC(F1441,2)</f>
        <v>16.97</v>
      </c>
      <c r="G1440" s="111">
        <f>TRUNC(F1440*1.2882,2)</f>
        <v>21.86</v>
      </c>
      <c r="H1440" s="111">
        <f>TRUNC(F1440*E1440,2)</f>
        <v>33.94</v>
      </c>
      <c r="I1440" s="111">
        <f>TRUNC(E1440*G1440,2)</f>
        <v>43.72</v>
      </c>
    </row>
    <row r="1441" spans="1:9" ht="30">
      <c r="A1441" s="8"/>
      <c r="B1441" s="12" t="s">
        <v>1675</v>
      </c>
      <c r="C1441" s="200" t="s">
        <v>1676</v>
      </c>
      <c r="D1441" s="8" t="s">
        <v>7</v>
      </c>
      <c r="E1441" s="11">
        <v>1</v>
      </c>
      <c r="F1441" s="7">
        <f>G1446</f>
        <v>16.97</v>
      </c>
      <c r="G1441" s="7">
        <f>TRUNC(E1441*F1441,2)</f>
        <v>16.97</v>
      </c>
      <c r="H1441" s="7"/>
      <c r="I1441" s="11"/>
    </row>
    <row r="1442" spans="1:9" ht="30">
      <c r="A1442" s="8"/>
      <c r="B1442" s="12" t="s">
        <v>1677</v>
      </c>
      <c r="C1442" s="200" t="s">
        <v>1678</v>
      </c>
      <c r="D1442" s="8" t="s">
        <v>7</v>
      </c>
      <c r="E1442" s="11">
        <v>1</v>
      </c>
      <c r="F1442" s="7">
        <f>TRUNC(10.34,2)</f>
        <v>10.34</v>
      </c>
      <c r="G1442" s="7">
        <f>TRUNC(E1442*F1442,2)</f>
        <v>10.34</v>
      </c>
      <c r="H1442" s="7"/>
      <c r="I1442" s="11"/>
    </row>
    <row r="1443" spans="1:9" ht="15">
      <c r="A1443" s="8"/>
      <c r="B1443" s="12" t="s">
        <v>71</v>
      </c>
      <c r="C1443" s="200" t="s">
        <v>72</v>
      </c>
      <c r="D1443" s="8" t="s">
        <v>47</v>
      </c>
      <c r="E1443" s="11">
        <v>0.1232</v>
      </c>
      <c r="F1443" s="7">
        <f>TRUNC(29.27,2)</f>
        <v>29.27</v>
      </c>
      <c r="G1443" s="7">
        <f>TRUNC(E1443*F1443,2)</f>
        <v>3.6</v>
      </c>
      <c r="H1443" s="7"/>
      <c r="I1443" s="11"/>
    </row>
    <row r="1444" spans="1:9" ht="15">
      <c r="A1444" s="8"/>
      <c r="B1444" s="12" t="s">
        <v>177</v>
      </c>
      <c r="C1444" s="200" t="s">
        <v>178</v>
      </c>
      <c r="D1444" s="8" t="s">
        <v>47</v>
      </c>
      <c r="E1444" s="11">
        <v>0.1232</v>
      </c>
      <c r="F1444" s="7">
        <f>TRUNC(24.08,2)</f>
        <v>24.08</v>
      </c>
      <c r="G1444" s="7">
        <f>TRUNC(E1444*F1444,2)</f>
        <v>2.96</v>
      </c>
      <c r="H1444" s="7"/>
      <c r="I1444" s="11"/>
    </row>
    <row r="1445" spans="1:9" ht="30">
      <c r="A1445" s="8"/>
      <c r="B1445" s="12" t="s">
        <v>451</v>
      </c>
      <c r="C1445" s="200" t="s">
        <v>452</v>
      </c>
      <c r="D1445" s="8" t="s">
        <v>63</v>
      </c>
      <c r="E1445" s="11">
        <v>0.0844</v>
      </c>
      <c r="F1445" s="7">
        <f>TRUNC(0.9,2)</f>
        <v>0.9</v>
      </c>
      <c r="G1445" s="7">
        <f>TRUNC(E1445*F1445,2)</f>
        <v>0.07</v>
      </c>
      <c r="H1445" s="7"/>
      <c r="I1445" s="11"/>
    </row>
    <row r="1446" spans="1:9" ht="15">
      <c r="A1446" s="8"/>
      <c r="B1446" s="12"/>
      <c r="C1446" s="200"/>
      <c r="D1446" s="8"/>
      <c r="E1446" s="11" t="s">
        <v>33</v>
      </c>
      <c r="F1446" s="7"/>
      <c r="G1446" s="7">
        <f>TRUNC(SUM(G1442:G1445),2)</f>
        <v>16.97</v>
      </c>
      <c r="H1446" s="7"/>
      <c r="I1446" s="11"/>
    </row>
    <row r="1447" spans="1:9" ht="30">
      <c r="A1447" s="103" t="s">
        <v>1671</v>
      </c>
      <c r="B1447" s="110" t="s">
        <v>1682</v>
      </c>
      <c r="C1447" s="210" t="s">
        <v>1683</v>
      </c>
      <c r="D1447" s="103"/>
      <c r="E1447" s="111">
        <v>10</v>
      </c>
      <c r="F1447" s="111">
        <f>TRUNC(F1448,2)</f>
        <v>25.1</v>
      </c>
      <c r="G1447" s="111">
        <f>TRUNC(F1447*1.2882,2)</f>
        <v>32.33</v>
      </c>
      <c r="H1447" s="111">
        <f>TRUNC(F1447*E1447,2)</f>
        <v>251</v>
      </c>
      <c r="I1447" s="111">
        <f>TRUNC(E1447*G1447,2)</f>
        <v>323.3</v>
      </c>
    </row>
    <row r="1448" spans="1:9" ht="30">
      <c r="A1448" s="8"/>
      <c r="B1448" s="12" t="s">
        <v>1673</v>
      </c>
      <c r="C1448" s="200" t="s">
        <v>1674</v>
      </c>
      <c r="D1448" s="8" t="s">
        <v>7</v>
      </c>
      <c r="E1448" s="11">
        <v>1</v>
      </c>
      <c r="F1448" s="7">
        <f>G1453</f>
        <v>25.1</v>
      </c>
      <c r="G1448" s="7">
        <f>TRUNC(E1448*F1448,2)</f>
        <v>25.1</v>
      </c>
      <c r="H1448" s="7"/>
      <c r="I1448" s="11"/>
    </row>
    <row r="1449" spans="1:9" ht="30">
      <c r="A1449" s="8"/>
      <c r="B1449" s="12" t="s">
        <v>248</v>
      </c>
      <c r="C1449" s="200" t="s">
        <v>1681</v>
      </c>
      <c r="D1449" s="8" t="s">
        <v>7</v>
      </c>
      <c r="E1449" s="11">
        <v>1</v>
      </c>
      <c r="F1449" s="7">
        <f>TRUNC(18.47,2)</f>
        <v>18.47</v>
      </c>
      <c r="G1449" s="7">
        <f>TRUNC(E1449*F1449,2)</f>
        <v>18.47</v>
      </c>
      <c r="H1449" s="7"/>
      <c r="I1449" s="11"/>
    </row>
    <row r="1450" spans="1:9" ht="15">
      <c r="A1450" s="8"/>
      <c r="B1450" s="12" t="s">
        <v>71</v>
      </c>
      <c r="C1450" s="200" t="s">
        <v>72</v>
      </c>
      <c r="D1450" s="8" t="s">
        <v>47</v>
      </c>
      <c r="E1450" s="11">
        <v>0.1232</v>
      </c>
      <c r="F1450" s="7">
        <f>TRUNC(29.27,2)</f>
        <v>29.27</v>
      </c>
      <c r="G1450" s="7">
        <f>TRUNC(E1450*F1450,2)</f>
        <v>3.6</v>
      </c>
      <c r="H1450" s="7"/>
      <c r="I1450" s="11"/>
    </row>
    <row r="1451" spans="1:9" ht="15">
      <c r="A1451" s="8"/>
      <c r="B1451" s="12" t="s">
        <v>177</v>
      </c>
      <c r="C1451" s="200" t="s">
        <v>178</v>
      </c>
      <c r="D1451" s="8" t="s">
        <v>47</v>
      </c>
      <c r="E1451" s="11">
        <v>0.1232</v>
      </c>
      <c r="F1451" s="7">
        <f>TRUNC(24.08,2)</f>
        <v>24.08</v>
      </c>
      <c r="G1451" s="7">
        <f>TRUNC(E1451*F1451,2)</f>
        <v>2.96</v>
      </c>
      <c r="H1451" s="7"/>
      <c r="I1451" s="11"/>
    </row>
    <row r="1452" spans="1:9" ht="30">
      <c r="A1452" s="8"/>
      <c r="B1452" s="12" t="s">
        <v>451</v>
      </c>
      <c r="C1452" s="200" t="s">
        <v>452</v>
      </c>
      <c r="D1452" s="8" t="s">
        <v>63</v>
      </c>
      <c r="E1452" s="11">
        <v>0.0844</v>
      </c>
      <c r="F1452" s="7">
        <f>TRUNC(0.9,2)</f>
        <v>0.9</v>
      </c>
      <c r="G1452" s="7">
        <f>TRUNC(E1452*F1452,2)</f>
        <v>0.07</v>
      </c>
      <c r="H1452" s="7"/>
      <c r="I1452" s="11"/>
    </row>
    <row r="1453" spans="1:9" ht="15">
      <c r="A1453" s="8"/>
      <c r="B1453" s="12"/>
      <c r="C1453" s="200"/>
      <c r="D1453" s="8"/>
      <c r="E1453" s="11" t="s">
        <v>33</v>
      </c>
      <c r="F1453" s="7"/>
      <c r="G1453" s="7">
        <f>TRUNC(SUM(G1449:G1452),2)</f>
        <v>25.1</v>
      </c>
      <c r="H1453" s="7"/>
      <c r="I1453" s="11"/>
    </row>
    <row r="1454" spans="1:9" ht="30">
      <c r="A1454" s="103" t="s">
        <v>1672</v>
      </c>
      <c r="B1454" s="110" t="s">
        <v>1684</v>
      </c>
      <c r="C1454" s="210" t="s">
        <v>1685</v>
      </c>
      <c r="D1454" s="103" t="s">
        <v>7</v>
      </c>
      <c r="E1454" s="111">
        <v>10</v>
      </c>
      <c r="F1454" s="111">
        <f>TRUNC(F1455,2)</f>
        <v>16.97</v>
      </c>
      <c r="G1454" s="111">
        <f>TRUNC(F1454*1.2882,2)</f>
        <v>21.86</v>
      </c>
      <c r="H1454" s="111">
        <f>TRUNC(F1454*E1454,2)</f>
        <v>169.7</v>
      </c>
      <c r="I1454" s="111">
        <f>TRUNC(E1454*G1454,2)</f>
        <v>218.6</v>
      </c>
    </row>
    <row r="1455" spans="1:9" ht="30">
      <c r="A1455" s="8"/>
      <c r="B1455" s="12" t="s">
        <v>1675</v>
      </c>
      <c r="C1455" s="200" t="s">
        <v>1676</v>
      </c>
      <c r="D1455" s="8" t="s">
        <v>7</v>
      </c>
      <c r="E1455" s="11">
        <v>1</v>
      </c>
      <c r="F1455" s="7">
        <f>G1460</f>
        <v>16.97</v>
      </c>
      <c r="G1455" s="7">
        <f>TRUNC(E1455*F1455,2)</f>
        <v>16.97</v>
      </c>
      <c r="H1455" s="7"/>
      <c r="I1455" s="11"/>
    </row>
    <row r="1456" spans="1:9" ht="30">
      <c r="A1456" s="8"/>
      <c r="B1456" s="12" t="s">
        <v>248</v>
      </c>
      <c r="C1456" s="200" t="s">
        <v>1686</v>
      </c>
      <c r="D1456" s="8" t="s">
        <v>7</v>
      </c>
      <c r="E1456" s="11">
        <v>1</v>
      </c>
      <c r="F1456" s="7">
        <f>TRUNC(10.34,2)</f>
        <v>10.34</v>
      </c>
      <c r="G1456" s="7">
        <f>TRUNC(E1456*F1456,2)</f>
        <v>10.34</v>
      </c>
      <c r="H1456" s="7"/>
      <c r="I1456" s="11"/>
    </row>
    <row r="1457" spans="1:9" ht="15">
      <c r="A1457" s="8"/>
      <c r="B1457" s="12" t="s">
        <v>71</v>
      </c>
      <c r="C1457" s="200" t="s">
        <v>72</v>
      </c>
      <c r="D1457" s="8" t="s">
        <v>47</v>
      </c>
      <c r="E1457" s="11">
        <v>0.1232</v>
      </c>
      <c r="F1457" s="7">
        <f>TRUNC(29.27,2)</f>
        <v>29.27</v>
      </c>
      <c r="G1457" s="7">
        <f>TRUNC(E1457*F1457,2)</f>
        <v>3.6</v>
      </c>
      <c r="H1457" s="7"/>
      <c r="I1457" s="11"/>
    </row>
    <row r="1458" spans="1:9" ht="15">
      <c r="A1458" s="8"/>
      <c r="B1458" s="12" t="s">
        <v>177</v>
      </c>
      <c r="C1458" s="200" t="s">
        <v>178</v>
      </c>
      <c r="D1458" s="8" t="s">
        <v>47</v>
      </c>
      <c r="E1458" s="11">
        <v>0.1232</v>
      </c>
      <c r="F1458" s="7">
        <f>TRUNC(24.08,2)</f>
        <v>24.08</v>
      </c>
      <c r="G1458" s="7">
        <f>TRUNC(E1458*F1458,2)</f>
        <v>2.96</v>
      </c>
      <c r="H1458" s="7"/>
      <c r="I1458" s="11"/>
    </row>
    <row r="1459" spans="1:9" ht="30">
      <c r="A1459" s="8"/>
      <c r="B1459" s="12" t="s">
        <v>451</v>
      </c>
      <c r="C1459" s="200" t="s">
        <v>452</v>
      </c>
      <c r="D1459" s="8" t="s">
        <v>63</v>
      </c>
      <c r="E1459" s="11">
        <v>0.0844</v>
      </c>
      <c r="F1459" s="7">
        <f>TRUNC(0.9,2)</f>
        <v>0.9</v>
      </c>
      <c r="G1459" s="7">
        <f>TRUNC(E1459*F1459,2)</f>
        <v>0.07</v>
      </c>
      <c r="H1459" s="7"/>
      <c r="I1459" s="11"/>
    </row>
    <row r="1460" spans="1:9" ht="15">
      <c r="A1460" s="8"/>
      <c r="B1460" s="12"/>
      <c r="C1460" s="200"/>
      <c r="D1460" s="8"/>
      <c r="E1460" s="11" t="s">
        <v>33</v>
      </c>
      <c r="F1460" s="7"/>
      <c r="G1460" s="7">
        <f>TRUNC(SUM(G1456:G1459),2)</f>
        <v>16.97</v>
      </c>
      <c r="H1460" s="7"/>
      <c r="I1460" s="11"/>
    </row>
    <row r="1461" spans="1:9" s="203" customFormat="1" ht="15.75">
      <c r="A1461" s="263" t="s">
        <v>18</v>
      </c>
      <c r="B1461" s="264"/>
      <c r="C1461" s="265"/>
      <c r="D1461" s="263"/>
      <c r="E1461" s="266"/>
      <c r="F1461" s="267"/>
      <c r="G1461" s="482" t="s">
        <v>100</v>
      </c>
      <c r="H1461" s="483"/>
      <c r="I1461" s="267"/>
    </row>
    <row r="1462" spans="1:9" ht="14.25" customHeight="1">
      <c r="A1462" s="99" t="s">
        <v>27</v>
      </c>
      <c r="B1462" s="100"/>
      <c r="C1462" s="484" t="s">
        <v>101</v>
      </c>
      <c r="D1462" s="484"/>
      <c r="E1462" s="484"/>
      <c r="F1462" s="484"/>
      <c r="G1462" s="484"/>
      <c r="H1462" s="484"/>
      <c r="I1462" s="484"/>
    </row>
    <row r="1463" spans="1:9" ht="45">
      <c r="A1463" s="103" t="s">
        <v>99</v>
      </c>
      <c r="B1463" s="110" t="s">
        <v>560</v>
      </c>
      <c r="C1463" s="210" t="s">
        <v>561</v>
      </c>
      <c r="D1463" s="103" t="s">
        <v>23</v>
      </c>
      <c r="E1463" s="111">
        <v>294.75</v>
      </c>
      <c r="F1463" s="111">
        <f>TRUNC(F1464,2)</f>
        <v>2.55</v>
      </c>
      <c r="G1463" s="111">
        <f>TRUNC(F1463*1.2882,2)</f>
        <v>3.28</v>
      </c>
      <c r="H1463" s="111">
        <f>TRUNC(F1463*E1463,2)</f>
        <v>751.61</v>
      </c>
      <c r="I1463" s="111">
        <f>TRUNC(E1463*G1463,2)</f>
        <v>966.78</v>
      </c>
    </row>
    <row r="1464" spans="1:9" ht="45">
      <c r="A1464" s="8"/>
      <c r="B1464" s="12" t="s">
        <v>560</v>
      </c>
      <c r="C1464" s="200" t="s">
        <v>561</v>
      </c>
      <c r="D1464" s="8" t="s">
        <v>23</v>
      </c>
      <c r="E1464" s="11">
        <v>1</v>
      </c>
      <c r="F1464" s="7">
        <f>G1469</f>
        <v>2.55</v>
      </c>
      <c r="G1464" s="7">
        <f>TRUNC(E1464*F1464,2)</f>
        <v>2.55</v>
      </c>
      <c r="H1464" s="7"/>
      <c r="I1464" s="11"/>
    </row>
    <row r="1465" spans="1:9" ht="15">
      <c r="A1465" s="8"/>
      <c r="B1465" s="12" t="s">
        <v>562</v>
      </c>
      <c r="C1465" s="200" t="s">
        <v>563</v>
      </c>
      <c r="D1465" s="8" t="s">
        <v>23</v>
      </c>
      <c r="E1465" s="11">
        <v>1</v>
      </c>
      <c r="F1465" s="7">
        <f>TRUNC(1,2)</f>
        <v>1</v>
      </c>
      <c r="G1465" s="7">
        <f>TRUNC(E1465*F1465,2)</f>
        <v>1</v>
      </c>
      <c r="H1465" s="7"/>
      <c r="I1465" s="11"/>
    </row>
    <row r="1466" spans="1:9" ht="15">
      <c r="A1466" s="8"/>
      <c r="B1466" s="12" t="s">
        <v>564</v>
      </c>
      <c r="C1466" s="200" t="s">
        <v>565</v>
      </c>
      <c r="D1466" s="8" t="s">
        <v>7</v>
      </c>
      <c r="E1466" s="11">
        <v>0.0014</v>
      </c>
      <c r="F1466" s="7">
        <f>TRUNC(5.1,2)</f>
        <v>5.1</v>
      </c>
      <c r="G1466" s="7">
        <f>TRUNC(E1466*F1466,2)</f>
        <v>0</v>
      </c>
      <c r="H1466" s="7"/>
      <c r="I1466" s="11"/>
    </row>
    <row r="1467" spans="1:9" ht="30">
      <c r="A1467" s="8"/>
      <c r="B1467" s="12" t="s">
        <v>45</v>
      </c>
      <c r="C1467" s="200" t="s">
        <v>46</v>
      </c>
      <c r="D1467" s="8" t="s">
        <v>47</v>
      </c>
      <c r="E1467" s="11">
        <v>0.0412</v>
      </c>
      <c r="F1467" s="7">
        <f>TRUNC(15.87,2)</f>
        <v>15.87</v>
      </c>
      <c r="G1467" s="7">
        <f>TRUNC(E1467*F1467,2)</f>
        <v>0.65</v>
      </c>
      <c r="H1467" s="7"/>
      <c r="I1467" s="11"/>
    </row>
    <row r="1468" spans="1:9" ht="30">
      <c r="A1468" s="8"/>
      <c r="B1468" s="12" t="s">
        <v>566</v>
      </c>
      <c r="C1468" s="200" t="s">
        <v>567</v>
      </c>
      <c r="D1468" s="8" t="s">
        <v>47</v>
      </c>
      <c r="E1468" s="11">
        <v>0.0412</v>
      </c>
      <c r="F1468" s="7">
        <f>TRUNC(21.96,2)</f>
        <v>21.96</v>
      </c>
      <c r="G1468" s="7">
        <f>TRUNC(E1468*F1468,2)</f>
        <v>0.9</v>
      </c>
      <c r="H1468" s="7"/>
      <c r="I1468" s="11"/>
    </row>
    <row r="1469" spans="1:9" ht="15">
      <c r="A1469" s="8"/>
      <c r="B1469" s="12"/>
      <c r="C1469" s="200"/>
      <c r="D1469" s="8"/>
      <c r="E1469" s="11" t="s">
        <v>33</v>
      </c>
      <c r="F1469" s="7"/>
      <c r="G1469" s="7">
        <f>TRUNC(SUM(G1465:G1468),2)</f>
        <v>2.55</v>
      </c>
      <c r="H1469" s="7"/>
      <c r="I1469" s="11"/>
    </row>
    <row r="1470" spans="1:9" ht="45">
      <c r="A1470" s="103" t="s">
        <v>102</v>
      </c>
      <c r="B1470" s="110" t="s">
        <v>568</v>
      </c>
      <c r="C1470" s="210" t="s">
        <v>569</v>
      </c>
      <c r="D1470" s="103" t="s">
        <v>23</v>
      </c>
      <c r="E1470" s="111">
        <v>1800</v>
      </c>
      <c r="F1470" s="111">
        <f>TRUNC(F1471,2)</f>
        <v>3.45</v>
      </c>
      <c r="G1470" s="111">
        <f>TRUNC(F1470*1.2882,2)</f>
        <v>4.44</v>
      </c>
      <c r="H1470" s="111">
        <f>TRUNC(F1470*E1470,2)</f>
        <v>6210</v>
      </c>
      <c r="I1470" s="111">
        <f>TRUNC(E1470*G1470,2)</f>
        <v>7992</v>
      </c>
    </row>
    <row r="1471" spans="1:9" ht="45">
      <c r="A1471" s="8"/>
      <c r="B1471" s="12" t="s">
        <v>568</v>
      </c>
      <c r="C1471" s="200" t="s">
        <v>569</v>
      </c>
      <c r="D1471" s="8" t="s">
        <v>23</v>
      </c>
      <c r="E1471" s="11">
        <v>1</v>
      </c>
      <c r="F1471" s="7">
        <f>G1476</f>
        <v>3.45</v>
      </c>
      <c r="G1471" s="7">
        <f>TRUNC(E1471*F1471,2)</f>
        <v>3.45</v>
      </c>
      <c r="H1471" s="7"/>
      <c r="I1471" s="11"/>
    </row>
    <row r="1472" spans="1:9" ht="15">
      <c r="A1472" s="8"/>
      <c r="B1472" s="12" t="s">
        <v>570</v>
      </c>
      <c r="C1472" s="200" t="s">
        <v>571</v>
      </c>
      <c r="D1472" s="8" t="s">
        <v>23</v>
      </c>
      <c r="E1472" s="11">
        <v>1</v>
      </c>
      <c r="F1472" s="7">
        <f>TRUNC(1.51,2)</f>
        <v>1.51</v>
      </c>
      <c r="G1472" s="7">
        <f>TRUNC(E1472*F1472,2)</f>
        <v>1.51</v>
      </c>
      <c r="H1472" s="7"/>
      <c r="I1472" s="11"/>
    </row>
    <row r="1473" spans="1:9" ht="15">
      <c r="A1473" s="8"/>
      <c r="B1473" s="12" t="s">
        <v>564</v>
      </c>
      <c r="C1473" s="200" t="s">
        <v>565</v>
      </c>
      <c r="D1473" s="8" t="s">
        <v>7</v>
      </c>
      <c r="E1473" s="11">
        <v>0.0014</v>
      </c>
      <c r="F1473" s="7">
        <f>TRUNC(5.1,2)</f>
        <v>5.1</v>
      </c>
      <c r="G1473" s="7">
        <f>TRUNC(E1473*F1473,2)</f>
        <v>0</v>
      </c>
      <c r="H1473" s="7"/>
      <c r="I1473" s="11"/>
    </row>
    <row r="1474" spans="1:9" ht="30">
      <c r="A1474" s="8"/>
      <c r="B1474" s="12" t="s">
        <v>45</v>
      </c>
      <c r="C1474" s="200" t="s">
        <v>46</v>
      </c>
      <c r="D1474" s="8" t="s">
        <v>47</v>
      </c>
      <c r="E1474" s="11">
        <v>0.051500000000000004</v>
      </c>
      <c r="F1474" s="7">
        <f>TRUNC(15.87,2)</f>
        <v>15.87</v>
      </c>
      <c r="G1474" s="7">
        <f>TRUNC(E1474*F1474,2)</f>
        <v>0.81</v>
      </c>
      <c r="H1474" s="7"/>
      <c r="I1474" s="11"/>
    </row>
    <row r="1475" spans="1:9" ht="30">
      <c r="A1475" s="8"/>
      <c r="B1475" s="12" t="s">
        <v>566</v>
      </c>
      <c r="C1475" s="200" t="s">
        <v>567</v>
      </c>
      <c r="D1475" s="8" t="s">
        <v>47</v>
      </c>
      <c r="E1475" s="11">
        <v>0.051500000000000004</v>
      </c>
      <c r="F1475" s="7">
        <f>TRUNC(21.96,2)</f>
        <v>21.96</v>
      </c>
      <c r="G1475" s="7">
        <f>TRUNC(E1475*F1475,2)</f>
        <v>1.13</v>
      </c>
      <c r="H1475" s="7"/>
      <c r="I1475" s="11"/>
    </row>
    <row r="1476" spans="1:9" ht="15">
      <c r="A1476" s="8"/>
      <c r="B1476" s="12"/>
      <c r="C1476" s="200"/>
      <c r="D1476" s="8"/>
      <c r="E1476" s="11" t="s">
        <v>33</v>
      </c>
      <c r="F1476" s="7"/>
      <c r="G1476" s="7">
        <f>TRUNC(SUM(G1472:G1475),2)</f>
        <v>3.45</v>
      </c>
      <c r="H1476" s="7"/>
      <c r="I1476" s="11"/>
    </row>
    <row r="1477" spans="1:9" ht="45">
      <c r="A1477" s="103" t="s">
        <v>103</v>
      </c>
      <c r="B1477" s="110" t="s">
        <v>572</v>
      </c>
      <c r="C1477" s="210" t="s">
        <v>573</v>
      </c>
      <c r="D1477" s="103" t="s">
        <v>23</v>
      </c>
      <c r="E1477" s="111">
        <v>400</v>
      </c>
      <c r="F1477" s="111">
        <f>TRUNC(F1478,2)</f>
        <v>4.82</v>
      </c>
      <c r="G1477" s="111">
        <f>TRUNC(F1477*1.2882,2)</f>
        <v>6.2</v>
      </c>
      <c r="H1477" s="111">
        <f>TRUNC(F1477*E1477,2)</f>
        <v>1928</v>
      </c>
      <c r="I1477" s="111">
        <f>TRUNC(E1477*G1477,2)</f>
        <v>2480</v>
      </c>
    </row>
    <row r="1478" spans="1:9" ht="45">
      <c r="A1478" s="8"/>
      <c r="B1478" s="12" t="s">
        <v>572</v>
      </c>
      <c r="C1478" s="200" t="s">
        <v>573</v>
      </c>
      <c r="D1478" s="8" t="s">
        <v>23</v>
      </c>
      <c r="E1478" s="11">
        <v>1</v>
      </c>
      <c r="F1478" s="7">
        <f>G1483</f>
        <v>4.82</v>
      </c>
      <c r="G1478" s="7">
        <f>TRUNC(E1478*F1478,2)</f>
        <v>4.82</v>
      </c>
      <c r="H1478" s="7"/>
      <c r="I1478" s="11"/>
    </row>
    <row r="1479" spans="1:9" ht="15">
      <c r="A1479" s="8"/>
      <c r="B1479" s="12" t="s">
        <v>574</v>
      </c>
      <c r="C1479" s="200" t="s">
        <v>575</v>
      </c>
      <c r="D1479" s="8" t="s">
        <v>23</v>
      </c>
      <c r="E1479" s="11">
        <v>1</v>
      </c>
      <c r="F1479" s="7">
        <f>TRUNC(2.4673,2)</f>
        <v>2.46</v>
      </c>
      <c r="G1479" s="7">
        <f>TRUNC(E1479*F1479,2)</f>
        <v>2.46</v>
      </c>
      <c r="H1479" s="7"/>
      <c r="I1479" s="11"/>
    </row>
    <row r="1480" spans="1:9" ht="15">
      <c r="A1480" s="8"/>
      <c r="B1480" s="12" t="s">
        <v>564</v>
      </c>
      <c r="C1480" s="200" t="s">
        <v>565</v>
      </c>
      <c r="D1480" s="8" t="s">
        <v>7</v>
      </c>
      <c r="E1480" s="11">
        <v>0.0014</v>
      </c>
      <c r="F1480" s="7">
        <f>TRUNC(5.1,2)</f>
        <v>5.1</v>
      </c>
      <c r="G1480" s="7">
        <f>TRUNC(E1480*F1480,2)</f>
        <v>0</v>
      </c>
      <c r="H1480" s="7"/>
      <c r="I1480" s="11"/>
    </row>
    <row r="1481" spans="1:9" ht="30">
      <c r="A1481" s="8"/>
      <c r="B1481" s="12" t="s">
        <v>45</v>
      </c>
      <c r="C1481" s="200" t="s">
        <v>46</v>
      </c>
      <c r="D1481" s="8" t="s">
        <v>47</v>
      </c>
      <c r="E1481" s="11">
        <v>0.06283</v>
      </c>
      <c r="F1481" s="7">
        <f>TRUNC(15.87,2)</f>
        <v>15.87</v>
      </c>
      <c r="G1481" s="7">
        <f>TRUNC(E1481*F1481,2)</f>
        <v>0.99</v>
      </c>
      <c r="H1481" s="7"/>
      <c r="I1481" s="11"/>
    </row>
    <row r="1482" spans="1:9" ht="30">
      <c r="A1482" s="8"/>
      <c r="B1482" s="12" t="s">
        <v>566</v>
      </c>
      <c r="C1482" s="200" t="s">
        <v>567</v>
      </c>
      <c r="D1482" s="8" t="s">
        <v>47</v>
      </c>
      <c r="E1482" s="11">
        <v>0.06283</v>
      </c>
      <c r="F1482" s="7">
        <f>TRUNC(21.96,2)</f>
        <v>21.96</v>
      </c>
      <c r="G1482" s="7">
        <f>TRUNC(E1482*F1482,2)</f>
        <v>1.37</v>
      </c>
      <c r="H1482" s="7"/>
      <c r="I1482" s="11"/>
    </row>
    <row r="1483" spans="1:9" ht="15">
      <c r="A1483" s="8"/>
      <c r="B1483" s="12"/>
      <c r="C1483" s="200"/>
      <c r="D1483" s="8"/>
      <c r="E1483" s="11" t="s">
        <v>33</v>
      </c>
      <c r="F1483" s="7"/>
      <c r="G1483" s="7">
        <f>TRUNC(SUM(G1479:G1482),2)</f>
        <v>4.82</v>
      </c>
      <c r="H1483" s="7"/>
      <c r="I1483" s="11"/>
    </row>
    <row r="1484" spans="1:9" ht="45">
      <c r="A1484" s="103" t="s">
        <v>104</v>
      </c>
      <c r="B1484" s="110" t="s">
        <v>576</v>
      </c>
      <c r="C1484" s="210" t="s">
        <v>577</v>
      </c>
      <c r="D1484" s="103" t="s">
        <v>23</v>
      </c>
      <c r="E1484" s="111">
        <v>200</v>
      </c>
      <c r="F1484" s="111">
        <f>TRUNC(F1485,2)</f>
        <v>6.36</v>
      </c>
      <c r="G1484" s="111">
        <f>TRUNC(F1484*1.2882,2)</f>
        <v>8.19</v>
      </c>
      <c r="H1484" s="111">
        <f>TRUNC(F1484*E1484,2)</f>
        <v>1272</v>
      </c>
      <c r="I1484" s="111">
        <f>TRUNC(E1484*G1484,2)</f>
        <v>1638</v>
      </c>
    </row>
    <row r="1485" spans="1:9" ht="45">
      <c r="A1485" s="8"/>
      <c r="B1485" s="12" t="s">
        <v>576</v>
      </c>
      <c r="C1485" s="200" t="s">
        <v>577</v>
      </c>
      <c r="D1485" s="8" t="s">
        <v>23</v>
      </c>
      <c r="E1485" s="11">
        <v>1</v>
      </c>
      <c r="F1485" s="7">
        <f>G1490</f>
        <v>6.36</v>
      </c>
      <c r="G1485" s="7">
        <f>TRUNC(E1485*F1485,2)</f>
        <v>6.36</v>
      </c>
      <c r="H1485" s="7"/>
      <c r="I1485" s="11"/>
    </row>
    <row r="1486" spans="1:9" ht="15">
      <c r="A1486" s="8"/>
      <c r="B1486" s="12" t="s">
        <v>578</v>
      </c>
      <c r="C1486" s="200" t="s">
        <v>579</v>
      </c>
      <c r="D1486" s="8" t="s">
        <v>23</v>
      </c>
      <c r="E1486" s="11">
        <v>1</v>
      </c>
      <c r="F1486" s="7">
        <f>TRUNC(3.6494,2)</f>
        <v>3.64</v>
      </c>
      <c r="G1486" s="7">
        <f>TRUNC(E1486*F1486,2)</f>
        <v>3.64</v>
      </c>
      <c r="H1486" s="7"/>
      <c r="I1486" s="11"/>
    </row>
    <row r="1487" spans="1:9" ht="15">
      <c r="A1487" s="8"/>
      <c r="B1487" s="12" t="s">
        <v>564</v>
      </c>
      <c r="C1487" s="200" t="s">
        <v>565</v>
      </c>
      <c r="D1487" s="8" t="s">
        <v>7</v>
      </c>
      <c r="E1487" s="11">
        <v>0.0014</v>
      </c>
      <c r="F1487" s="7">
        <f>TRUNC(5.1,2)</f>
        <v>5.1</v>
      </c>
      <c r="G1487" s="7">
        <f>TRUNC(E1487*F1487,2)</f>
        <v>0</v>
      </c>
      <c r="H1487" s="7"/>
      <c r="I1487" s="11"/>
    </row>
    <row r="1488" spans="1:9" ht="30">
      <c r="A1488" s="8"/>
      <c r="B1488" s="12" t="s">
        <v>45</v>
      </c>
      <c r="C1488" s="200" t="s">
        <v>46</v>
      </c>
      <c r="D1488" s="8" t="s">
        <v>47</v>
      </c>
      <c r="E1488" s="11">
        <v>0.07210000000000001</v>
      </c>
      <c r="F1488" s="7">
        <f>TRUNC(15.87,2)</f>
        <v>15.87</v>
      </c>
      <c r="G1488" s="7">
        <f>TRUNC(E1488*F1488,2)</f>
        <v>1.14</v>
      </c>
      <c r="H1488" s="7"/>
      <c r="I1488" s="11"/>
    </row>
    <row r="1489" spans="1:9" ht="30">
      <c r="A1489" s="8"/>
      <c r="B1489" s="12" t="s">
        <v>566</v>
      </c>
      <c r="C1489" s="200" t="s">
        <v>567</v>
      </c>
      <c r="D1489" s="8" t="s">
        <v>47</v>
      </c>
      <c r="E1489" s="11">
        <v>0.07210000000000001</v>
      </c>
      <c r="F1489" s="7">
        <f>TRUNC(21.96,2)</f>
        <v>21.96</v>
      </c>
      <c r="G1489" s="7">
        <f>TRUNC(E1489*F1489,2)</f>
        <v>1.58</v>
      </c>
      <c r="H1489" s="7"/>
      <c r="I1489" s="11"/>
    </row>
    <row r="1490" spans="1:9" ht="15">
      <c r="A1490" s="8"/>
      <c r="B1490" s="12"/>
      <c r="C1490" s="200"/>
      <c r="D1490" s="8"/>
      <c r="E1490" s="11" t="s">
        <v>33</v>
      </c>
      <c r="F1490" s="7"/>
      <c r="G1490" s="7">
        <f>TRUNC(SUM(G1486:G1489),2)</f>
        <v>6.36</v>
      </c>
      <c r="H1490" s="7"/>
      <c r="I1490" s="11"/>
    </row>
    <row r="1491" spans="1:9" ht="45">
      <c r="A1491" s="103" t="s">
        <v>105</v>
      </c>
      <c r="B1491" s="110" t="s">
        <v>580</v>
      </c>
      <c r="C1491" s="210" t="s">
        <v>581</v>
      </c>
      <c r="D1491" s="103" t="s">
        <v>23</v>
      </c>
      <c r="E1491" s="111">
        <v>200</v>
      </c>
      <c r="F1491" s="111">
        <f>TRUNC(F1492,2)</f>
        <v>9.28</v>
      </c>
      <c r="G1491" s="111">
        <f>TRUNC(F1491*1.2882,2)</f>
        <v>11.95</v>
      </c>
      <c r="H1491" s="111">
        <f>TRUNC(F1491*E1491,2)</f>
        <v>1856</v>
      </c>
      <c r="I1491" s="111">
        <f>TRUNC(E1491*G1491,2)</f>
        <v>2390</v>
      </c>
    </row>
    <row r="1492" spans="1:9" ht="45">
      <c r="A1492" s="8"/>
      <c r="B1492" s="12" t="s">
        <v>580</v>
      </c>
      <c r="C1492" s="200" t="s">
        <v>581</v>
      </c>
      <c r="D1492" s="8" t="s">
        <v>23</v>
      </c>
      <c r="E1492" s="11">
        <v>1</v>
      </c>
      <c r="F1492" s="7">
        <f>G1497</f>
        <v>9.28</v>
      </c>
      <c r="G1492" s="7">
        <f>TRUNC(E1492*F1492,2)</f>
        <v>9.28</v>
      </c>
      <c r="H1492" s="7"/>
      <c r="I1492" s="11"/>
    </row>
    <row r="1493" spans="1:9" ht="15">
      <c r="A1493" s="8"/>
      <c r="B1493" s="12" t="s">
        <v>582</v>
      </c>
      <c r="C1493" s="200" t="s">
        <v>583</v>
      </c>
      <c r="D1493" s="8" t="s">
        <v>23</v>
      </c>
      <c r="E1493" s="11">
        <v>1</v>
      </c>
      <c r="F1493" s="7">
        <f>TRUNC(6.1857,2)</f>
        <v>6.18</v>
      </c>
      <c r="G1493" s="7">
        <f>TRUNC(E1493*F1493,2)</f>
        <v>6.18</v>
      </c>
      <c r="H1493" s="7"/>
      <c r="I1493" s="11"/>
    </row>
    <row r="1494" spans="1:9" ht="15">
      <c r="A1494" s="8"/>
      <c r="B1494" s="12" t="s">
        <v>564</v>
      </c>
      <c r="C1494" s="200" t="s">
        <v>565</v>
      </c>
      <c r="D1494" s="8" t="s">
        <v>7</v>
      </c>
      <c r="E1494" s="11">
        <v>0.0014</v>
      </c>
      <c r="F1494" s="7">
        <f>TRUNC(5.1,2)</f>
        <v>5.1</v>
      </c>
      <c r="G1494" s="7">
        <f>TRUNC(E1494*F1494,2)</f>
        <v>0</v>
      </c>
      <c r="H1494" s="7"/>
      <c r="I1494" s="11"/>
    </row>
    <row r="1495" spans="1:9" ht="30">
      <c r="A1495" s="8"/>
      <c r="B1495" s="12" t="s">
        <v>45</v>
      </c>
      <c r="C1495" s="200" t="s">
        <v>46</v>
      </c>
      <c r="D1495" s="8" t="s">
        <v>47</v>
      </c>
      <c r="E1495" s="11">
        <v>0.0824</v>
      </c>
      <c r="F1495" s="7">
        <f>TRUNC(15.87,2)</f>
        <v>15.87</v>
      </c>
      <c r="G1495" s="7">
        <f>TRUNC(E1495*F1495,2)</f>
        <v>1.3</v>
      </c>
      <c r="H1495" s="7"/>
      <c r="I1495" s="11"/>
    </row>
    <row r="1496" spans="1:9" ht="30">
      <c r="A1496" s="8"/>
      <c r="B1496" s="12" t="s">
        <v>566</v>
      </c>
      <c r="C1496" s="200" t="s">
        <v>567</v>
      </c>
      <c r="D1496" s="8" t="s">
        <v>47</v>
      </c>
      <c r="E1496" s="11">
        <v>0.0824</v>
      </c>
      <c r="F1496" s="7">
        <f>TRUNC(21.96,2)</f>
        <v>21.96</v>
      </c>
      <c r="G1496" s="7">
        <f>TRUNC(E1496*F1496,2)</f>
        <v>1.8</v>
      </c>
      <c r="H1496" s="7"/>
      <c r="I1496" s="11"/>
    </row>
    <row r="1497" spans="1:9" ht="15">
      <c r="A1497" s="8"/>
      <c r="B1497" s="12"/>
      <c r="C1497" s="200"/>
      <c r="D1497" s="8"/>
      <c r="E1497" s="11" t="s">
        <v>33</v>
      </c>
      <c r="F1497" s="7"/>
      <c r="G1497" s="7">
        <f>TRUNC(SUM(G1493:G1496),2)</f>
        <v>9.28</v>
      </c>
      <c r="H1497" s="7"/>
      <c r="I1497" s="11"/>
    </row>
    <row r="1498" spans="1:9" ht="45">
      <c r="A1498" s="103" t="s">
        <v>106</v>
      </c>
      <c r="B1498" s="110" t="s">
        <v>584</v>
      </c>
      <c r="C1498" s="210" t="s">
        <v>585</v>
      </c>
      <c r="D1498" s="103" t="s">
        <v>23</v>
      </c>
      <c r="E1498" s="111">
        <v>100</v>
      </c>
      <c r="F1498" s="111">
        <f>TRUNC(F1499,2)</f>
        <v>13.24</v>
      </c>
      <c r="G1498" s="111">
        <f>TRUNC(F1498*1.2882,2)</f>
        <v>17.05</v>
      </c>
      <c r="H1498" s="111">
        <f>TRUNC(F1498*E1498,2)</f>
        <v>1324</v>
      </c>
      <c r="I1498" s="111">
        <f>TRUNC(E1498*G1498,2)</f>
        <v>1705</v>
      </c>
    </row>
    <row r="1499" spans="1:9" ht="45">
      <c r="A1499" s="8"/>
      <c r="B1499" s="12" t="s">
        <v>584</v>
      </c>
      <c r="C1499" s="200" t="s">
        <v>585</v>
      </c>
      <c r="D1499" s="8" t="s">
        <v>23</v>
      </c>
      <c r="E1499" s="11">
        <v>1</v>
      </c>
      <c r="F1499" s="7">
        <f>G1504</f>
        <v>13.24</v>
      </c>
      <c r="G1499" s="7">
        <f>TRUNC(E1499*F1499,2)</f>
        <v>13.24</v>
      </c>
      <c r="H1499" s="7"/>
      <c r="I1499" s="11"/>
    </row>
    <row r="1500" spans="1:9" ht="15">
      <c r="A1500" s="8"/>
      <c r="B1500" s="12" t="s">
        <v>564</v>
      </c>
      <c r="C1500" s="200" t="s">
        <v>565</v>
      </c>
      <c r="D1500" s="8" t="s">
        <v>7</v>
      </c>
      <c r="E1500" s="11">
        <v>0.0014</v>
      </c>
      <c r="F1500" s="7">
        <f>TRUNC(5.1,2)</f>
        <v>5.1</v>
      </c>
      <c r="G1500" s="7">
        <f>TRUNC(E1500*F1500,2)</f>
        <v>0</v>
      </c>
      <c r="H1500" s="7"/>
      <c r="I1500" s="11"/>
    </row>
    <row r="1501" spans="1:9" ht="15">
      <c r="A1501" s="8"/>
      <c r="B1501" s="12" t="s">
        <v>586</v>
      </c>
      <c r="C1501" s="200" t="s">
        <v>587</v>
      </c>
      <c r="D1501" s="8" t="s">
        <v>23</v>
      </c>
      <c r="E1501" s="11">
        <v>1</v>
      </c>
      <c r="F1501" s="7">
        <f>TRUNC(9.74,2)</f>
        <v>9.74</v>
      </c>
      <c r="G1501" s="7">
        <f>TRUNC(E1501*F1501,2)</f>
        <v>9.74</v>
      </c>
      <c r="H1501" s="7"/>
      <c r="I1501" s="11"/>
    </row>
    <row r="1502" spans="1:9" ht="30">
      <c r="A1502" s="8"/>
      <c r="B1502" s="12" t="s">
        <v>45</v>
      </c>
      <c r="C1502" s="200" t="s">
        <v>46</v>
      </c>
      <c r="D1502" s="8" t="s">
        <v>47</v>
      </c>
      <c r="E1502" s="11">
        <v>0.0927</v>
      </c>
      <c r="F1502" s="7">
        <f>TRUNC(15.87,2)</f>
        <v>15.87</v>
      </c>
      <c r="G1502" s="7">
        <f>TRUNC(E1502*F1502,2)</f>
        <v>1.47</v>
      </c>
      <c r="H1502" s="7"/>
      <c r="I1502" s="11"/>
    </row>
    <row r="1503" spans="1:9" ht="30">
      <c r="A1503" s="8"/>
      <c r="B1503" s="12" t="s">
        <v>566</v>
      </c>
      <c r="C1503" s="200" t="s">
        <v>567</v>
      </c>
      <c r="D1503" s="8" t="s">
        <v>47</v>
      </c>
      <c r="E1503" s="11">
        <v>0.0927</v>
      </c>
      <c r="F1503" s="7">
        <f>TRUNC(21.96,2)</f>
        <v>21.96</v>
      </c>
      <c r="G1503" s="7">
        <f>TRUNC(E1503*F1503,2)</f>
        <v>2.03</v>
      </c>
      <c r="H1503" s="7"/>
      <c r="I1503" s="11"/>
    </row>
    <row r="1504" spans="1:9" ht="15">
      <c r="A1504" s="8"/>
      <c r="B1504" s="12"/>
      <c r="C1504" s="200"/>
      <c r="D1504" s="8"/>
      <c r="E1504" s="11" t="s">
        <v>33</v>
      </c>
      <c r="F1504" s="7"/>
      <c r="G1504" s="7">
        <f>TRUNC(SUM(G1500:G1503),2)</f>
        <v>13.24</v>
      </c>
      <c r="H1504" s="7"/>
      <c r="I1504" s="11"/>
    </row>
    <row r="1505" spans="1:9" ht="45">
      <c r="A1505" s="103" t="s">
        <v>164</v>
      </c>
      <c r="B1505" s="110" t="s">
        <v>588</v>
      </c>
      <c r="C1505" s="210" t="s">
        <v>589</v>
      </c>
      <c r="D1505" s="103" t="s">
        <v>23</v>
      </c>
      <c r="E1505" s="111">
        <v>50</v>
      </c>
      <c r="F1505" s="111">
        <f>TRUNC(F1506,2)</f>
        <v>27.16</v>
      </c>
      <c r="G1505" s="111">
        <f>TRUNC(F1505*1.2882,2)</f>
        <v>34.98</v>
      </c>
      <c r="H1505" s="111">
        <f>TRUNC(F1505*E1505,2)</f>
        <v>1358</v>
      </c>
      <c r="I1505" s="111">
        <f>TRUNC(E1505*G1505,2)</f>
        <v>1749</v>
      </c>
    </row>
    <row r="1506" spans="1:9" ht="45">
      <c r="A1506" s="8"/>
      <c r="B1506" s="12" t="s">
        <v>588</v>
      </c>
      <c r="C1506" s="200" t="s">
        <v>589</v>
      </c>
      <c r="D1506" s="8" t="s">
        <v>23</v>
      </c>
      <c r="E1506" s="11">
        <v>1</v>
      </c>
      <c r="F1506" s="7">
        <f>G1511</f>
        <v>27.16</v>
      </c>
      <c r="G1506" s="7">
        <f>TRUNC(E1506*F1506,2)</f>
        <v>27.16</v>
      </c>
      <c r="H1506" s="7"/>
      <c r="I1506" s="11"/>
    </row>
    <row r="1507" spans="1:9" ht="15">
      <c r="A1507" s="8"/>
      <c r="B1507" s="12" t="s">
        <v>590</v>
      </c>
      <c r="C1507" s="200" t="s">
        <v>591</v>
      </c>
      <c r="D1507" s="8" t="s">
        <v>23</v>
      </c>
      <c r="E1507" s="11">
        <v>1</v>
      </c>
      <c r="F1507" s="7">
        <f>TRUNC(21.32,2)</f>
        <v>21.32</v>
      </c>
      <c r="G1507" s="7">
        <f>TRUNC(E1507*F1507,2)</f>
        <v>21.32</v>
      </c>
      <c r="H1507" s="7"/>
      <c r="I1507" s="11"/>
    </row>
    <row r="1508" spans="1:9" ht="15">
      <c r="A1508" s="8"/>
      <c r="B1508" s="12" t="s">
        <v>564</v>
      </c>
      <c r="C1508" s="200" t="s">
        <v>565</v>
      </c>
      <c r="D1508" s="8" t="s">
        <v>7</v>
      </c>
      <c r="E1508" s="11">
        <v>0.0014</v>
      </c>
      <c r="F1508" s="7">
        <f>TRUNC(5.1,2)</f>
        <v>5.1</v>
      </c>
      <c r="G1508" s="7">
        <f>TRUNC(E1508*F1508,2)</f>
        <v>0</v>
      </c>
      <c r="H1508" s="7"/>
      <c r="I1508" s="11"/>
    </row>
    <row r="1509" spans="1:9" ht="30">
      <c r="A1509" s="8"/>
      <c r="B1509" s="12" t="s">
        <v>45</v>
      </c>
      <c r="C1509" s="200" t="s">
        <v>46</v>
      </c>
      <c r="D1509" s="8" t="s">
        <v>47</v>
      </c>
      <c r="E1509" s="11">
        <v>0.1545</v>
      </c>
      <c r="F1509" s="7">
        <f>TRUNC(15.87,2)</f>
        <v>15.87</v>
      </c>
      <c r="G1509" s="7">
        <f>TRUNC(E1509*F1509,2)</f>
        <v>2.45</v>
      </c>
      <c r="H1509" s="7"/>
      <c r="I1509" s="11"/>
    </row>
    <row r="1510" spans="1:9" ht="30">
      <c r="A1510" s="8"/>
      <c r="B1510" s="12" t="s">
        <v>566</v>
      </c>
      <c r="C1510" s="200" t="s">
        <v>567</v>
      </c>
      <c r="D1510" s="8" t="s">
        <v>47</v>
      </c>
      <c r="E1510" s="11">
        <v>0.1545</v>
      </c>
      <c r="F1510" s="7">
        <f>TRUNC(21.96,2)</f>
        <v>21.96</v>
      </c>
      <c r="G1510" s="7">
        <f>TRUNC(E1510*F1510,2)</f>
        <v>3.39</v>
      </c>
      <c r="H1510" s="7"/>
      <c r="I1510" s="11"/>
    </row>
    <row r="1511" spans="1:9" ht="15">
      <c r="A1511" s="8"/>
      <c r="B1511" s="12"/>
      <c r="C1511" s="200"/>
      <c r="D1511" s="8"/>
      <c r="E1511" s="11" t="s">
        <v>33</v>
      </c>
      <c r="F1511" s="7"/>
      <c r="G1511" s="7">
        <f>TRUNC(SUM(G1507:G1510),2)</f>
        <v>27.16</v>
      </c>
      <c r="H1511" s="7"/>
      <c r="I1511" s="11"/>
    </row>
    <row r="1512" spans="1:9" ht="45">
      <c r="A1512" s="103" t="s">
        <v>165</v>
      </c>
      <c r="B1512" s="110" t="s">
        <v>592</v>
      </c>
      <c r="C1512" s="210" t="s">
        <v>593</v>
      </c>
      <c r="D1512" s="103" t="s">
        <v>23</v>
      </c>
      <c r="E1512" s="111">
        <v>50</v>
      </c>
      <c r="F1512" s="111">
        <f>TRUNC(F1513,2)</f>
        <v>53.32</v>
      </c>
      <c r="G1512" s="111">
        <f>TRUNC(F1512*1.2882,2)</f>
        <v>68.68</v>
      </c>
      <c r="H1512" s="111">
        <f>TRUNC(F1512*E1512,2)</f>
        <v>2666</v>
      </c>
      <c r="I1512" s="111">
        <f>TRUNC(E1512*G1512,2)</f>
        <v>3434</v>
      </c>
    </row>
    <row r="1513" spans="1:9" ht="45">
      <c r="A1513" s="8"/>
      <c r="B1513" s="12" t="s">
        <v>592</v>
      </c>
      <c r="C1513" s="200" t="s">
        <v>593</v>
      </c>
      <c r="D1513" s="8" t="s">
        <v>23</v>
      </c>
      <c r="E1513" s="11">
        <v>1</v>
      </c>
      <c r="F1513" s="7">
        <f>G1518</f>
        <v>53.32</v>
      </c>
      <c r="G1513" s="7">
        <f>TRUNC(E1513*F1513,2)</f>
        <v>53.32</v>
      </c>
      <c r="H1513" s="7"/>
      <c r="I1513" s="11"/>
    </row>
    <row r="1514" spans="1:9" ht="15">
      <c r="A1514" s="8"/>
      <c r="B1514" s="12" t="s">
        <v>594</v>
      </c>
      <c r="C1514" s="200" t="s">
        <v>595</v>
      </c>
      <c r="D1514" s="8" t="s">
        <v>23</v>
      </c>
      <c r="E1514" s="11">
        <v>1</v>
      </c>
      <c r="F1514" s="7">
        <f>TRUNC(43.5909,2)</f>
        <v>43.59</v>
      </c>
      <c r="G1514" s="7">
        <f>TRUNC(E1514*F1514,2)</f>
        <v>43.59</v>
      </c>
      <c r="H1514" s="7"/>
      <c r="I1514" s="11"/>
    </row>
    <row r="1515" spans="1:9" ht="15">
      <c r="A1515" s="8"/>
      <c r="B1515" s="12" t="s">
        <v>564</v>
      </c>
      <c r="C1515" s="200" t="s">
        <v>565</v>
      </c>
      <c r="D1515" s="8" t="s">
        <v>7</v>
      </c>
      <c r="E1515" s="11">
        <v>0.0014</v>
      </c>
      <c r="F1515" s="7">
        <f>TRUNC(5.1,2)</f>
        <v>5.1</v>
      </c>
      <c r="G1515" s="7">
        <f>TRUNC(E1515*F1515,2)</f>
        <v>0</v>
      </c>
      <c r="H1515" s="7"/>
      <c r="I1515" s="11"/>
    </row>
    <row r="1516" spans="1:9" ht="30">
      <c r="A1516" s="8"/>
      <c r="B1516" s="12" t="s">
        <v>45</v>
      </c>
      <c r="C1516" s="200" t="s">
        <v>46</v>
      </c>
      <c r="D1516" s="8" t="s">
        <v>47</v>
      </c>
      <c r="E1516" s="11">
        <v>0.2575</v>
      </c>
      <c r="F1516" s="7">
        <f>TRUNC(15.87,2)</f>
        <v>15.87</v>
      </c>
      <c r="G1516" s="7">
        <f>TRUNC(E1516*F1516,2)</f>
        <v>4.08</v>
      </c>
      <c r="H1516" s="7"/>
      <c r="I1516" s="11"/>
    </row>
    <row r="1517" spans="1:9" ht="30">
      <c r="A1517" s="8"/>
      <c r="B1517" s="12" t="s">
        <v>566</v>
      </c>
      <c r="C1517" s="200" t="s">
        <v>567</v>
      </c>
      <c r="D1517" s="8" t="s">
        <v>47</v>
      </c>
      <c r="E1517" s="11">
        <v>0.2575</v>
      </c>
      <c r="F1517" s="7">
        <f>TRUNC(21.96,2)</f>
        <v>21.96</v>
      </c>
      <c r="G1517" s="7">
        <f>TRUNC(E1517*F1517,2)</f>
        <v>5.65</v>
      </c>
      <c r="H1517" s="7"/>
      <c r="I1517" s="11"/>
    </row>
    <row r="1518" spans="1:9" ht="15">
      <c r="A1518" s="8"/>
      <c r="B1518" s="12"/>
      <c r="C1518" s="200"/>
      <c r="D1518" s="8"/>
      <c r="E1518" s="11" t="s">
        <v>33</v>
      </c>
      <c r="F1518" s="7"/>
      <c r="G1518" s="7">
        <f>TRUNC(SUM(G1514:G1517),2)</f>
        <v>53.32</v>
      </c>
      <c r="H1518" s="7"/>
      <c r="I1518" s="11"/>
    </row>
    <row r="1519" spans="1:9" ht="30">
      <c r="A1519" s="103" t="s">
        <v>166</v>
      </c>
      <c r="B1519" s="110" t="s">
        <v>596</v>
      </c>
      <c r="C1519" s="210" t="s">
        <v>597</v>
      </c>
      <c r="D1519" s="103" t="s">
        <v>23</v>
      </c>
      <c r="E1519" s="111">
        <v>200</v>
      </c>
      <c r="F1519" s="111">
        <f>TRUNC(F1520,2)</f>
        <v>6.71</v>
      </c>
      <c r="G1519" s="111">
        <f>TRUNC(F1519*1.2882,2)</f>
        <v>8.64</v>
      </c>
      <c r="H1519" s="111">
        <f>TRUNC(F1519*E1519,2)</f>
        <v>1342</v>
      </c>
      <c r="I1519" s="111">
        <f>TRUNC(E1519*G1519,2)</f>
        <v>1728</v>
      </c>
    </row>
    <row r="1520" spans="1:9" ht="30">
      <c r="A1520" s="8"/>
      <c r="B1520" s="12" t="s">
        <v>596</v>
      </c>
      <c r="C1520" s="200" t="s">
        <v>597</v>
      </c>
      <c r="D1520" s="8" t="s">
        <v>23</v>
      </c>
      <c r="E1520" s="11">
        <v>1</v>
      </c>
      <c r="F1520" s="7">
        <f>G1525</f>
        <v>6.71</v>
      </c>
      <c r="G1520" s="7">
        <f>TRUNC(E1520*F1520,2)</f>
        <v>6.71</v>
      </c>
      <c r="H1520" s="7"/>
      <c r="I1520" s="11"/>
    </row>
    <row r="1521" spans="1:9" ht="15">
      <c r="A1521" s="8"/>
      <c r="B1521" s="12" t="s">
        <v>598</v>
      </c>
      <c r="C1521" s="200" t="s">
        <v>599</v>
      </c>
      <c r="D1521" s="8" t="s">
        <v>44</v>
      </c>
      <c r="E1521" s="11">
        <v>0.0016</v>
      </c>
      <c r="F1521" s="7">
        <f>TRUNC(27.9,2)</f>
        <v>27.9</v>
      </c>
      <c r="G1521" s="7">
        <f>TRUNC(E1521*F1521,2)</f>
        <v>0.04</v>
      </c>
      <c r="H1521" s="7"/>
      <c r="I1521" s="11"/>
    </row>
    <row r="1522" spans="1:9" ht="15">
      <c r="A1522" s="8"/>
      <c r="B1522" s="12" t="s">
        <v>600</v>
      </c>
      <c r="C1522" s="200" t="s">
        <v>601</v>
      </c>
      <c r="D1522" s="8" t="s">
        <v>23</v>
      </c>
      <c r="E1522" s="11">
        <v>1.1</v>
      </c>
      <c r="F1522" s="7">
        <f>TRUNC(2.45,2)</f>
        <v>2.45</v>
      </c>
      <c r="G1522" s="7">
        <f>TRUNC(E1522*F1522,2)</f>
        <v>2.69</v>
      </c>
      <c r="H1522" s="7"/>
      <c r="I1522" s="11"/>
    </row>
    <row r="1523" spans="1:9" ht="15">
      <c r="A1523" s="8"/>
      <c r="B1523" s="12" t="s">
        <v>602</v>
      </c>
      <c r="C1523" s="200" t="s">
        <v>603</v>
      </c>
      <c r="D1523" s="8" t="s">
        <v>47</v>
      </c>
      <c r="E1523" s="11">
        <v>0.072</v>
      </c>
      <c r="F1523" s="7">
        <f>TRUNC(30.3,2)</f>
        <v>30.3</v>
      </c>
      <c r="G1523" s="7">
        <f>TRUNC(E1523*F1523,2)</f>
        <v>2.18</v>
      </c>
      <c r="H1523" s="7"/>
      <c r="I1523" s="11"/>
    </row>
    <row r="1524" spans="1:9" ht="15">
      <c r="A1524" s="8"/>
      <c r="B1524" s="12" t="s">
        <v>604</v>
      </c>
      <c r="C1524" s="200" t="s">
        <v>605</v>
      </c>
      <c r="D1524" s="8" t="s">
        <v>47</v>
      </c>
      <c r="E1524" s="11">
        <v>0.072</v>
      </c>
      <c r="F1524" s="7">
        <f>TRUNC(25.03,2)</f>
        <v>25.03</v>
      </c>
      <c r="G1524" s="7">
        <f>TRUNC(E1524*F1524,2)</f>
        <v>1.8</v>
      </c>
      <c r="H1524" s="7"/>
      <c r="I1524" s="11"/>
    </row>
    <row r="1525" spans="1:9" ht="15">
      <c r="A1525" s="8"/>
      <c r="B1525" s="12"/>
      <c r="C1525" s="200"/>
      <c r="D1525" s="8"/>
      <c r="E1525" s="11" t="s">
        <v>33</v>
      </c>
      <c r="F1525" s="7"/>
      <c r="G1525" s="7">
        <f>TRUNC(SUM(G1521:G1524),2)</f>
        <v>6.71</v>
      </c>
      <c r="H1525" s="7"/>
      <c r="I1525" s="11"/>
    </row>
    <row r="1526" spans="1:9" ht="30">
      <c r="A1526" s="103" t="s">
        <v>167</v>
      </c>
      <c r="B1526" s="110" t="s">
        <v>606</v>
      </c>
      <c r="C1526" s="210" t="s">
        <v>607</v>
      </c>
      <c r="D1526" s="103" t="s">
        <v>23</v>
      </c>
      <c r="E1526" s="111">
        <v>600</v>
      </c>
      <c r="F1526" s="111">
        <f>TRUNC(F1527,2)</f>
        <v>7.77</v>
      </c>
      <c r="G1526" s="111">
        <f>TRUNC(F1526*1.2882,2)</f>
        <v>10</v>
      </c>
      <c r="H1526" s="111">
        <f>TRUNC(F1526*E1526,2)</f>
        <v>4662</v>
      </c>
      <c r="I1526" s="111">
        <f>TRUNC(E1526*G1526,2)</f>
        <v>6000</v>
      </c>
    </row>
    <row r="1527" spans="1:9" ht="30">
      <c r="A1527" s="8"/>
      <c r="B1527" s="12" t="s">
        <v>606</v>
      </c>
      <c r="C1527" s="200" t="s">
        <v>607</v>
      </c>
      <c r="D1527" s="8" t="s">
        <v>23</v>
      </c>
      <c r="E1527" s="11">
        <v>1</v>
      </c>
      <c r="F1527" s="7">
        <f>G1532</f>
        <v>7.77</v>
      </c>
      <c r="G1527" s="7">
        <f>TRUNC(E1527*F1527,2)</f>
        <v>7.77</v>
      </c>
      <c r="H1527" s="7"/>
      <c r="I1527" s="11"/>
    </row>
    <row r="1528" spans="1:9" ht="15">
      <c r="A1528" s="8"/>
      <c r="B1528" s="12" t="s">
        <v>598</v>
      </c>
      <c r="C1528" s="200" t="s">
        <v>599</v>
      </c>
      <c r="D1528" s="8" t="s">
        <v>44</v>
      </c>
      <c r="E1528" s="11">
        <v>0.0018</v>
      </c>
      <c r="F1528" s="7">
        <f>TRUNC(27.9,2)</f>
        <v>27.9</v>
      </c>
      <c r="G1528" s="7">
        <f>TRUNC(E1528*F1528,2)</f>
        <v>0.05</v>
      </c>
      <c r="H1528" s="7"/>
      <c r="I1528" s="11"/>
    </row>
    <row r="1529" spans="1:9" ht="15">
      <c r="A1529" s="8"/>
      <c r="B1529" s="12" t="s">
        <v>608</v>
      </c>
      <c r="C1529" s="200" t="s">
        <v>609</v>
      </c>
      <c r="D1529" s="8" t="s">
        <v>23</v>
      </c>
      <c r="E1529" s="11">
        <v>1.1</v>
      </c>
      <c r="F1529" s="7">
        <f>TRUNC(2.66,2)</f>
        <v>2.66</v>
      </c>
      <c r="G1529" s="7">
        <f>TRUNC(E1529*F1529,2)</f>
        <v>2.92</v>
      </c>
      <c r="H1529" s="7"/>
      <c r="I1529" s="11"/>
    </row>
    <row r="1530" spans="1:9" ht="15">
      <c r="A1530" s="8"/>
      <c r="B1530" s="12" t="s">
        <v>602</v>
      </c>
      <c r="C1530" s="200" t="s">
        <v>603</v>
      </c>
      <c r="D1530" s="8" t="s">
        <v>47</v>
      </c>
      <c r="E1530" s="11">
        <v>0.087</v>
      </c>
      <c r="F1530" s="7">
        <f>TRUNC(30.3,2)</f>
        <v>30.3</v>
      </c>
      <c r="G1530" s="7">
        <f>TRUNC(E1530*F1530,2)</f>
        <v>2.63</v>
      </c>
      <c r="H1530" s="7"/>
      <c r="I1530" s="11"/>
    </row>
    <row r="1531" spans="1:9" ht="15">
      <c r="A1531" s="8"/>
      <c r="B1531" s="12" t="s">
        <v>604</v>
      </c>
      <c r="C1531" s="200" t="s">
        <v>605</v>
      </c>
      <c r="D1531" s="8" t="s">
        <v>47</v>
      </c>
      <c r="E1531" s="11">
        <v>0.087</v>
      </c>
      <c r="F1531" s="7">
        <f>TRUNC(25.03,2)</f>
        <v>25.03</v>
      </c>
      <c r="G1531" s="7">
        <f>TRUNC(E1531*F1531,2)</f>
        <v>2.17</v>
      </c>
      <c r="H1531" s="7"/>
      <c r="I1531" s="11"/>
    </row>
    <row r="1532" spans="1:9" ht="15">
      <c r="A1532" s="8"/>
      <c r="B1532" s="12"/>
      <c r="C1532" s="200"/>
      <c r="D1532" s="8"/>
      <c r="E1532" s="11" t="s">
        <v>33</v>
      </c>
      <c r="F1532" s="7"/>
      <c r="G1532" s="7">
        <f>TRUNC(SUM(G1528:G1531),2)</f>
        <v>7.77</v>
      </c>
      <c r="H1532" s="7"/>
      <c r="I1532" s="11"/>
    </row>
    <row r="1533" spans="1:9" ht="30">
      <c r="A1533" s="103" t="s">
        <v>168</v>
      </c>
      <c r="B1533" s="110" t="s">
        <v>610</v>
      </c>
      <c r="C1533" s="210" t="s">
        <v>611</v>
      </c>
      <c r="D1533" s="103" t="s">
        <v>23</v>
      </c>
      <c r="E1533" s="111">
        <v>200</v>
      </c>
      <c r="F1533" s="111">
        <f>TRUNC(F1534,2)</f>
        <v>10.96</v>
      </c>
      <c r="G1533" s="111">
        <f>TRUNC(F1533*1.2882,2)</f>
        <v>14.11</v>
      </c>
      <c r="H1533" s="111">
        <f>TRUNC(F1533*E1533,2)</f>
        <v>2192</v>
      </c>
      <c r="I1533" s="111">
        <f>TRUNC(E1533*G1533,2)</f>
        <v>2822</v>
      </c>
    </row>
    <row r="1534" spans="1:9" ht="30">
      <c r="A1534" s="8"/>
      <c r="B1534" s="12" t="s">
        <v>610</v>
      </c>
      <c r="C1534" s="200" t="s">
        <v>611</v>
      </c>
      <c r="D1534" s="8" t="s">
        <v>23</v>
      </c>
      <c r="E1534" s="11">
        <v>1</v>
      </c>
      <c r="F1534" s="7">
        <f>G1539</f>
        <v>10.96</v>
      </c>
      <c r="G1534" s="7">
        <f>TRUNC(E1534*F1534,2)</f>
        <v>10.96</v>
      </c>
      <c r="H1534" s="7"/>
      <c r="I1534" s="11"/>
    </row>
    <row r="1535" spans="1:9" ht="15">
      <c r="A1535" s="8"/>
      <c r="B1535" s="12" t="s">
        <v>598</v>
      </c>
      <c r="C1535" s="200" t="s">
        <v>599</v>
      </c>
      <c r="D1535" s="8" t="s">
        <v>44</v>
      </c>
      <c r="E1535" s="11">
        <v>0.002</v>
      </c>
      <c r="F1535" s="7">
        <f>TRUNC(27.9,2)</f>
        <v>27.9</v>
      </c>
      <c r="G1535" s="7">
        <f>TRUNC(E1535*F1535,2)</f>
        <v>0.05</v>
      </c>
      <c r="H1535" s="7"/>
      <c r="I1535" s="11"/>
    </row>
    <row r="1536" spans="1:9" ht="15">
      <c r="A1536" s="8"/>
      <c r="B1536" s="12" t="s">
        <v>612</v>
      </c>
      <c r="C1536" s="200" t="s">
        <v>613</v>
      </c>
      <c r="D1536" s="8" t="s">
        <v>23</v>
      </c>
      <c r="E1536" s="11">
        <v>1.1</v>
      </c>
      <c r="F1536" s="7">
        <f>TRUNC(4.55,2)</f>
        <v>4.55</v>
      </c>
      <c r="G1536" s="7">
        <f>TRUNC(E1536*F1536,2)</f>
        <v>5</v>
      </c>
      <c r="H1536" s="7"/>
      <c r="I1536" s="11"/>
    </row>
    <row r="1537" spans="1:9" ht="15">
      <c r="A1537" s="8"/>
      <c r="B1537" s="12" t="s">
        <v>602</v>
      </c>
      <c r="C1537" s="200" t="s">
        <v>603</v>
      </c>
      <c r="D1537" s="8" t="s">
        <v>47</v>
      </c>
      <c r="E1537" s="11">
        <v>0.107</v>
      </c>
      <c r="F1537" s="7">
        <f>TRUNC(30.3,2)</f>
        <v>30.3</v>
      </c>
      <c r="G1537" s="7">
        <f>TRUNC(E1537*F1537,2)</f>
        <v>3.24</v>
      </c>
      <c r="H1537" s="7"/>
      <c r="I1537" s="11"/>
    </row>
    <row r="1538" spans="1:9" ht="15">
      <c r="A1538" s="8"/>
      <c r="B1538" s="12" t="s">
        <v>604</v>
      </c>
      <c r="C1538" s="200" t="s">
        <v>605</v>
      </c>
      <c r="D1538" s="8" t="s">
        <v>47</v>
      </c>
      <c r="E1538" s="11">
        <v>0.107</v>
      </c>
      <c r="F1538" s="7">
        <f>TRUNC(25.03,2)</f>
        <v>25.03</v>
      </c>
      <c r="G1538" s="7">
        <f>TRUNC(E1538*F1538,2)</f>
        <v>2.67</v>
      </c>
      <c r="H1538" s="7"/>
      <c r="I1538" s="11"/>
    </row>
    <row r="1539" spans="1:9" ht="15">
      <c r="A1539" s="8"/>
      <c r="B1539" s="12"/>
      <c r="C1539" s="200"/>
      <c r="D1539" s="8"/>
      <c r="E1539" s="11" t="s">
        <v>33</v>
      </c>
      <c r="F1539" s="7"/>
      <c r="G1539" s="7">
        <f>TRUNC(SUM(G1535:G1538),2)</f>
        <v>10.96</v>
      </c>
      <c r="H1539" s="7"/>
      <c r="I1539" s="11"/>
    </row>
    <row r="1540" spans="1:9" ht="30">
      <c r="A1540" s="103" t="s">
        <v>169</v>
      </c>
      <c r="B1540" s="110" t="s">
        <v>614</v>
      </c>
      <c r="C1540" s="210" t="s">
        <v>615</v>
      </c>
      <c r="D1540" s="103" t="s">
        <v>23</v>
      </c>
      <c r="E1540" s="111">
        <v>50</v>
      </c>
      <c r="F1540" s="111">
        <f>TRUNC(F1541,2)</f>
        <v>14.77</v>
      </c>
      <c r="G1540" s="111">
        <f>TRUNC(F1540*1.2882,2)</f>
        <v>19.02</v>
      </c>
      <c r="H1540" s="111">
        <f>TRUNC(F1540*E1540,2)</f>
        <v>738.5</v>
      </c>
      <c r="I1540" s="111">
        <f>TRUNC(E1540*G1540,2)</f>
        <v>951</v>
      </c>
    </row>
    <row r="1541" spans="1:9" ht="30">
      <c r="A1541" s="8"/>
      <c r="B1541" s="12" t="s">
        <v>614</v>
      </c>
      <c r="C1541" s="200" t="s">
        <v>615</v>
      </c>
      <c r="D1541" s="8" t="s">
        <v>23</v>
      </c>
      <c r="E1541" s="11">
        <v>1</v>
      </c>
      <c r="F1541" s="7">
        <f>G1546</f>
        <v>14.77</v>
      </c>
      <c r="G1541" s="7">
        <f>TRUNC(E1541*F1541,2)</f>
        <v>14.77</v>
      </c>
      <c r="H1541" s="7"/>
      <c r="I1541" s="11"/>
    </row>
    <row r="1542" spans="1:9" ht="15">
      <c r="A1542" s="8"/>
      <c r="B1542" s="12" t="s">
        <v>598</v>
      </c>
      <c r="C1542" s="200" t="s">
        <v>599</v>
      </c>
      <c r="D1542" s="8" t="s">
        <v>44</v>
      </c>
      <c r="E1542" s="11">
        <v>0.0023</v>
      </c>
      <c r="F1542" s="7">
        <f>TRUNC(27.9,2)</f>
        <v>27.9</v>
      </c>
      <c r="G1542" s="7">
        <f>TRUNC(E1542*F1542,2)</f>
        <v>0.06</v>
      </c>
      <c r="H1542" s="7"/>
      <c r="I1542" s="11"/>
    </row>
    <row r="1543" spans="1:9" ht="30">
      <c r="A1543" s="8"/>
      <c r="B1543" s="12" t="s">
        <v>616</v>
      </c>
      <c r="C1543" s="200" t="s">
        <v>617</v>
      </c>
      <c r="D1543" s="8" t="s">
        <v>23</v>
      </c>
      <c r="E1543" s="11">
        <v>1.1</v>
      </c>
      <c r="F1543" s="7">
        <f>TRUNC(6.8,2)</f>
        <v>6.8</v>
      </c>
      <c r="G1543" s="7">
        <f>TRUNC(E1543*F1543,2)</f>
        <v>7.48</v>
      </c>
      <c r="H1543" s="7"/>
      <c r="I1543" s="11"/>
    </row>
    <row r="1544" spans="1:9" ht="15">
      <c r="A1544" s="8"/>
      <c r="B1544" s="12" t="s">
        <v>602</v>
      </c>
      <c r="C1544" s="200" t="s">
        <v>603</v>
      </c>
      <c r="D1544" s="8" t="s">
        <v>47</v>
      </c>
      <c r="E1544" s="11">
        <v>0.131</v>
      </c>
      <c r="F1544" s="7">
        <f>TRUNC(30.3,2)</f>
        <v>30.3</v>
      </c>
      <c r="G1544" s="7">
        <f>TRUNC(E1544*F1544,2)</f>
        <v>3.96</v>
      </c>
      <c r="H1544" s="7"/>
      <c r="I1544" s="11"/>
    </row>
    <row r="1545" spans="1:9" ht="15">
      <c r="A1545" s="8"/>
      <c r="B1545" s="12" t="s">
        <v>604</v>
      </c>
      <c r="C1545" s="200" t="s">
        <v>605</v>
      </c>
      <c r="D1545" s="8" t="s">
        <v>47</v>
      </c>
      <c r="E1545" s="11">
        <v>0.131</v>
      </c>
      <c r="F1545" s="7">
        <f>TRUNC(25.03,2)</f>
        <v>25.03</v>
      </c>
      <c r="G1545" s="7">
        <f>TRUNC(E1545*F1545,2)</f>
        <v>3.27</v>
      </c>
      <c r="H1545" s="7"/>
      <c r="I1545" s="11"/>
    </row>
    <row r="1546" spans="1:9" ht="15">
      <c r="A1546" s="8"/>
      <c r="B1546" s="12"/>
      <c r="C1546" s="200"/>
      <c r="D1546" s="8"/>
      <c r="E1546" s="11" t="s">
        <v>33</v>
      </c>
      <c r="F1546" s="7"/>
      <c r="G1546" s="7">
        <f>TRUNC(SUM(G1542:G1545),2)</f>
        <v>14.77</v>
      </c>
      <c r="H1546" s="7"/>
      <c r="I1546" s="11"/>
    </row>
    <row r="1547" spans="1:9" ht="30">
      <c r="A1547" s="103" t="s">
        <v>170</v>
      </c>
      <c r="B1547" s="110" t="s">
        <v>618</v>
      </c>
      <c r="C1547" s="210" t="s">
        <v>619</v>
      </c>
      <c r="D1547" s="103" t="s">
        <v>23</v>
      </c>
      <c r="E1547" s="111">
        <v>50</v>
      </c>
      <c r="F1547" s="111">
        <f>TRUNC(F1548,2)</f>
        <v>12.29</v>
      </c>
      <c r="G1547" s="111">
        <f>TRUNC(F1547*1.2882,2)</f>
        <v>15.83</v>
      </c>
      <c r="H1547" s="111">
        <f>TRUNC(F1547*E1547,2)</f>
        <v>614.5</v>
      </c>
      <c r="I1547" s="111">
        <f>TRUNC(E1547*G1547,2)</f>
        <v>791.5</v>
      </c>
    </row>
    <row r="1548" spans="1:9" ht="30">
      <c r="A1548" s="8"/>
      <c r="B1548" s="12" t="s">
        <v>618</v>
      </c>
      <c r="C1548" s="200" t="s">
        <v>619</v>
      </c>
      <c r="D1548" s="8" t="s">
        <v>23</v>
      </c>
      <c r="E1548" s="11">
        <v>1</v>
      </c>
      <c r="F1548" s="7">
        <f>G1552</f>
        <v>12.29</v>
      </c>
      <c r="G1548" s="7">
        <f>TRUNC(E1548*F1548,2)</f>
        <v>12.29</v>
      </c>
      <c r="H1548" s="7"/>
      <c r="I1548" s="11"/>
    </row>
    <row r="1549" spans="1:9" ht="30">
      <c r="A1549" s="8"/>
      <c r="B1549" s="12" t="s">
        <v>620</v>
      </c>
      <c r="C1549" s="200" t="s">
        <v>621</v>
      </c>
      <c r="D1549" s="8" t="s">
        <v>23</v>
      </c>
      <c r="E1549" s="11">
        <v>1.1</v>
      </c>
      <c r="F1549" s="7">
        <f>TRUNC(7.8,2)</f>
        <v>7.8</v>
      </c>
      <c r="G1549" s="7">
        <f>TRUNC(E1549*F1549,2)</f>
        <v>8.58</v>
      </c>
      <c r="H1549" s="7"/>
      <c r="I1549" s="11"/>
    </row>
    <row r="1550" spans="1:9" ht="15">
      <c r="A1550" s="8"/>
      <c r="B1550" s="12" t="s">
        <v>602</v>
      </c>
      <c r="C1550" s="200" t="s">
        <v>603</v>
      </c>
      <c r="D1550" s="8" t="s">
        <v>47</v>
      </c>
      <c r="E1550" s="11">
        <v>0.0672</v>
      </c>
      <c r="F1550" s="7">
        <f>TRUNC(30.3,2)</f>
        <v>30.3</v>
      </c>
      <c r="G1550" s="7">
        <f>TRUNC(E1550*F1550,2)</f>
        <v>2.03</v>
      </c>
      <c r="H1550" s="7"/>
      <c r="I1550" s="11"/>
    </row>
    <row r="1551" spans="1:9" ht="15">
      <c r="A1551" s="8"/>
      <c r="B1551" s="12" t="s">
        <v>604</v>
      </c>
      <c r="C1551" s="200" t="s">
        <v>605</v>
      </c>
      <c r="D1551" s="8" t="s">
        <v>47</v>
      </c>
      <c r="E1551" s="11">
        <v>0.0672</v>
      </c>
      <c r="F1551" s="7">
        <f>TRUNC(25.03,2)</f>
        <v>25.03</v>
      </c>
      <c r="G1551" s="7">
        <f>TRUNC(E1551*F1551,2)</f>
        <v>1.68</v>
      </c>
      <c r="H1551" s="7"/>
      <c r="I1551" s="11"/>
    </row>
    <row r="1552" spans="1:9" ht="15">
      <c r="A1552" s="8"/>
      <c r="B1552" s="12"/>
      <c r="C1552" s="200"/>
      <c r="D1552" s="8"/>
      <c r="E1552" s="11" t="s">
        <v>33</v>
      </c>
      <c r="F1552" s="7"/>
      <c r="G1552" s="7">
        <f>TRUNC(SUM(G1549:G1551),2)</f>
        <v>12.29</v>
      </c>
      <c r="H1552" s="7"/>
      <c r="I1552" s="11"/>
    </row>
    <row r="1553" spans="1:9" ht="45">
      <c r="A1553" s="103" t="s">
        <v>622</v>
      </c>
      <c r="B1553" s="110" t="s">
        <v>623</v>
      </c>
      <c r="C1553" s="210" t="s">
        <v>624</v>
      </c>
      <c r="D1553" s="103" t="s">
        <v>7</v>
      </c>
      <c r="E1553" s="111">
        <v>76</v>
      </c>
      <c r="F1553" s="111">
        <f>TRUNC(F1554,2)</f>
        <v>90.28</v>
      </c>
      <c r="G1553" s="111">
        <f>TRUNC(F1553*1.2882,2)</f>
        <v>116.29</v>
      </c>
      <c r="H1553" s="111">
        <f>TRUNC(F1553*E1553,2)</f>
        <v>6861.28</v>
      </c>
      <c r="I1553" s="111">
        <f>TRUNC(E1553*G1553,2)</f>
        <v>8838.04</v>
      </c>
    </row>
    <row r="1554" spans="1:9" ht="45">
      <c r="A1554" s="8"/>
      <c r="B1554" s="12" t="s">
        <v>623</v>
      </c>
      <c r="C1554" s="200" t="s">
        <v>624</v>
      </c>
      <c r="D1554" s="8" t="s">
        <v>7</v>
      </c>
      <c r="E1554" s="11">
        <v>1</v>
      </c>
      <c r="F1554" s="7">
        <f>G1561</f>
        <v>90.28</v>
      </c>
      <c r="G1554" s="7">
        <f aca="true" t="shared" si="70" ref="G1554:G1560">TRUNC(E1554*F1554,2)</f>
        <v>90.28</v>
      </c>
      <c r="H1554" s="7"/>
      <c r="I1554" s="11"/>
    </row>
    <row r="1555" spans="1:9" ht="30">
      <c r="A1555" s="8"/>
      <c r="B1555" s="12" t="s">
        <v>625</v>
      </c>
      <c r="C1555" s="200" t="s">
        <v>626</v>
      </c>
      <c r="D1555" s="8" t="s">
        <v>7</v>
      </c>
      <c r="E1555" s="11">
        <v>1</v>
      </c>
      <c r="F1555" s="7">
        <f>TRUNC(18.49,2)</f>
        <v>18.49</v>
      </c>
      <c r="G1555" s="7">
        <f t="shared" si="70"/>
        <v>18.49</v>
      </c>
      <c r="H1555" s="7"/>
      <c r="I1555" s="11"/>
    </row>
    <row r="1556" spans="1:9" ht="15">
      <c r="A1556" s="8"/>
      <c r="B1556" s="12" t="s">
        <v>627</v>
      </c>
      <c r="C1556" s="200" t="s">
        <v>628</v>
      </c>
      <c r="D1556" s="8" t="s">
        <v>7</v>
      </c>
      <c r="E1556" s="11">
        <v>1</v>
      </c>
      <c r="F1556" s="7">
        <f>TRUNC(20.17,2)</f>
        <v>20.17</v>
      </c>
      <c r="G1556" s="7">
        <f t="shared" si="70"/>
        <v>20.17</v>
      </c>
      <c r="H1556" s="7"/>
      <c r="I1556" s="11"/>
    </row>
    <row r="1557" spans="1:9" ht="15">
      <c r="A1557" s="8"/>
      <c r="B1557" s="12" t="s">
        <v>629</v>
      </c>
      <c r="C1557" s="200" t="s">
        <v>630</v>
      </c>
      <c r="D1557" s="8" t="s">
        <v>7</v>
      </c>
      <c r="E1557" s="11">
        <v>1</v>
      </c>
      <c r="F1557" s="7">
        <f>TRUNC(2.28,2)</f>
        <v>2.28</v>
      </c>
      <c r="G1557" s="7">
        <f t="shared" si="70"/>
        <v>2.28</v>
      </c>
      <c r="H1557" s="7"/>
      <c r="I1557" s="11"/>
    </row>
    <row r="1558" spans="1:9" ht="15">
      <c r="A1558" s="8"/>
      <c r="B1558" s="12" t="s">
        <v>631</v>
      </c>
      <c r="C1558" s="200" t="s">
        <v>632</v>
      </c>
      <c r="D1558" s="8" t="s">
        <v>7</v>
      </c>
      <c r="E1558" s="11">
        <v>2</v>
      </c>
      <c r="F1558" s="7">
        <f>TRUNC(2.27,2)</f>
        <v>2.27</v>
      </c>
      <c r="G1558" s="7">
        <f t="shared" si="70"/>
        <v>4.54</v>
      </c>
      <c r="H1558" s="7"/>
      <c r="I1558" s="11"/>
    </row>
    <row r="1559" spans="1:9" ht="30">
      <c r="A1559" s="8"/>
      <c r="B1559" s="12" t="s">
        <v>45</v>
      </c>
      <c r="C1559" s="200" t="s">
        <v>46</v>
      </c>
      <c r="D1559" s="8" t="s">
        <v>47</v>
      </c>
      <c r="E1559" s="11">
        <v>1.1844999999999999</v>
      </c>
      <c r="F1559" s="7">
        <f>TRUNC(15.87,2)</f>
        <v>15.87</v>
      </c>
      <c r="G1559" s="7">
        <f t="shared" si="70"/>
        <v>18.79</v>
      </c>
      <c r="H1559" s="7"/>
      <c r="I1559" s="11"/>
    </row>
    <row r="1560" spans="1:9" ht="30">
      <c r="A1560" s="8"/>
      <c r="B1560" s="12" t="s">
        <v>566</v>
      </c>
      <c r="C1560" s="200" t="s">
        <v>567</v>
      </c>
      <c r="D1560" s="8" t="s">
        <v>47</v>
      </c>
      <c r="E1560" s="11">
        <v>1.1844999999999999</v>
      </c>
      <c r="F1560" s="7">
        <f>TRUNC(21.96,2)</f>
        <v>21.96</v>
      </c>
      <c r="G1560" s="7">
        <f t="shared" si="70"/>
        <v>26.01</v>
      </c>
      <c r="H1560" s="7"/>
      <c r="I1560" s="11"/>
    </row>
    <row r="1561" spans="1:9" ht="15">
      <c r="A1561" s="8"/>
      <c r="B1561" s="12"/>
      <c r="C1561" s="200"/>
      <c r="D1561" s="8"/>
      <c r="E1561" s="11" t="s">
        <v>33</v>
      </c>
      <c r="F1561" s="7"/>
      <c r="G1561" s="7">
        <f>TRUNC(SUM(G1555:G1560),2)</f>
        <v>90.28</v>
      </c>
      <c r="H1561" s="7"/>
      <c r="I1561" s="11"/>
    </row>
    <row r="1562" spans="1:9" ht="45">
      <c r="A1562" s="103" t="s">
        <v>637</v>
      </c>
      <c r="B1562" s="110" t="s">
        <v>633</v>
      </c>
      <c r="C1562" s="210" t="s">
        <v>634</v>
      </c>
      <c r="D1562" s="103" t="s">
        <v>7</v>
      </c>
      <c r="E1562" s="111">
        <v>2</v>
      </c>
      <c r="F1562" s="111">
        <f>TRUNC(F1563,2)</f>
        <v>127.01</v>
      </c>
      <c r="G1562" s="111">
        <f>TRUNC(F1562*1.2882,2)</f>
        <v>163.61</v>
      </c>
      <c r="H1562" s="111">
        <f>TRUNC(F1562*E1562,2)</f>
        <v>254.02</v>
      </c>
      <c r="I1562" s="111">
        <f>TRUNC(E1562*G1562,2)</f>
        <v>327.22</v>
      </c>
    </row>
    <row r="1563" spans="1:9" ht="45">
      <c r="A1563" s="8"/>
      <c r="B1563" s="12" t="s">
        <v>633</v>
      </c>
      <c r="C1563" s="200" t="s">
        <v>634</v>
      </c>
      <c r="D1563" s="8" t="s">
        <v>7</v>
      </c>
      <c r="E1563" s="11">
        <v>1</v>
      </c>
      <c r="F1563" s="7">
        <f>G1570</f>
        <v>127.01</v>
      </c>
      <c r="G1563" s="7">
        <f aca="true" t="shared" si="71" ref="G1563:G1569">TRUNC(E1563*F1563,2)</f>
        <v>127.01</v>
      </c>
      <c r="H1563" s="7"/>
      <c r="I1563" s="11"/>
    </row>
    <row r="1564" spans="1:9" ht="30">
      <c r="A1564" s="8"/>
      <c r="B1564" s="12" t="s">
        <v>635</v>
      </c>
      <c r="C1564" s="200" t="s">
        <v>636</v>
      </c>
      <c r="D1564" s="8" t="s">
        <v>7</v>
      </c>
      <c r="E1564" s="11">
        <v>1</v>
      </c>
      <c r="F1564" s="7">
        <f>TRUNC(28.18,2)</f>
        <v>28.18</v>
      </c>
      <c r="G1564" s="7">
        <f t="shared" si="71"/>
        <v>28.18</v>
      </c>
      <c r="H1564" s="7"/>
      <c r="I1564" s="11"/>
    </row>
    <row r="1565" spans="1:9" ht="15">
      <c r="A1565" s="8"/>
      <c r="B1565" s="12" t="s">
        <v>627</v>
      </c>
      <c r="C1565" s="200" t="s">
        <v>628</v>
      </c>
      <c r="D1565" s="8" t="s">
        <v>7</v>
      </c>
      <c r="E1565" s="11">
        <v>2</v>
      </c>
      <c r="F1565" s="7">
        <f>TRUNC(20.17,2)</f>
        <v>20.17</v>
      </c>
      <c r="G1565" s="7">
        <f t="shared" si="71"/>
        <v>40.34</v>
      </c>
      <c r="H1565" s="7"/>
      <c r="I1565" s="11"/>
    </row>
    <row r="1566" spans="1:9" ht="15">
      <c r="A1566" s="8"/>
      <c r="B1566" s="12" t="s">
        <v>629</v>
      </c>
      <c r="C1566" s="200" t="s">
        <v>630</v>
      </c>
      <c r="D1566" s="8" t="s">
        <v>7</v>
      </c>
      <c r="E1566" s="11">
        <v>1</v>
      </c>
      <c r="F1566" s="7">
        <f>TRUNC(2.28,2)</f>
        <v>2.28</v>
      </c>
      <c r="G1566" s="7">
        <f t="shared" si="71"/>
        <v>2.28</v>
      </c>
      <c r="H1566" s="7"/>
      <c r="I1566" s="11"/>
    </row>
    <row r="1567" spans="1:9" ht="15">
      <c r="A1567" s="8"/>
      <c r="B1567" s="12" t="s">
        <v>631</v>
      </c>
      <c r="C1567" s="200" t="s">
        <v>632</v>
      </c>
      <c r="D1567" s="8" t="s">
        <v>7</v>
      </c>
      <c r="E1567" s="11">
        <v>4</v>
      </c>
      <c r="F1567" s="7">
        <f>TRUNC(2.27,2)</f>
        <v>2.27</v>
      </c>
      <c r="G1567" s="7">
        <f t="shared" si="71"/>
        <v>9.08</v>
      </c>
      <c r="H1567" s="7"/>
      <c r="I1567" s="11"/>
    </row>
    <row r="1568" spans="1:9" ht="30">
      <c r="A1568" s="8"/>
      <c r="B1568" s="12" t="s">
        <v>45</v>
      </c>
      <c r="C1568" s="200" t="s">
        <v>46</v>
      </c>
      <c r="D1568" s="8" t="s">
        <v>47</v>
      </c>
      <c r="E1568" s="11">
        <v>1.2463</v>
      </c>
      <c r="F1568" s="7">
        <f>TRUNC(15.87,2)</f>
        <v>15.87</v>
      </c>
      <c r="G1568" s="7">
        <f t="shared" si="71"/>
        <v>19.77</v>
      </c>
      <c r="H1568" s="7"/>
      <c r="I1568" s="11"/>
    </row>
    <row r="1569" spans="1:9" ht="30">
      <c r="A1569" s="8"/>
      <c r="B1569" s="12" t="s">
        <v>566</v>
      </c>
      <c r="C1569" s="200" t="s">
        <v>567</v>
      </c>
      <c r="D1569" s="8" t="s">
        <v>47</v>
      </c>
      <c r="E1569" s="11">
        <v>1.2463</v>
      </c>
      <c r="F1569" s="7">
        <f>TRUNC(21.96,2)</f>
        <v>21.96</v>
      </c>
      <c r="G1569" s="7">
        <f t="shared" si="71"/>
        <v>27.36</v>
      </c>
      <c r="H1569" s="7"/>
      <c r="I1569" s="11"/>
    </row>
    <row r="1570" spans="1:9" ht="15">
      <c r="A1570" s="8"/>
      <c r="B1570" s="12"/>
      <c r="C1570" s="200"/>
      <c r="D1570" s="8"/>
      <c r="E1570" s="11" t="s">
        <v>33</v>
      </c>
      <c r="F1570" s="7"/>
      <c r="G1570" s="7">
        <f>TRUNC(SUM(G1564:G1569),2)</f>
        <v>127.01</v>
      </c>
      <c r="H1570" s="7"/>
      <c r="I1570" s="11"/>
    </row>
    <row r="1571" spans="1:9" ht="30">
      <c r="A1571" s="103" t="s">
        <v>638</v>
      </c>
      <c r="B1571" s="110" t="s">
        <v>1506</v>
      </c>
      <c r="C1571" s="210" t="s">
        <v>1507</v>
      </c>
      <c r="D1571" s="103" t="s">
        <v>7</v>
      </c>
      <c r="E1571" s="111">
        <v>4</v>
      </c>
      <c r="F1571" s="111">
        <f>TRUNC(F1572,2)</f>
        <v>109.77</v>
      </c>
      <c r="G1571" s="111">
        <f>TRUNC(F1571*1.2882,2)</f>
        <v>141.4</v>
      </c>
      <c r="H1571" s="111">
        <f>TRUNC(F1571*E1571,2)</f>
        <v>439.08</v>
      </c>
      <c r="I1571" s="111">
        <f>TRUNC(E1571*G1571,2)</f>
        <v>565.6</v>
      </c>
    </row>
    <row r="1572" spans="1:9" ht="30">
      <c r="A1572" s="8"/>
      <c r="B1572" s="12" t="s">
        <v>1506</v>
      </c>
      <c r="C1572" s="200" t="s">
        <v>1507</v>
      </c>
      <c r="D1572" s="8" t="s">
        <v>7</v>
      </c>
      <c r="E1572" s="11">
        <v>1</v>
      </c>
      <c r="F1572" s="7">
        <f>G1577</f>
        <v>109.77</v>
      </c>
      <c r="G1572" s="7">
        <f>TRUNC(E1572*F1572,2)</f>
        <v>109.77</v>
      </c>
      <c r="H1572" s="7"/>
      <c r="I1572" s="11"/>
    </row>
    <row r="1573" spans="1:9" ht="30">
      <c r="A1573" s="8"/>
      <c r="B1573" s="12" t="s">
        <v>1508</v>
      </c>
      <c r="C1573" s="200" t="s">
        <v>1509</v>
      </c>
      <c r="D1573" s="8" t="s">
        <v>7</v>
      </c>
      <c r="E1573" s="11">
        <v>1</v>
      </c>
      <c r="F1573" s="7">
        <f>TRUNC(70.58,2)</f>
        <v>70.58</v>
      </c>
      <c r="G1573" s="7">
        <f>TRUNC(E1573*F1573,2)</f>
        <v>70.58</v>
      </c>
      <c r="H1573" s="7"/>
      <c r="I1573" s="11"/>
    </row>
    <row r="1574" spans="1:9" ht="15">
      <c r="A1574" s="8"/>
      <c r="B1574" s="12" t="s">
        <v>1510</v>
      </c>
      <c r="C1574" s="200" t="s">
        <v>1511</v>
      </c>
      <c r="D1574" s="8" t="s">
        <v>7</v>
      </c>
      <c r="E1574" s="11">
        <v>1</v>
      </c>
      <c r="F1574" s="7">
        <f>TRUNC(16.73,2)</f>
        <v>16.73</v>
      </c>
      <c r="G1574" s="7">
        <f>TRUNC(E1574*F1574,2)</f>
        <v>16.73</v>
      </c>
      <c r="H1574" s="7"/>
      <c r="I1574" s="11"/>
    </row>
    <row r="1575" spans="1:9" ht="15">
      <c r="A1575" s="8"/>
      <c r="B1575" s="12" t="s">
        <v>602</v>
      </c>
      <c r="C1575" s="200" t="s">
        <v>603</v>
      </c>
      <c r="D1575" s="8" t="s">
        <v>47</v>
      </c>
      <c r="E1575" s="11">
        <v>0.5518</v>
      </c>
      <c r="F1575" s="7">
        <f>TRUNC(30.3,2)</f>
        <v>30.3</v>
      </c>
      <c r="G1575" s="7">
        <f>TRUNC(E1575*F1575,2)</f>
        <v>16.71</v>
      </c>
      <c r="H1575" s="7"/>
      <c r="I1575" s="11"/>
    </row>
    <row r="1576" spans="1:9" ht="15">
      <c r="A1576" s="8"/>
      <c r="B1576" s="12" t="s">
        <v>604</v>
      </c>
      <c r="C1576" s="200" t="s">
        <v>605</v>
      </c>
      <c r="D1576" s="8" t="s">
        <v>47</v>
      </c>
      <c r="E1576" s="11">
        <v>0.2299</v>
      </c>
      <c r="F1576" s="7">
        <f>TRUNC(25.03,2)</f>
        <v>25.03</v>
      </c>
      <c r="G1576" s="7">
        <f>TRUNC(E1576*F1576,2)</f>
        <v>5.75</v>
      </c>
      <c r="H1576" s="7"/>
      <c r="I1576" s="11"/>
    </row>
    <row r="1577" spans="1:9" ht="15">
      <c r="A1577" s="8"/>
      <c r="B1577" s="12"/>
      <c r="C1577" s="200"/>
      <c r="D1577" s="8"/>
      <c r="E1577" s="11" t="s">
        <v>33</v>
      </c>
      <c r="F1577" s="7"/>
      <c r="G1577" s="7">
        <f>TRUNC(SUM(G1573:G1576),2)</f>
        <v>109.77</v>
      </c>
      <c r="H1577" s="7"/>
      <c r="I1577" s="11"/>
    </row>
    <row r="1578" spans="1:9" ht="30">
      <c r="A1578" s="103" t="s">
        <v>639</v>
      </c>
      <c r="B1578" s="110" t="s">
        <v>640</v>
      </c>
      <c r="C1578" s="210" t="s">
        <v>641</v>
      </c>
      <c r="D1578" s="103" t="s">
        <v>7</v>
      </c>
      <c r="E1578" s="111">
        <v>10</v>
      </c>
      <c r="F1578" s="111">
        <f>TRUNC(F1579,2)</f>
        <v>27</v>
      </c>
      <c r="G1578" s="111">
        <f>TRUNC(F1578*1.2882,2)</f>
        <v>34.78</v>
      </c>
      <c r="H1578" s="111">
        <f>TRUNC(F1578*E1578,2)</f>
        <v>270</v>
      </c>
      <c r="I1578" s="111">
        <f>TRUNC(E1578*G1578,2)</f>
        <v>347.8</v>
      </c>
    </row>
    <row r="1579" spans="1:9" ht="30">
      <c r="A1579" s="8"/>
      <c r="B1579" s="12" t="s">
        <v>640</v>
      </c>
      <c r="C1579" s="200" t="s">
        <v>641</v>
      </c>
      <c r="D1579" s="8" t="s">
        <v>7</v>
      </c>
      <c r="E1579" s="11">
        <v>1</v>
      </c>
      <c r="F1579" s="7">
        <f>G1582</f>
        <v>27</v>
      </c>
      <c r="G1579" s="7">
        <f>TRUNC(E1579*F1579,2)</f>
        <v>27</v>
      </c>
      <c r="H1579" s="7"/>
      <c r="I1579" s="11"/>
    </row>
    <row r="1580" spans="1:9" ht="30">
      <c r="A1580" s="8"/>
      <c r="B1580" s="12" t="s">
        <v>642</v>
      </c>
      <c r="C1580" s="200" t="s">
        <v>643</v>
      </c>
      <c r="D1580" s="8" t="s">
        <v>7</v>
      </c>
      <c r="E1580" s="11">
        <v>1</v>
      </c>
      <c r="F1580" s="7">
        <f>TRUNC(19.02,2)</f>
        <v>19.02</v>
      </c>
      <c r="G1580" s="7">
        <f>TRUNC(E1580*F1580,2)</f>
        <v>19.02</v>
      </c>
      <c r="H1580" s="7"/>
      <c r="I1580" s="11"/>
    </row>
    <row r="1581" spans="1:9" ht="30">
      <c r="A1581" s="8"/>
      <c r="B1581" s="12" t="s">
        <v>644</v>
      </c>
      <c r="C1581" s="200" t="s">
        <v>645</v>
      </c>
      <c r="D1581" s="8" t="s">
        <v>7</v>
      </c>
      <c r="E1581" s="11">
        <v>1</v>
      </c>
      <c r="F1581" s="7">
        <f>TRUNC(7.98,2)</f>
        <v>7.98</v>
      </c>
      <c r="G1581" s="7">
        <f>TRUNC(E1581*F1581,2)</f>
        <v>7.98</v>
      </c>
      <c r="H1581" s="7"/>
      <c r="I1581" s="11"/>
    </row>
    <row r="1582" spans="1:9" ht="15">
      <c r="A1582" s="8"/>
      <c r="B1582" s="12"/>
      <c r="C1582" s="200"/>
      <c r="D1582" s="8"/>
      <c r="E1582" s="11" t="s">
        <v>33</v>
      </c>
      <c r="F1582" s="7"/>
      <c r="G1582" s="7">
        <f>TRUNC(SUM(G1580:G1581),2)</f>
        <v>27</v>
      </c>
      <c r="H1582" s="7"/>
      <c r="I1582" s="11"/>
    </row>
    <row r="1583" spans="1:9" ht="30">
      <c r="A1583" s="103" t="s">
        <v>646</v>
      </c>
      <c r="B1583" s="110" t="s">
        <v>648</v>
      </c>
      <c r="C1583" s="210" t="s">
        <v>649</v>
      </c>
      <c r="D1583" s="103" t="s">
        <v>7</v>
      </c>
      <c r="E1583" s="111">
        <v>8</v>
      </c>
      <c r="F1583" s="111">
        <f>TRUNC(F1584,2)</f>
        <v>33.58</v>
      </c>
      <c r="G1583" s="111">
        <f>TRUNC(F1583*1.2882,2)</f>
        <v>43.25</v>
      </c>
      <c r="H1583" s="111">
        <f>TRUNC(F1583*E1583,2)</f>
        <v>268.64</v>
      </c>
      <c r="I1583" s="111">
        <f>TRUNC(E1583*G1583,2)</f>
        <v>346</v>
      </c>
    </row>
    <row r="1584" spans="1:9" ht="30">
      <c r="A1584" s="8"/>
      <c r="B1584" s="12" t="s">
        <v>648</v>
      </c>
      <c r="C1584" s="200" t="s">
        <v>649</v>
      </c>
      <c r="D1584" s="8" t="s">
        <v>7</v>
      </c>
      <c r="E1584" s="11">
        <v>1</v>
      </c>
      <c r="F1584" s="7">
        <f>G1587</f>
        <v>33.58</v>
      </c>
      <c r="G1584" s="7">
        <f>TRUNC(E1584*F1584,2)</f>
        <v>33.58</v>
      </c>
      <c r="H1584" s="7"/>
      <c r="I1584" s="11"/>
    </row>
    <row r="1585" spans="1:9" ht="30">
      <c r="A1585" s="8"/>
      <c r="B1585" s="12" t="s">
        <v>650</v>
      </c>
      <c r="C1585" s="200" t="s">
        <v>651</v>
      </c>
      <c r="D1585" s="8" t="s">
        <v>7</v>
      </c>
      <c r="E1585" s="11">
        <v>1</v>
      </c>
      <c r="F1585" s="7">
        <f>TRUNC(25.6,2)</f>
        <v>25.6</v>
      </c>
      <c r="G1585" s="7">
        <f>TRUNC(E1585*F1585,2)</f>
        <v>25.6</v>
      </c>
      <c r="H1585" s="7"/>
      <c r="I1585" s="11"/>
    </row>
    <row r="1586" spans="1:9" ht="30">
      <c r="A1586" s="8"/>
      <c r="B1586" s="12" t="s">
        <v>644</v>
      </c>
      <c r="C1586" s="200" t="s">
        <v>645</v>
      </c>
      <c r="D1586" s="8" t="s">
        <v>7</v>
      </c>
      <c r="E1586" s="11">
        <v>1</v>
      </c>
      <c r="F1586" s="7">
        <f>TRUNC(7.98,2)</f>
        <v>7.98</v>
      </c>
      <c r="G1586" s="7">
        <f>TRUNC(E1586*F1586,2)</f>
        <v>7.98</v>
      </c>
      <c r="H1586" s="7"/>
      <c r="I1586" s="11"/>
    </row>
    <row r="1587" spans="1:9" ht="15">
      <c r="A1587" s="8"/>
      <c r="B1587" s="12"/>
      <c r="C1587" s="200"/>
      <c r="D1587" s="8"/>
      <c r="E1587" s="11" t="s">
        <v>33</v>
      </c>
      <c r="F1587" s="7"/>
      <c r="G1587" s="7">
        <f>TRUNC(SUM(G1585:G1586),2)</f>
        <v>33.58</v>
      </c>
      <c r="H1587" s="7"/>
      <c r="I1587" s="11"/>
    </row>
    <row r="1588" spans="1:9" ht="30">
      <c r="A1588" s="103" t="s">
        <v>647</v>
      </c>
      <c r="B1588" s="110" t="s">
        <v>652</v>
      </c>
      <c r="C1588" s="210" t="s">
        <v>653</v>
      </c>
      <c r="D1588" s="103" t="s">
        <v>7</v>
      </c>
      <c r="E1588" s="111">
        <v>26</v>
      </c>
      <c r="F1588" s="111">
        <f>TRUNC(F1589,2)</f>
        <v>224.98</v>
      </c>
      <c r="G1588" s="111">
        <f>TRUNC(F1588*1.2882,2)</f>
        <v>289.81</v>
      </c>
      <c r="H1588" s="111">
        <f>TRUNC(F1588*E1588,2)</f>
        <v>5849.48</v>
      </c>
      <c r="I1588" s="111">
        <f>TRUNC(E1588*G1588,2)</f>
        <v>7535.06</v>
      </c>
    </row>
    <row r="1589" spans="1:9" ht="30">
      <c r="A1589" s="8"/>
      <c r="B1589" s="12" t="s">
        <v>652</v>
      </c>
      <c r="C1589" s="200" t="s">
        <v>653</v>
      </c>
      <c r="D1589" s="8" t="s">
        <v>7</v>
      </c>
      <c r="E1589" s="11">
        <v>1</v>
      </c>
      <c r="F1589" s="7">
        <f>G1593</f>
        <v>224.98</v>
      </c>
      <c r="G1589" s="7">
        <f>TRUNC(E1589*F1589,2)</f>
        <v>224.98</v>
      </c>
      <c r="H1589" s="7"/>
      <c r="I1589" s="11"/>
    </row>
    <row r="1590" spans="1:9" ht="30">
      <c r="A1590" s="8"/>
      <c r="B1590" s="12" t="s">
        <v>654</v>
      </c>
      <c r="C1590" s="200" t="s">
        <v>655</v>
      </c>
      <c r="D1590" s="8" t="s">
        <v>7</v>
      </c>
      <c r="E1590" s="11">
        <v>1</v>
      </c>
      <c r="F1590" s="7">
        <f>TRUNC(159.35,2)</f>
        <v>159.35</v>
      </c>
      <c r="G1590" s="7">
        <f>TRUNC(E1590*F1590,2)</f>
        <v>159.35</v>
      </c>
      <c r="H1590" s="7"/>
      <c r="I1590" s="11"/>
    </row>
    <row r="1591" spans="1:9" ht="15">
      <c r="A1591" s="8"/>
      <c r="B1591" s="12" t="s">
        <v>656</v>
      </c>
      <c r="C1591" s="200" t="s">
        <v>657</v>
      </c>
      <c r="D1591" s="8" t="s">
        <v>23</v>
      </c>
      <c r="E1591" s="11">
        <v>15</v>
      </c>
      <c r="F1591" s="7">
        <f>TRUNC(1.36,2)</f>
        <v>1.36</v>
      </c>
      <c r="G1591" s="7">
        <f>TRUNC(E1591*F1591,2)</f>
        <v>20.4</v>
      </c>
      <c r="H1591" s="7"/>
      <c r="I1591" s="11"/>
    </row>
    <row r="1592" spans="1:9" ht="30">
      <c r="A1592" s="8"/>
      <c r="B1592" s="12" t="s">
        <v>566</v>
      </c>
      <c r="C1592" s="200" t="s">
        <v>567</v>
      </c>
      <c r="D1592" s="8" t="s">
        <v>47</v>
      </c>
      <c r="E1592" s="11">
        <v>2.06</v>
      </c>
      <c r="F1592" s="7">
        <f>TRUNC(21.96,2)</f>
        <v>21.96</v>
      </c>
      <c r="G1592" s="7">
        <f>TRUNC(E1592*F1592,2)</f>
        <v>45.23</v>
      </c>
      <c r="H1592" s="7"/>
      <c r="I1592" s="11"/>
    </row>
    <row r="1593" spans="1:9" ht="15">
      <c r="A1593" s="8"/>
      <c r="B1593" s="12"/>
      <c r="C1593" s="200"/>
      <c r="D1593" s="8"/>
      <c r="E1593" s="11" t="s">
        <v>33</v>
      </c>
      <c r="F1593" s="7"/>
      <c r="G1593" s="7">
        <f>TRUNC(SUM(G1590:G1592),2)</f>
        <v>224.98</v>
      </c>
      <c r="H1593" s="7"/>
      <c r="I1593" s="11"/>
    </row>
    <row r="1594" spans="1:9" ht="30">
      <c r="A1594" s="103" t="s">
        <v>658</v>
      </c>
      <c r="B1594" s="110" t="s">
        <v>659</v>
      </c>
      <c r="C1594" s="210" t="s">
        <v>660</v>
      </c>
      <c r="D1594" s="103" t="s">
        <v>7</v>
      </c>
      <c r="E1594" s="111">
        <v>43</v>
      </c>
      <c r="F1594" s="111">
        <f>TRUNC(F1595,2)</f>
        <v>28.47</v>
      </c>
      <c r="G1594" s="111">
        <f>TRUNC(F1594*1.2882,2)</f>
        <v>36.67</v>
      </c>
      <c r="H1594" s="111">
        <f>TRUNC(F1594*E1594,2)</f>
        <v>1224.21</v>
      </c>
      <c r="I1594" s="111">
        <f>TRUNC(E1594*G1594,2)</f>
        <v>1576.81</v>
      </c>
    </row>
    <row r="1595" spans="1:9" ht="30">
      <c r="A1595" s="8"/>
      <c r="B1595" s="12" t="s">
        <v>659</v>
      </c>
      <c r="C1595" s="200" t="s">
        <v>660</v>
      </c>
      <c r="D1595" s="8" t="s">
        <v>7</v>
      </c>
      <c r="E1595" s="11">
        <v>1</v>
      </c>
      <c r="F1595" s="7">
        <f>TRUNC(28.47,2)</f>
        <v>28.47</v>
      </c>
      <c r="G1595" s="7">
        <f>TRUNC(E1595*F1595,2)</f>
        <v>28.47</v>
      </c>
      <c r="H1595" s="7"/>
      <c r="I1595" s="11"/>
    </row>
    <row r="1596" spans="1:9" ht="30">
      <c r="A1596" s="8"/>
      <c r="B1596" s="12" t="s">
        <v>661</v>
      </c>
      <c r="C1596" s="200" t="s">
        <v>662</v>
      </c>
      <c r="D1596" s="8" t="s">
        <v>7</v>
      </c>
      <c r="E1596" s="11">
        <v>1</v>
      </c>
      <c r="F1596" s="7">
        <f>TRUNC(20.49,2)</f>
        <v>20.49</v>
      </c>
      <c r="G1596" s="7">
        <f>TRUNC(E1596*F1596,2)</f>
        <v>20.49</v>
      </c>
      <c r="H1596" s="7"/>
      <c r="I1596" s="11"/>
    </row>
    <row r="1597" spans="1:9" ht="30">
      <c r="A1597" s="8"/>
      <c r="B1597" s="12" t="s">
        <v>644</v>
      </c>
      <c r="C1597" s="200" t="s">
        <v>645</v>
      </c>
      <c r="D1597" s="8" t="s">
        <v>7</v>
      </c>
      <c r="E1597" s="11">
        <v>1</v>
      </c>
      <c r="F1597" s="7">
        <f>TRUNC(7.98,2)</f>
        <v>7.98</v>
      </c>
      <c r="G1597" s="7">
        <f>TRUNC(E1597*F1597,2)</f>
        <v>7.98</v>
      </c>
      <c r="H1597" s="7"/>
      <c r="I1597" s="11"/>
    </row>
    <row r="1598" spans="1:9" ht="15">
      <c r="A1598" s="8"/>
      <c r="B1598" s="12"/>
      <c r="C1598" s="200"/>
      <c r="D1598" s="8"/>
      <c r="E1598" s="11" t="s">
        <v>33</v>
      </c>
      <c r="F1598" s="7"/>
      <c r="G1598" s="7">
        <f>TRUNC(SUM(G1596:G1597),2)</f>
        <v>28.47</v>
      </c>
      <c r="H1598" s="7"/>
      <c r="I1598" s="11"/>
    </row>
    <row r="1599" spans="1:9" ht="30">
      <c r="A1599" s="103" t="s">
        <v>667</v>
      </c>
      <c r="B1599" s="110" t="s">
        <v>668</v>
      </c>
      <c r="C1599" s="210" t="s">
        <v>669</v>
      </c>
      <c r="D1599" s="103" t="s">
        <v>7</v>
      </c>
      <c r="E1599" s="111">
        <v>4</v>
      </c>
      <c r="F1599" s="111">
        <f>TRUNC(F1600,2)</f>
        <v>34.59</v>
      </c>
      <c r="G1599" s="111">
        <f>TRUNC(F1599*1.2882,2)</f>
        <v>44.55</v>
      </c>
      <c r="H1599" s="111">
        <f>TRUNC(F1599*E1599,2)</f>
        <v>138.36</v>
      </c>
      <c r="I1599" s="111">
        <f>TRUNC(E1599*G1599,2)</f>
        <v>178.2</v>
      </c>
    </row>
    <row r="1600" spans="1:9" ht="30">
      <c r="A1600" s="8"/>
      <c r="B1600" s="12" t="s">
        <v>668</v>
      </c>
      <c r="C1600" s="200" t="s">
        <v>669</v>
      </c>
      <c r="D1600" s="8" t="s">
        <v>7</v>
      </c>
      <c r="E1600" s="11">
        <v>1</v>
      </c>
      <c r="F1600" s="7">
        <f>G1603</f>
        <v>34.59</v>
      </c>
      <c r="G1600" s="7">
        <f>TRUNC(E1600*F1600,2)</f>
        <v>34.59</v>
      </c>
      <c r="H1600" s="7"/>
      <c r="I1600" s="11"/>
    </row>
    <row r="1601" spans="1:9" ht="30">
      <c r="A1601" s="8"/>
      <c r="B1601" s="12" t="s">
        <v>670</v>
      </c>
      <c r="C1601" s="200" t="s">
        <v>671</v>
      </c>
      <c r="D1601" s="8" t="s">
        <v>7</v>
      </c>
      <c r="E1601" s="11">
        <v>1</v>
      </c>
      <c r="F1601" s="7">
        <f>TRUNC(26.61,2)</f>
        <v>26.61</v>
      </c>
      <c r="G1601" s="7">
        <f>TRUNC(E1601*F1601,2)</f>
        <v>26.61</v>
      </c>
      <c r="H1601" s="7"/>
      <c r="I1601" s="11"/>
    </row>
    <row r="1602" spans="1:9" ht="30">
      <c r="A1602" s="8"/>
      <c r="B1602" s="12" t="s">
        <v>644</v>
      </c>
      <c r="C1602" s="200" t="s">
        <v>645</v>
      </c>
      <c r="D1602" s="8" t="s">
        <v>7</v>
      </c>
      <c r="E1602" s="11">
        <v>1</v>
      </c>
      <c r="F1602" s="7">
        <f>TRUNC(7.98,2)</f>
        <v>7.98</v>
      </c>
      <c r="G1602" s="7">
        <f>TRUNC(E1602*F1602,2)</f>
        <v>7.98</v>
      </c>
      <c r="H1602" s="7"/>
      <c r="I1602" s="11"/>
    </row>
    <row r="1603" spans="1:9" ht="15">
      <c r="A1603" s="8"/>
      <c r="B1603" s="12"/>
      <c r="C1603" s="200"/>
      <c r="D1603" s="8"/>
      <c r="E1603" s="11" t="s">
        <v>33</v>
      </c>
      <c r="F1603" s="7"/>
      <c r="G1603" s="7">
        <f>TRUNC(SUM(G1601:G1602),2)</f>
        <v>34.59</v>
      </c>
      <c r="H1603" s="7"/>
      <c r="I1603" s="11"/>
    </row>
    <row r="1604" spans="1:9" ht="30">
      <c r="A1604" s="103" t="s">
        <v>672</v>
      </c>
      <c r="B1604" s="110" t="s">
        <v>663</v>
      </c>
      <c r="C1604" s="210" t="s">
        <v>664</v>
      </c>
      <c r="D1604" s="103" t="s">
        <v>7</v>
      </c>
      <c r="E1604" s="111">
        <v>19</v>
      </c>
      <c r="F1604" s="111">
        <f>TRUNC(F1605,2)</f>
        <v>32.5</v>
      </c>
      <c r="G1604" s="111">
        <f>TRUNC(F1604*1.2882,2)</f>
        <v>41.86</v>
      </c>
      <c r="H1604" s="111">
        <f>TRUNC(F1604*E1604,2)</f>
        <v>617.5</v>
      </c>
      <c r="I1604" s="111">
        <f>TRUNC(E1604*G1604,2)</f>
        <v>795.34</v>
      </c>
    </row>
    <row r="1605" spans="1:9" ht="30">
      <c r="A1605" s="8"/>
      <c r="B1605" s="12" t="s">
        <v>663</v>
      </c>
      <c r="C1605" s="200" t="s">
        <v>664</v>
      </c>
      <c r="D1605" s="8" t="s">
        <v>7</v>
      </c>
      <c r="E1605" s="11">
        <v>1</v>
      </c>
      <c r="F1605" s="7">
        <f>G1608</f>
        <v>32.5</v>
      </c>
      <c r="G1605" s="7">
        <f>TRUNC(E1605*F1605,2)</f>
        <v>32.5</v>
      </c>
      <c r="H1605" s="7"/>
      <c r="I1605" s="11"/>
    </row>
    <row r="1606" spans="1:9" ht="30">
      <c r="A1606" s="8"/>
      <c r="B1606" s="12" t="s">
        <v>665</v>
      </c>
      <c r="C1606" s="200" t="s">
        <v>666</v>
      </c>
      <c r="D1606" s="8" t="s">
        <v>7</v>
      </c>
      <c r="E1606" s="11">
        <v>1</v>
      </c>
      <c r="F1606" s="7">
        <f>TRUNC(24.52,2)</f>
        <v>24.52</v>
      </c>
      <c r="G1606" s="7">
        <f>TRUNC(E1606*F1606,2)</f>
        <v>24.52</v>
      </c>
      <c r="H1606" s="7"/>
      <c r="I1606" s="11"/>
    </row>
    <row r="1607" spans="1:9" ht="30">
      <c r="A1607" s="8"/>
      <c r="B1607" s="12" t="s">
        <v>644</v>
      </c>
      <c r="C1607" s="200" t="s">
        <v>645</v>
      </c>
      <c r="D1607" s="8" t="s">
        <v>7</v>
      </c>
      <c r="E1607" s="11">
        <v>1</v>
      </c>
      <c r="F1607" s="7">
        <f>TRUNC(7.98,2)</f>
        <v>7.98</v>
      </c>
      <c r="G1607" s="7">
        <f>TRUNC(E1607*F1607,2)</f>
        <v>7.98</v>
      </c>
      <c r="H1607" s="7"/>
      <c r="I1607" s="11"/>
    </row>
    <row r="1608" spans="1:9" ht="15">
      <c r="A1608" s="8"/>
      <c r="B1608" s="12"/>
      <c r="C1608" s="200"/>
      <c r="D1608" s="8"/>
      <c r="E1608" s="11" t="s">
        <v>33</v>
      </c>
      <c r="F1608" s="7"/>
      <c r="G1608" s="7">
        <f>TRUNC(SUM(G1606:G1607),2)</f>
        <v>32.5</v>
      </c>
      <c r="H1608" s="7"/>
      <c r="I1608" s="11"/>
    </row>
    <row r="1609" spans="1:9" ht="30">
      <c r="A1609" s="103" t="s">
        <v>673</v>
      </c>
      <c r="B1609" s="110" t="s">
        <v>668</v>
      </c>
      <c r="C1609" s="210" t="s">
        <v>669</v>
      </c>
      <c r="D1609" s="103" t="s">
        <v>7</v>
      </c>
      <c r="E1609" s="111">
        <v>4</v>
      </c>
      <c r="F1609" s="111">
        <f>TRUNC(F1610,2)</f>
        <v>34.59</v>
      </c>
      <c r="G1609" s="111">
        <f>TRUNC(F1609*1.2882,2)</f>
        <v>44.55</v>
      </c>
      <c r="H1609" s="111">
        <f>TRUNC(F1609*E1609,2)</f>
        <v>138.36</v>
      </c>
      <c r="I1609" s="111">
        <f>TRUNC(E1609*G1609,2)</f>
        <v>178.2</v>
      </c>
    </row>
    <row r="1610" spans="1:9" ht="30">
      <c r="A1610" s="8"/>
      <c r="B1610" s="12" t="s">
        <v>668</v>
      </c>
      <c r="C1610" s="200" t="s">
        <v>669</v>
      </c>
      <c r="D1610" s="8" t="s">
        <v>7</v>
      </c>
      <c r="E1610" s="11">
        <v>1</v>
      </c>
      <c r="F1610" s="7">
        <f>G1613</f>
        <v>34.59</v>
      </c>
      <c r="G1610" s="7">
        <f>TRUNC(E1610*F1610,2)</f>
        <v>34.59</v>
      </c>
      <c r="H1610" s="7"/>
      <c r="I1610" s="11"/>
    </row>
    <row r="1611" spans="1:9" ht="30">
      <c r="A1611" s="8"/>
      <c r="B1611" s="12" t="s">
        <v>670</v>
      </c>
      <c r="C1611" s="200" t="s">
        <v>671</v>
      </c>
      <c r="D1611" s="8" t="s">
        <v>7</v>
      </c>
      <c r="E1611" s="11">
        <v>1</v>
      </c>
      <c r="F1611" s="7">
        <f>TRUNC(26.61,2)</f>
        <v>26.61</v>
      </c>
      <c r="G1611" s="7">
        <f>TRUNC(E1611*F1611,2)</f>
        <v>26.61</v>
      </c>
      <c r="H1611" s="7"/>
      <c r="I1611" s="11"/>
    </row>
    <row r="1612" spans="1:9" ht="30">
      <c r="A1612" s="8"/>
      <c r="B1612" s="12" t="s">
        <v>644</v>
      </c>
      <c r="C1612" s="200" t="s">
        <v>645</v>
      </c>
      <c r="D1612" s="8" t="s">
        <v>7</v>
      </c>
      <c r="E1612" s="11">
        <v>1</v>
      </c>
      <c r="F1612" s="7">
        <f>TRUNC(7.98,2)</f>
        <v>7.98</v>
      </c>
      <c r="G1612" s="7">
        <f>TRUNC(E1612*F1612,2)</f>
        <v>7.98</v>
      </c>
      <c r="H1612" s="7"/>
      <c r="I1612" s="11"/>
    </row>
    <row r="1613" spans="1:9" ht="15">
      <c r="A1613" s="8"/>
      <c r="B1613" s="12"/>
      <c r="C1613" s="200"/>
      <c r="D1613" s="8"/>
      <c r="E1613" s="11" t="s">
        <v>33</v>
      </c>
      <c r="F1613" s="7"/>
      <c r="G1613" s="7">
        <f>TRUNC(SUM(G1611:G1612),2)</f>
        <v>34.59</v>
      </c>
      <c r="H1613" s="7"/>
      <c r="I1613" s="11"/>
    </row>
    <row r="1614" spans="1:9" ht="15">
      <c r="A1614" s="103" t="s">
        <v>674</v>
      </c>
      <c r="B1614" s="110" t="s">
        <v>1517</v>
      </c>
      <c r="C1614" s="210" t="s">
        <v>1518</v>
      </c>
      <c r="D1614" s="103" t="s">
        <v>7</v>
      </c>
      <c r="E1614" s="111">
        <v>45</v>
      </c>
      <c r="F1614" s="111">
        <f>TRUNC(F1615,2)</f>
        <v>14.95</v>
      </c>
      <c r="G1614" s="111">
        <f>TRUNC(F1614*1.2882,2)</f>
        <v>19.25</v>
      </c>
      <c r="H1614" s="111">
        <f>TRUNC(F1614*E1614,2)</f>
        <v>672.75</v>
      </c>
      <c r="I1614" s="111">
        <f>TRUNC(E1614*G1614,2)</f>
        <v>866.25</v>
      </c>
    </row>
    <row r="1615" spans="1:9" ht="30">
      <c r="A1615" s="8"/>
      <c r="B1615" s="12" t="s">
        <v>1512</v>
      </c>
      <c r="C1615" s="200" t="s">
        <v>1513</v>
      </c>
      <c r="D1615" s="8" t="s">
        <v>7</v>
      </c>
      <c r="E1615" s="11">
        <v>1</v>
      </c>
      <c r="F1615" s="7">
        <f>G1619</f>
        <v>14.95</v>
      </c>
      <c r="G1615" s="7">
        <f>TRUNC(E1615*F1615,2)</f>
        <v>14.95</v>
      </c>
      <c r="H1615" s="7"/>
      <c r="I1615" s="11"/>
    </row>
    <row r="1616" spans="1:9" ht="15">
      <c r="A1616" s="8"/>
      <c r="B1616" s="12" t="s">
        <v>1515</v>
      </c>
      <c r="C1616" s="200" t="s">
        <v>1516</v>
      </c>
      <c r="D1616" s="8" t="s">
        <v>7</v>
      </c>
      <c r="E1616" s="11">
        <v>1</v>
      </c>
      <c r="F1616" s="7">
        <v>4.61</v>
      </c>
      <c r="G1616" s="7">
        <f>TRUNC(E1616*F1616,2)</f>
        <v>4.61</v>
      </c>
      <c r="H1616" s="7"/>
      <c r="I1616" s="11"/>
    </row>
    <row r="1617" spans="1:9" ht="15">
      <c r="A1617" s="8"/>
      <c r="B1617" s="12" t="s">
        <v>602</v>
      </c>
      <c r="C1617" s="200" t="s">
        <v>858</v>
      </c>
      <c r="D1617" s="8" t="s">
        <v>47</v>
      </c>
      <c r="E1617" s="11">
        <v>0.2</v>
      </c>
      <c r="F1617" s="7">
        <f>TRUNC(24.32,2)</f>
        <v>24.32</v>
      </c>
      <c r="G1617" s="7">
        <f>TRUNC(E1617*F1617,2)</f>
        <v>4.86</v>
      </c>
      <c r="H1617" s="7"/>
      <c r="I1617" s="11"/>
    </row>
    <row r="1618" spans="1:9" ht="15">
      <c r="A1618" s="8"/>
      <c r="B1618" s="12" t="s">
        <v>604</v>
      </c>
      <c r="C1618" s="200" t="s">
        <v>1514</v>
      </c>
      <c r="D1618" s="8" t="s">
        <v>47</v>
      </c>
      <c r="E1618" s="11">
        <v>0.2</v>
      </c>
      <c r="F1618" s="7">
        <f>TRUNC(27.41,2)</f>
        <v>27.41</v>
      </c>
      <c r="G1618" s="7">
        <f>TRUNC(E1618*F1618,2)</f>
        <v>5.48</v>
      </c>
      <c r="H1618" s="7"/>
      <c r="I1618" s="11"/>
    </row>
    <row r="1619" spans="1:9" ht="15">
      <c r="A1619" s="8"/>
      <c r="B1619" s="12"/>
      <c r="C1619" s="200"/>
      <c r="D1619" s="8"/>
      <c r="E1619" s="11" t="s">
        <v>33</v>
      </c>
      <c r="F1619" s="7"/>
      <c r="G1619" s="7">
        <f>TRUNC(SUM(G1616:G1618),2)</f>
        <v>14.95</v>
      </c>
      <c r="H1619" s="7"/>
      <c r="I1619" s="11"/>
    </row>
    <row r="1620" spans="1:9" ht="30">
      <c r="A1620" s="103" t="s">
        <v>675</v>
      </c>
      <c r="B1620" s="110" t="s">
        <v>676</v>
      </c>
      <c r="C1620" s="210" t="s">
        <v>677</v>
      </c>
      <c r="D1620" s="103" t="s">
        <v>7</v>
      </c>
      <c r="E1620" s="111">
        <v>134</v>
      </c>
      <c r="F1620" s="111">
        <f>TRUNC(F1621,2)</f>
        <v>9.42</v>
      </c>
      <c r="G1620" s="111">
        <f>TRUNC(F1620*1.2882,2)</f>
        <v>12.13</v>
      </c>
      <c r="H1620" s="111">
        <f>TRUNC(F1620*E1620,2)</f>
        <v>1262.28</v>
      </c>
      <c r="I1620" s="111">
        <f>TRUNC(E1620*G1620,2)</f>
        <v>1625.42</v>
      </c>
    </row>
    <row r="1621" spans="1:9" ht="30">
      <c r="A1621" s="8"/>
      <c r="B1621" s="12" t="s">
        <v>676</v>
      </c>
      <c r="C1621" s="200" t="s">
        <v>677</v>
      </c>
      <c r="D1621" s="8" t="s">
        <v>7</v>
      </c>
      <c r="E1621" s="11">
        <v>1</v>
      </c>
      <c r="F1621" s="7">
        <f>G1625</f>
        <v>9.42</v>
      </c>
      <c r="G1621" s="7">
        <f>TRUNC(E1621*F1621,2)</f>
        <v>9.42</v>
      </c>
      <c r="H1621" s="7"/>
      <c r="I1621" s="11"/>
    </row>
    <row r="1622" spans="1:9" ht="15">
      <c r="A1622" s="8"/>
      <c r="B1622" s="12" t="s">
        <v>678</v>
      </c>
      <c r="C1622" s="200" t="s">
        <v>679</v>
      </c>
      <c r="D1622" s="8" t="s">
        <v>7</v>
      </c>
      <c r="E1622" s="11">
        <v>1</v>
      </c>
      <c r="F1622" s="7">
        <f>TRUNC(1.52,2)</f>
        <v>1.52</v>
      </c>
      <c r="G1622" s="7">
        <f>TRUNC(E1622*F1622,2)</f>
        <v>1.52</v>
      </c>
      <c r="H1622" s="7"/>
      <c r="I1622" s="11"/>
    </row>
    <row r="1623" spans="1:9" ht="15">
      <c r="A1623" s="8"/>
      <c r="B1623" s="12" t="s">
        <v>602</v>
      </c>
      <c r="C1623" s="200" t="s">
        <v>603</v>
      </c>
      <c r="D1623" s="8" t="s">
        <v>47</v>
      </c>
      <c r="E1623" s="11">
        <v>0.143</v>
      </c>
      <c r="F1623" s="7">
        <f>TRUNC(30.3,2)</f>
        <v>30.3</v>
      </c>
      <c r="G1623" s="7">
        <f>TRUNC(E1623*F1623,2)</f>
        <v>4.33</v>
      </c>
      <c r="H1623" s="7"/>
      <c r="I1623" s="11"/>
    </row>
    <row r="1624" spans="1:9" ht="15">
      <c r="A1624" s="8"/>
      <c r="B1624" s="12" t="s">
        <v>604</v>
      </c>
      <c r="C1624" s="200" t="s">
        <v>605</v>
      </c>
      <c r="D1624" s="8" t="s">
        <v>47</v>
      </c>
      <c r="E1624" s="11">
        <v>0.143</v>
      </c>
      <c r="F1624" s="7">
        <f>TRUNC(25.03,2)</f>
        <v>25.03</v>
      </c>
      <c r="G1624" s="7">
        <f>TRUNC(E1624*F1624,2)</f>
        <v>3.57</v>
      </c>
      <c r="H1624" s="7"/>
      <c r="I1624" s="11"/>
    </row>
    <row r="1625" spans="1:9" ht="15">
      <c r="A1625" s="8"/>
      <c r="B1625" s="12"/>
      <c r="C1625" s="200"/>
      <c r="D1625" s="8"/>
      <c r="E1625" s="11" t="s">
        <v>33</v>
      </c>
      <c r="F1625" s="7"/>
      <c r="G1625" s="7">
        <f>TRUNC(SUM(G1622:G1624),2)</f>
        <v>9.42</v>
      </c>
      <c r="H1625" s="7"/>
      <c r="I1625" s="11"/>
    </row>
    <row r="1626" spans="1:9" ht="30">
      <c r="A1626" s="103" t="s">
        <v>680</v>
      </c>
      <c r="B1626" s="110" t="s">
        <v>681</v>
      </c>
      <c r="C1626" s="210" t="s">
        <v>682</v>
      </c>
      <c r="D1626" s="103" t="s">
        <v>7</v>
      </c>
      <c r="E1626" s="111">
        <v>15</v>
      </c>
      <c r="F1626" s="111">
        <f>TRUNC(F1627,2)</f>
        <v>22.11</v>
      </c>
      <c r="G1626" s="111">
        <f>TRUNC(F1626*1.2882,2)</f>
        <v>28.48</v>
      </c>
      <c r="H1626" s="111">
        <f>TRUNC(F1626*E1626,2)</f>
        <v>331.65</v>
      </c>
      <c r="I1626" s="111">
        <f>TRUNC(E1626*G1626,2)</f>
        <v>427.2</v>
      </c>
    </row>
    <row r="1627" spans="1:9" ht="30">
      <c r="A1627" s="8"/>
      <c r="B1627" s="12" t="s">
        <v>681</v>
      </c>
      <c r="C1627" s="200" t="s">
        <v>682</v>
      </c>
      <c r="D1627" s="8" t="s">
        <v>7</v>
      </c>
      <c r="E1627" s="11">
        <v>1</v>
      </c>
      <c r="F1627" s="7">
        <f>G1632</f>
        <v>22.11</v>
      </c>
      <c r="G1627" s="7">
        <f>TRUNC(E1627*F1627,2)</f>
        <v>22.11</v>
      </c>
      <c r="H1627" s="7"/>
      <c r="I1627" s="11"/>
    </row>
    <row r="1628" spans="1:9" ht="15">
      <c r="A1628" s="8"/>
      <c r="B1628" s="12" t="s">
        <v>683</v>
      </c>
      <c r="C1628" s="200" t="s">
        <v>684</v>
      </c>
      <c r="D1628" s="8" t="s">
        <v>7</v>
      </c>
      <c r="E1628" s="11">
        <v>1</v>
      </c>
      <c r="F1628" s="7">
        <f>TRUNC(5.73,2)</f>
        <v>5.73</v>
      </c>
      <c r="G1628" s="7">
        <f>TRUNC(E1628*F1628,2)</f>
        <v>5.73</v>
      </c>
      <c r="H1628" s="7"/>
      <c r="I1628" s="11"/>
    </row>
    <row r="1629" spans="1:9" ht="15">
      <c r="A1629" s="8"/>
      <c r="B1629" s="12" t="s">
        <v>602</v>
      </c>
      <c r="C1629" s="200" t="s">
        <v>603</v>
      </c>
      <c r="D1629" s="8" t="s">
        <v>47</v>
      </c>
      <c r="E1629" s="11">
        <v>0.283</v>
      </c>
      <c r="F1629" s="7">
        <f>TRUNC(30.3,2)</f>
        <v>30.3</v>
      </c>
      <c r="G1629" s="7">
        <f>TRUNC(E1629*F1629,2)</f>
        <v>8.57</v>
      </c>
      <c r="H1629" s="7"/>
      <c r="I1629" s="11"/>
    </row>
    <row r="1630" spans="1:9" ht="15">
      <c r="A1630" s="8"/>
      <c r="B1630" s="12" t="s">
        <v>604</v>
      </c>
      <c r="C1630" s="200" t="s">
        <v>605</v>
      </c>
      <c r="D1630" s="8" t="s">
        <v>47</v>
      </c>
      <c r="E1630" s="11">
        <v>0.283</v>
      </c>
      <c r="F1630" s="7">
        <f>TRUNC(25.03,2)</f>
        <v>25.03</v>
      </c>
      <c r="G1630" s="7">
        <f>TRUNC(E1630*F1630,2)</f>
        <v>7.08</v>
      </c>
      <c r="H1630" s="7"/>
      <c r="I1630" s="11"/>
    </row>
    <row r="1631" spans="1:9" ht="30">
      <c r="A1631" s="8"/>
      <c r="B1631" s="12" t="s">
        <v>685</v>
      </c>
      <c r="C1631" s="200" t="s">
        <v>686</v>
      </c>
      <c r="D1631" s="8" t="s">
        <v>48</v>
      </c>
      <c r="E1631" s="11">
        <v>0.0012</v>
      </c>
      <c r="F1631" s="7">
        <f>TRUNC(613.78,2)</f>
        <v>613.78</v>
      </c>
      <c r="G1631" s="7">
        <f>TRUNC(E1631*F1631,2)</f>
        <v>0.73</v>
      </c>
      <c r="H1631" s="7"/>
      <c r="I1631" s="11"/>
    </row>
    <row r="1632" spans="1:9" ht="15">
      <c r="A1632" s="8"/>
      <c r="B1632" s="12"/>
      <c r="C1632" s="200"/>
      <c r="D1632" s="8"/>
      <c r="E1632" s="11" t="s">
        <v>33</v>
      </c>
      <c r="F1632" s="7"/>
      <c r="G1632" s="7">
        <f>TRUNC(SUM(G1628:G1631),2)</f>
        <v>22.11</v>
      </c>
      <c r="H1632" s="7"/>
      <c r="I1632" s="11"/>
    </row>
    <row r="1633" spans="1:9" ht="45">
      <c r="A1633" s="103" t="s">
        <v>687</v>
      </c>
      <c r="B1633" s="110" t="s">
        <v>688</v>
      </c>
      <c r="C1633" s="210" t="s">
        <v>689</v>
      </c>
      <c r="D1633" s="103" t="s">
        <v>7</v>
      </c>
      <c r="E1633" s="111">
        <v>1</v>
      </c>
      <c r="F1633" s="111">
        <f>TRUNC(F1634,2)</f>
        <v>390.84</v>
      </c>
      <c r="G1633" s="111">
        <f>TRUNC(F1633*1.2882,2)</f>
        <v>503.48</v>
      </c>
      <c r="H1633" s="111">
        <f>TRUNC(F1633*E1633,2)</f>
        <v>390.84</v>
      </c>
      <c r="I1633" s="111">
        <f>TRUNC(E1633*G1633,2)</f>
        <v>503.48</v>
      </c>
    </row>
    <row r="1634" spans="1:9" ht="45">
      <c r="A1634" s="8"/>
      <c r="B1634" s="12" t="s">
        <v>688</v>
      </c>
      <c r="C1634" s="200" t="s">
        <v>689</v>
      </c>
      <c r="D1634" s="8" t="s">
        <v>7</v>
      </c>
      <c r="E1634" s="11">
        <v>1</v>
      </c>
      <c r="F1634" s="7">
        <f>G1639</f>
        <v>390.84</v>
      </c>
      <c r="G1634" s="7">
        <f>TRUNC(E1634*F1634,2)</f>
        <v>390.84</v>
      </c>
      <c r="H1634" s="7"/>
      <c r="I1634" s="11"/>
    </row>
    <row r="1635" spans="1:9" ht="30">
      <c r="A1635" s="8"/>
      <c r="B1635" s="12" t="s">
        <v>690</v>
      </c>
      <c r="C1635" s="200" t="s">
        <v>691</v>
      </c>
      <c r="D1635" s="8" t="s">
        <v>7</v>
      </c>
      <c r="E1635" s="11">
        <v>1</v>
      </c>
      <c r="F1635" s="7">
        <f>TRUNC(356.18,2)</f>
        <v>356.18</v>
      </c>
      <c r="G1635" s="7">
        <f>TRUNC(E1635*F1635,2)</f>
        <v>356.18</v>
      </c>
      <c r="H1635" s="7"/>
      <c r="I1635" s="11"/>
    </row>
    <row r="1636" spans="1:9" ht="15">
      <c r="A1636" s="8"/>
      <c r="B1636" s="12" t="s">
        <v>602</v>
      </c>
      <c r="C1636" s="200" t="s">
        <v>603</v>
      </c>
      <c r="D1636" s="8" t="s">
        <v>47</v>
      </c>
      <c r="E1636" s="11">
        <v>0.4811</v>
      </c>
      <c r="F1636" s="7">
        <f>TRUNC(30.3,2)</f>
        <v>30.3</v>
      </c>
      <c r="G1636" s="7">
        <f>TRUNC(E1636*F1636,2)</f>
        <v>14.57</v>
      </c>
      <c r="H1636" s="7"/>
      <c r="I1636" s="11"/>
    </row>
    <row r="1637" spans="1:9" ht="15">
      <c r="A1637" s="8"/>
      <c r="B1637" s="12" t="s">
        <v>604</v>
      </c>
      <c r="C1637" s="200" t="s">
        <v>605</v>
      </c>
      <c r="D1637" s="8" t="s">
        <v>47</v>
      </c>
      <c r="E1637" s="11">
        <v>0.4811</v>
      </c>
      <c r="F1637" s="7">
        <f>TRUNC(25.03,2)</f>
        <v>25.03</v>
      </c>
      <c r="G1637" s="7">
        <f>TRUNC(E1637*F1637,2)</f>
        <v>12.04</v>
      </c>
      <c r="H1637" s="7"/>
      <c r="I1637" s="11"/>
    </row>
    <row r="1638" spans="1:9" ht="45">
      <c r="A1638" s="8"/>
      <c r="B1638" s="12" t="s">
        <v>692</v>
      </c>
      <c r="C1638" s="200" t="s">
        <v>693</v>
      </c>
      <c r="D1638" s="8" t="s">
        <v>48</v>
      </c>
      <c r="E1638" s="11">
        <v>0.0117</v>
      </c>
      <c r="F1638" s="7">
        <f>TRUNC(688.68,2)</f>
        <v>688.68</v>
      </c>
      <c r="G1638" s="7">
        <f>TRUNC(E1638*F1638,2)</f>
        <v>8.05</v>
      </c>
      <c r="H1638" s="7"/>
      <c r="I1638" s="11"/>
    </row>
    <row r="1639" spans="1:9" ht="15">
      <c r="A1639" s="8"/>
      <c r="B1639" s="12"/>
      <c r="C1639" s="200"/>
      <c r="D1639" s="8"/>
      <c r="E1639" s="11" t="s">
        <v>33</v>
      </c>
      <c r="F1639" s="7"/>
      <c r="G1639" s="7">
        <f>TRUNC(SUM(G1635:G1638),2)</f>
        <v>390.84</v>
      </c>
      <c r="H1639" s="7"/>
      <c r="I1639" s="11"/>
    </row>
    <row r="1640" spans="1:9" ht="45">
      <c r="A1640" s="103" t="s">
        <v>694</v>
      </c>
      <c r="B1640" s="110" t="s">
        <v>696</v>
      </c>
      <c r="C1640" s="210" t="s">
        <v>697</v>
      </c>
      <c r="D1640" s="103" t="s">
        <v>7</v>
      </c>
      <c r="E1640" s="111">
        <v>2</v>
      </c>
      <c r="F1640" s="111">
        <f>TRUNC(F1641,2)</f>
        <v>546.25</v>
      </c>
      <c r="G1640" s="111">
        <f>TRUNC(F1640*1.2882,2)</f>
        <v>703.67</v>
      </c>
      <c r="H1640" s="111">
        <f>TRUNC(F1640*E1640,2)</f>
        <v>1092.5</v>
      </c>
      <c r="I1640" s="111">
        <f>TRUNC(E1640*G1640,2)</f>
        <v>1407.34</v>
      </c>
    </row>
    <row r="1641" spans="1:9" ht="45">
      <c r="A1641" s="8"/>
      <c r="B1641" s="12" t="s">
        <v>696</v>
      </c>
      <c r="C1641" s="200" t="s">
        <v>697</v>
      </c>
      <c r="D1641" s="8" t="s">
        <v>7</v>
      </c>
      <c r="E1641" s="11">
        <v>1</v>
      </c>
      <c r="F1641" s="7">
        <f>G1645</f>
        <v>546.25</v>
      </c>
      <c r="G1641" s="7">
        <f>TRUNC(E1641*F1641,2)</f>
        <v>546.25</v>
      </c>
      <c r="H1641" s="7"/>
      <c r="I1641" s="11"/>
    </row>
    <row r="1642" spans="1:9" ht="30">
      <c r="A1642" s="8"/>
      <c r="B1642" s="12" t="s">
        <v>698</v>
      </c>
      <c r="C1642" s="200" t="s">
        <v>699</v>
      </c>
      <c r="D1642" s="8" t="s">
        <v>7</v>
      </c>
      <c r="E1642" s="11">
        <v>1</v>
      </c>
      <c r="F1642" s="7">
        <f>TRUNC(461.98,2)</f>
        <v>461.98</v>
      </c>
      <c r="G1642" s="7">
        <f>TRUNC(E1642*F1642,2)</f>
        <v>461.98</v>
      </c>
      <c r="H1642" s="7"/>
      <c r="I1642" s="11"/>
    </row>
    <row r="1643" spans="1:9" ht="15">
      <c r="A1643" s="8"/>
      <c r="B1643" s="12" t="s">
        <v>602</v>
      </c>
      <c r="C1643" s="200" t="s">
        <v>603</v>
      </c>
      <c r="D1643" s="8" t="s">
        <v>47</v>
      </c>
      <c r="E1643" s="11">
        <v>1.5233</v>
      </c>
      <c r="F1643" s="7">
        <f>TRUNC(30.3,2)</f>
        <v>30.3</v>
      </c>
      <c r="G1643" s="7">
        <f>TRUNC(E1643*F1643,2)</f>
        <v>46.15</v>
      </c>
      <c r="H1643" s="7"/>
      <c r="I1643" s="11"/>
    </row>
    <row r="1644" spans="1:9" ht="15">
      <c r="A1644" s="8"/>
      <c r="B1644" s="12" t="s">
        <v>604</v>
      </c>
      <c r="C1644" s="200" t="s">
        <v>605</v>
      </c>
      <c r="D1644" s="8" t="s">
        <v>47</v>
      </c>
      <c r="E1644" s="11">
        <v>1.5233</v>
      </c>
      <c r="F1644" s="7">
        <f>TRUNC(25.03,2)</f>
        <v>25.03</v>
      </c>
      <c r="G1644" s="7">
        <f>TRUNC(E1644*F1644,2)</f>
        <v>38.12</v>
      </c>
      <c r="H1644" s="7"/>
      <c r="I1644" s="11"/>
    </row>
    <row r="1645" spans="1:9" ht="15">
      <c r="A1645" s="8"/>
      <c r="B1645" s="12"/>
      <c r="C1645" s="200"/>
      <c r="D1645" s="8"/>
      <c r="E1645" s="11" t="s">
        <v>33</v>
      </c>
      <c r="F1645" s="7"/>
      <c r="G1645" s="7">
        <f>TRUNC(SUM(G1642:G1644),2)</f>
        <v>546.25</v>
      </c>
      <c r="H1645" s="7"/>
      <c r="I1645" s="11"/>
    </row>
    <row r="1646" spans="1:9" ht="45">
      <c r="A1646" s="103" t="s">
        <v>695</v>
      </c>
      <c r="B1646" s="110" t="s">
        <v>700</v>
      </c>
      <c r="C1646" s="210" t="s">
        <v>701</v>
      </c>
      <c r="D1646" s="103" t="s">
        <v>7</v>
      </c>
      <c r="E1646" s="111">
        <v>2</v>
      </c>
      <c r="F1646" s="111">
        <f>TRUNC(F1647,2)</f>
        <v>564.04</v>
      </c>
      <c r="G1646" s="111">
        <f>TRUNC(F1646*1.2882,2)</f>
        <v>726.59</v>
      </c>
      <c r="H1646" s="111">
        <f>TRUNC(F1646*E1646,2)</f>
        <v>1128.08</v>
      </c>
      <c r="I1646" s="111">
        <f>TRUNC(E1646*G1646,2)</f>
        <v>1453.18</v>
      </c>
    </row>
    <row r="1647" spans="1:9" ht="45">
      <c r="A1647" s="8"/>
      <c r="B1647" s="12" t="s">
        <v>700</v>
      </c>
      <c r="C1647" s="200" t="s">
        <v>701</v>
      </c>
      <c r="D1647" s="8" t="s">
        <v>7</v>
      </c>
      <c r="E1647" s="11">
        <v>1</v>
      </c>
      <c r="F1647" s="7">
        <f>G1652</f>
        <v>564.04</v>
      </c>
      <c r="G1647" s="7">
        <f>TRUNC(E1647*F1647,2)</f>
        <v>564.04</v>
      </c>
      <c r="H1647" s="7"/>
      <c r="I1647" s="11"/>
    </row>
    <row r="1648" spans="1:9" ht="30">
      <c r="A1648" s="8"/>
      <c r="B1648" s="12" t="s">
        <v>702</v>
      </c>
      <c r="C1648" s="200" t="s">
        <v>703</v>
      </c>
      <c r="D1648" s="8" t="s">
        <v>7</v>
      </c>
      <c r="E1648" s="11">
        <v>1</v>
      </c>
      <c r="F1648" s="7">
        <f>TRUNC(524.56,2)</f>
        <v>524.56</v>
      </c>
      <c r="G1648" s="7">
        <f>TRUNC(E1648*F1648,2)</f>
        <v>524.56</v>
      </c>
      <c r="H1648" s="7"/>
      <c r="I1648" s="11"/>
    </row>
    <row r="1649" spans="1:9" ht="15">
      <c r="A1649" s="8"/>
      <c r="B1649" s="12" t="s">
        <v>602</v>
      </c>
      <c r="C1649" s="200" t="s">
        <v>603</v>
      </c>
      <c r="D1649" s="8" t="s">
        <v>47</v>
      </c>
      <c r="E1649" s="11">
        <v>0.5346</v>
      </c>
      <c r="F1649" s="7">
        <f>TRUNC(30.3,2)</f>
        <v>30.3</v>
      </c>
      <c r="G1649" s="7">
        <f>TRUNC(E1649*F1649,2)</f>
        <v>16.19</v>
      </c>
      <c r="H1649" s="7"/>
      <c r="I1649" s="11"/>
    </row>
    <row r="1650" spans="1:9" ht="15">
      <c r="A1650" s="8"/>
      <c r="B1650" s="12" t="s">
        <v>604</v>
      </c>
      <c r="C1650" s="200" t="s">
        <v>605</v>
      </c>
      <c r="D1650" s="8" t="s">
        <v>47</v>
      </c>
      <c r="E1650" s="11">
        <v>0.5346</v>
      </c>
      <c r="F1650" s="7">
        <f>TRUNC(25.03,2)</f>
        <v>25.03</v>
      </c>
      <c r="G1650" s="7">
        <f>TRUNC(E1650*F1650,2)</f>
        <v>13.38</v>
      </c>
      <c r="H1650" s="7"/>
      <c r="I1650" s="11"/>
    </row>
    <row r="1651" spans="1:9" ht="45">
      <c r="A1651" s="8"/>
      <c r="B1651" s="12" t="s">
        <v>692</v>
      </c>
      <c r="C1651" s="200" t="s">
        <v>693</v>
      </c>
      <c r="D1651" s="8" t="s">
        <v>48</v>
      </c>
      <c r="E1651" s="11">
        <v>0.0144</v>
      </c>
      <c r="F1651" s="7">
        <f>TRUNC(688.68,2)</f>
        <v>688.68</v>
      </c>
      <c r="G1651" s="7">
        <f>TRUNC(E1651*F1651,2)</f>
        <v>9.91</v>
      </c>
      <c r="H1651" s="7"/>
      <c r="I1651" s="11"/>
    </row>
    <row r="1652" spans="1:9" ht="15">
      <c r="A1652" s="8"/>
      <c r="B1652" s="12"/>
      <c r="C1652" s="200"/>
      <c r="D1652" s="8"/>
      <c r="E1652" s="11" t="s">
        <v>33</v>
      </c>
      <c r="F1652" s="7"/>
      <c r="G1652" s="7">
        <f>TRUNC(SUM(G1648:G1651),2)</f>
        <v>564.04</v>
      </c>
      <c r="H1652" s="7"/>
      <c r="I1652" s="11"/>
    </row>
    <row r="1653" spans="1:9" ht="75">
      <c r="A1653" s="103" t="s">
        <v>745</v>
      </c>
      <c r="B1653" s="110" t="s">
        <v>705</v>
      </c>
      <c r="C1653" s="210" t="s">
        <v>706</v>
      </c>
      <c r="D1653" s="103" t="s">
        <v>7</v>
      </c>
      <c r="E1653" s="111">
        <v>1</v>
      </c>
      <c r="F1653" s="111">
        <f>TRUNC(F1654,2)</f>
        <v>1165.5</v>
      </c>
      <c r="G1653" s="111">
        <f>TRUNC(F1653*1.2882,2)</f>
        <v>1501.39</v>
      </c>
      <c r="H1653" s="111">
        <f>TRUNC(F1653*E1653,2)</f>
        <v>1165.5</v>
      </c>
      <c r="I1653" s="111">
        <f>TRUNC(E1653*G1653,2)</f>
        <v>1501.39</v>
      </c>
    </row>
    <row r="1654" spans="1:9" ht="75">
      <c r="A1654" s="8"/>
      <c r="B1654" s="12" t="s">
        <v>705</v>
      </c>
      <c r="C1654" s="200" t="s">
        <v>706</v>
      </c>
      <c r="D1654" s="8" t="s">
        <v>7</v>
      </c>
      <c r="E1654" s="11">
        <v>1</v>
      </c>
      <c r="F1654" s="7">
        <f>TRUNC(1165.507678,2)</f>
        <v>1165.5</v>
      </c>
      <c r="G1654" s="7">
        <f aca="true" t="shared" si="72" ref="G1654:G1675">TRUNC(E1654*F1654,2)</f>
        <v>1165.5</v>
      </c>
      <c r="H1654" s="7"/>
      <c r="I1654" s="11"/>
    </row>
    <row r="1655" spans="1:9" ht="15">
      <c r="A1655" s="8"/>
      <c r="B1655" s="12" t="s">
        <v>707</v>
      </c>
      <c r="C1655" s="200" t="s">
        <v>708</v>
      </c>
      <c r="D1655" s="8" t="s">
        <v>7</v>
      </c>
      <c r="E1655" s="11">
        <v>3</v>
      </c>
      <c r="F1655" s="7">
        <f>TRUNC(4.36,2)</f>
        <v>4.36</v>
      </c>
      <c r="G1655" s="7">
        <f t="shared" si="72"/>
        <v>13.08</v>
      </c>
      <c r="H1655" s="7"/>
      <c r="I1655" s="11"/>
    </row>
    <row r="1656" spans="1:9" ht="30">
      <c r="A1656" s="8"/>
      <c r="B1656" s="12" t="s">
        <v>709</v>
      </c>
      <c r="C1656" s="200" t="s">
        <v>710</v>
      </c>
      <c r="D1656" s="8" t="s">
        <v>7</v>
      </c>
      <c r="E1656" s="11">
        <v>0.7186</v>
      </c>
      <c r="F1656" s="7">
        <f>TRUNC(9.5277,2)</f>
        <v>9.52</v>
      </c>
      <c r="G1656" s="7">
        <f t="shared" si="72"/>
        <v>6.84</v>
      </c>
      <c r="H1656" s="7"/>
      <c r="I1656" s="11"/>
    </row>
    <row r="1657" spans="1:9" ht="30">
      <c r="A1657" s="8"/>
      <c r="B1657" s="12" t="s">
        <v>711</v>
      </c>
      <c r="C1657" s="200" t="s">
        <v>712</v>
      </c>
      <c r="D1657" s="8" t="s">
        <v>7</v>
      </c>
      <c r="E1657" s="11">
        <v>1.7966</v>
      </c>
      <c r="F1657" s="7">
        <f>TRUNC(48.73,2)</f>
        <v>48.73</v>
      </c>
      <c r="G1657" s="7">
        <f t="shared" si="72"/>
        <v>87.54</v>
      </c>
      <c r="H1657" s="7"/>
      <c r="I1657" s="11"/>
    </row>
    <row r="1658" spans="1:9" ht="15">
      <c r="A1658" s="8"/>
      <c r="B1658" s="12" t="s">
        <v>713</v>
      </c>
      <c r="C1658" s="200" t="s">
        <v>714</v>
      </c>
      <c r="D1658" s="8" t="s">
        <v>7</v>
      </c>
      <c r="E1658" s="11">
        <v>2</v>
      </c>
      <c r="F1658" s="7">
        <f>TRUNC(0.7645,2)</f>
        <v>0.76</v>
      </c>
      <c r="G1658" s="7">
        <f t="shared" si="72"/>
        <v>1.52</v>
      </c>
      <c r="H1658" s="7"/>
      <c r="I1658" s="11"/>
    </row>
    <row r="1659" spans="1:9" ht="15">
      <c r="A1659" s="8"/>
      <c r="B1659" s="12" t="s">
        <v>715</v>
      </c>
      <c r="C1659" s="200" t="s">
        <v>716</v>
      </c>
      <c r="D1659" s="8" t="s">
        <v>7</v>
      </c>
      <c r="E1659" s="11">
        <v>2</v>
      </c>
      <c r="F1659" s="7">
        <f>TRUNC(14.29,2)</f>
        <v>14.29</v>
      </c>
      <c r="G1659" s="7">
        <f t="shared" si="72"/>
        <v>28.58</v>
      </c>
      <c r="H1659" s="7"/>
      <c r="I1659" s="11"/>
    </row>
    <row r="1660" spans="1:9" ht="15">
      <c r="A1660" s="8"/>
      <c r="B1660" s="12" t="s">
        <v>717</v>
      </c>
      <c r="C1660" s="200" t="s">
        <v>718</v>
      </c>
      <c r="D1660" s="8" t="s">
        <v>7</v>
      </c>
      <c r="E1660" s="11">
        <v>1</v>
      </c>
      <c r="F1660" s="7">
        <f>TRUNC(1.77,2)</f>
        <v>1.77</v>
      </c>
      <c r="G1660" s="7">
        <f t="shared" si="72"/>
        <v>1.77</v>
      </c>
      <c r="H1660" s="7"/>
      <c r="I1660" s="11"/>
    </row>
    <row r="1661" spans="1:9" ht="15">
      <c r="A1661" s="8"/>
      <c r="B1661" s="12" t="s">
        <v>719</v>
      </c>
      <c r="C1661" s="200" t="s">
        <v>720</v>
      </c>
      <c r="D1661" s="8" t="s">
        <v>7</v>
      </c>
      <c r="E1661" s="11">
        <v>2</v>
      </c>
      <c r="F1661" s="7">
        <f>TRUNC(5.4974,2)</f>
        <v>5.49</v>
      </c>
      <c r="G1661" s="7">
        <f t="shared" si="72"/>
        <v>10.98</v>
      </c>
      <c r="H1661" s="7"/>
      <c r="I1661" s="11"/>
    </row>
    <row r="1662" spans="1:9" ht="15">
      <c r="A1662" s="8"/>
      <c r="B1662" s="12" t="s">
        <v>721</v>
      </c>
      <c r="C1662" s="200" t="s">
        <v>722</v>
      </c>
      <c r="D1662" s="8" t="s">
        <v>7</v>
      </c>
      <c r="E1662" s="11">
        <v>1</v>
      </c>
      <c r="F1662" s="7">
        <f>TRUNC(46.71,2)</f>
        <v>46.71</v>
      </c>
      <c r="G1662" s="7">
        <f t="shared" si="72"/>
        <v>46.71</v>
      </c>
      <c r="H1662" s="7"/>
      <c r="I1662" s="11"/>
    </row>
    <row r="1663" spans="1:9" ht="15">
      <c r="A1663" s="8"/>
      <c r="B1663" s="12" t="s">
        <v>723</v>
      </c>
      <c r="C1663" s="200" t="s">
        <v>724</v>
      </c>
      <c r="D1663" s="8" t="s">
        <v>7</v>
      </c>
      <c r="E1663" s="11">
        <v>1</v>
      </c>
      <c r="F1663" s="7">
        <f>TRUNC(6.23,2)</f>
        <v>6.23</v>
      </c>
      <c r="G1663" s="7">
        <f t="shared" si="72"/>
        <v>6.23</v>
      </c>
      <c r="H1663" s="7"/>
      <c r="I1663" s="11"/>
    </row>
    <row r="1664" spans="1:9" ht="15">
      <c r="A1664" s="8"/>
      <c r="B1664" s="12" t="s">
        <v>725</v>
      </c>
      <c r="C1664" s="200" t="s">
        <v>726</v>
      </c>
      <c r="D1664" s="8" t="s">
        <v>7</v>
      </c>
      <c r="E1664" s="11">
        <v>2</v>
      </c>
      <c r="F1664" s="7">
        <f>TRUNC(1.1755,2)</f>
        <v>1.17</v>
      </c>
      <c r="G1664" s="7">
        <f t="shared" si="72"/>
        <v>2.34</v>
      </c>
      <c r="H1664" s="7"/>
      <c r="I1664" s="11"/>
    </row>
    <row r="1665" spans="1:9" ht="15">
      <c r="A1665" s="8"/>
      <c r="B1665" s="12" t="s">
        <v>727</v>
      </c>
      <c r="C1665" s="200" t="s">
        <v>728</v>
      </c>
      <c r="D1665" s="8" t="s">
        <v>7</v>
      </c>
      <c r="E1665" s="11">
        <v>1</v>
      </c>
      <c r="F1665" s="7">
        <f>TRUNC(12.31,2)</f>
        <v>12.31</v>
      </c>
      <c r="G1665" s="7">
        <f t="shared" si="72"/>
        <v>12.31</v>
      </c>
      <c r="H1665" s="7"/>
      <c r="I1665" s="11"/>
    </row>
    <row r="1666" spans="1:9" ht="30">
      <c r="A1666" s="8"/>
      <c r="B1666" s="12" t="s">
        <v>729</v>
      </c>
      <c r="C1666" s="200" t="s">
        <v>730</v>
      </c>
      <c r="D1666" s="8" t="s">
        <v>7</v>
      </c>
      <c r="E1666" s="11">
        <v>3</v>
      </c>
      <c r="F1666" s="7">
        <f>TRUNC(43.25,2)</f>
        <v>43.25</v>
      </c>
      <c r="G1666" s="7">
        <f t="shared" si="72"/>
        <v>129.75</v>
      </c>
      <c r="H1666" s="7"/>
      <c r="I1666" s="11"/>
    </row>
    <row r="1667" spans="1:9" ht="30">
      <c r="A1667" s="8"/>
      <c r="B1667" s="12" t="s">
        <v>731</v>
      </c>
      <c r="C1667" s="200" t="s">
        <v>732</v>
      </c>
      <c r="D1667" s="8" t="s">
        <v>7</v>
      </c>
      <c r="E1667" s="11">
        <v>1</v>
      </c>
      <c r="F1667" s="7">
        <f>TRUNC(11.65,2)</f>
        <v>11.65</v>
      </c>
      <c r="G1667" s="7">
        <f t="shared" si="72"/>
        <v>11.65</v>
      </c>
      <c r="H1667" s="7"/>
      <c r="I1667" s="11"/>
    </row>
    <row r="1668" spans="1:9" ht="15">
      <c r="A1668" s="8"/>
      <c r="B1668" s="12" t="s">
        <v>733</v>
      </c>
      <c r="C1668" s="200" t="s">
        <v>734</v>
      </c>
      <c r="D1668" s="8" t="s">
        <v>136</v>
      </c>
      <c r="E1668" s="11">
        <v>0.0093</v>
      </c>
      <c r="F1668" s="7">
        <f>TRUNC(90.4,2)</f>
        <v>90.4</v>
      </c>
      <c r="G1668" s="7">
        <f t="shared" si="72"/>
        <v>0.84</v>
      </c>
      <c r="H1668" s="7"/>
      <c r="I1668" s="11"/>
    </row>
    <row r="1669" spans="1:9" ht="30">
      <c r="A1669" s="8"/>
      <c r="B1669" s="12" t="s">
        <v>735</v>
      </c>
      <c r="C1669" s="200" t="s">
        <v>736</v>
      </c>
      <c r="D1669" s="8" t="s">
        <v>7</v>
      </c>
      <c r="E1669" s="11">
        <v>1</v>
      </c>
      <c r="F1669" s="7">
        <f>TRUNC(283.81,2)</f>
        <v>283.81</v>
      </c>
      <c r="G1669" s="7">
        <f t="shared" si="72"/>
        <v>283.81</v>
      </c>
      <c r="H1669" s="7"/>
      <c r="I1669" s="11"/>
    </row>
    <row r="1670" spans="1:9" ht="30">
      <c r="A1670" s="8"/>
      <c r="B1670" s="12" t="s">
        <v>737</v>
      </c>
      <c r="C1670" s="200" t="s">
        <v>738</v>
      </c>
      <c r="D1670" s="8" t="s">
        <v>7</v>
      </c>
      <c r="E1670" s="11">
        <v>1</v>
      </c>
      <c r="F1670" s="7">
        <f>TRUNC(283.81,2)</f>
        <v>283.81</v>
      </c>
      <c r="G1670" s="7">
        <f t="shared" si="72"/>
        <v>283.81</v>
      </c>
      <c r="H1670" s="7"/>
      <c r="I1670" s="11"/>
    </row>
    <row r="1671" spans="1:9" ht="15">
      <c r="A1671" s="8"/>
      <c r="B1671" s="12" t="s">
        <v>739</v>
      </c>
      <c r="C1671" s="200" t="s">
        <v>740</v>
      </c>
      <c r="D1671" s="8" t="s">
        <v>7</v>
      </c>
      <c r="E1671" s="11">
        <v>1</v>
      </c>
      <c r="F1671" s="7">
        <f>TRUNC(14.1558,2)</f>
        <v>14.15</v>
      </c>
      <c r="G1671" s="7">
        <f t="shared" si="72"/>
        <v>14.15</v>
      </c>
      <c r="H1671" s="7"/>
      <c r="I1671" s="11"/>
    </row>
    <row r="1672" spans="1:9" ht="15">
      <c r="A1672" s="8"/>
      <c r="B1672" s="12" t="s">
        <v>741</v>
      </c>
      <c r="C1672" s="200" t="s">
        <v>742</v>
      </c>
      <c r="D1672" s="8" t="s">
        <v>7</v>
      </c>
      <c r="E1672" s="11">
        <v>4</v>
      </c>
      <c r="F1672" s="7">
        <f>TRUNC(8.11,2)</f>
        <v>8.11</v>
      </c>
      <c r="G1672" s="7">
        <f t="shared" si="72"/>
        <v>32.44</v>
      </c>
      <c r="H1672" s="7"/>
      <c r="I1672" s="11"/>
    </row>
    <row r="1673" spans="1:9" ht="30">
      <c r="A1673" s="8"/>
      <c r="B1673" s="12" t="s">
        <v>566</v>
      </c>
      <c r="C1673" s="200" t="s">
        <v>567</v>
      </c>
      <c r="D1673" s="8" t="s">
        <v>47</v>
      </c>
      <c r="E1673" s="11">
        <v>3.758676</v>
      </c>
      <c r="F1673" s="7">
        <f>TRUNC(21.96,2)</f>
        <v>21.96</v>
      </c>
      <c r="G1673" s="7">
        <f t="shared" si="72"/>
        <v>82.54</v>
      </c>
      <c r="H1673" s="7"/>
      <c r="I1673" s="11"/>
    </row>
    <row r="1674" spans="1:9" ht="30">
      <c r="A1674" s="8"/>
      <c r="B1674" s="12" t="s">
        <v>45</v>
      </c>
      <c r="C1674" s="200" t="s">
        <v>46</v>
      </c>
      <c r="D1674" s="8" t="s">
        <v>47</v>
      </c>
      <c r="E1674" s="11">
        <v>5.231988</v>
      </c>
      <c r="F1674" s="7">
        <f>TRUNC(15.87,2)</f>
        <v>15.87</v>
      </c>
      <c r="G1674" s="7">
        <f t="shared" si="72"/>
        <v>83.03</v>
      </c>
      <c r="H1674" s="7"/>
      <c r="I1674" s="11"/>
    </row>
    <row r="1675" spans="1:9" ht="15">
      <c r="A1675" s="8"/>
      <c r="B1675" s="12" t="s">
        <v>743</v>
      </c>
      <c r="C1675" s="200" t="s">
        <v>744</v>
      </c>
      <c r="D1675" s="8" t="s">
        <v>48</v>
      </c>
      <c r="E1675" s="11">
        <v>0.0562</v>
      </c>
      <c r="F1675" s="7">
        <f>TRUNC(454.2573,2)</f>
        <v>454.25</v>
      </c>
      <c r="G1675" s="7">
        <f t="shared" si="72"/>
        <v>25.52</v>
      </c>
      <c r="H1675" s="7"/>
      <c r="I1675" s="11"/>
    </row>
    <row r="1676" spans="1:9" ht="15">
      <c r="A1676" s="8"/>
      <c r="B1676" s="12"/>
      <c r="C1676" s="200"/>
      <c r="D1676" s="8"/>
      <c r="E1676" s="11" t="s">
        <v>33</v>
      </c>
      <c r="F1676" s="7"/>
      <c r="G1676" s="7">
        <f>TRUNC(SUM(G1655:G1675),2)</f>
        <v>1165.44</v>
      </c>
      <c r="H1676" s="7"/>
      <c r="I1676" s="11"/>
    </row>
    <row r="1677" spans="1:9" ht="45">
      <c r="A1677" s="103" t="s">
        <v>758</v>
      </c>
      <c r="B1677" s="110" t="s">
        <v>746</v>
      </c>
      <c r="C1677" s="210" t="s">
        <v>747</v>
      </c>
      <c r="D1677" s="103" t="s">
        <v>7</v>
      </c>
      <c r="E1677" s="111">
        <v>1</v>
      </c>
      <c r="F1677" s="111">
        <f>TRUNC(F1678,2)</f>
        <v>956.03</v>
      </c>
      <c r="G1677" s="111">
        <f>TRUNC(F1677*1.2882,2)</f>
        <v>1231.55</v>
      </c>
      <c r="H1677" s="111">
        <f>TRUNC(F1677*E1677,2)</f>
        <v>956.03</v>
      </c>
      <c r="I1677" s="111">
        <f>TRUNC(E1677*G1677,2)</f>
        <v>1231.55</v>
      </c>
    </row>
    <row r="1678" spans="1:9" ht="45">
      <c r="A1678" s="8"/>
      <c r="B1678" s="12" t="s">
        <v>746</v>
      </c>
      <c r="C1678" s="200" t="s">
        <v>747</v>
      </c>
      <c r="D1678" s="8" t="s">
        <v>7</v>
      </c>
      <c r="E1678" s="11">
        <v>1</v>
      </c>
      <c r="F1678" s="7">
        <f>G1685</f>
        <v>956.03</v>
      </c>
      <c r="G1678" s="7">
        <f aca="true" t="shared" si="73" ref="G1678:G1684">TRUNC(E1678*F1678,2)</f>
        <v>956.03</v>
      </c>
      <c r="H1678" s="7"/>
      <c r="I1678" s="11"/>
    </row>
    <row r="1679" spans="1:9" ht="30">
      <c r="A1679" s="8"/>
      <c r="B1679" s="12" t="s">
        <v>748</v>
      </c>
      <c r="C1679" s="200" t="s">
        <v>749</v>
      </c>
      <c r="D1679" s="8" t="s">
        <v>7</v>
      </c>
      <c r="E1679" s="11">
        <v>1</v>
      </c>
      <c r="F1679" s="7">
        <f>TRUNC(695,2)</f>
        <v>695</v>
      </c>
      <c r="G1679" s="7">
        <f t="shared" si="73"/>
        <v>695</v>
      </c>
      <c r="H1679" s="7"/>
      <c r="I1679" s="11"/>
    </row>
    <row r="1680" spans="1:9" ht="30">
      <c r="A1680" s="8"/>
      <c r="B1680" s="12" t="s">
        <v>45</v>
      </c>
      <c r="C1680" s="200" t="s">
        <v>46</v>
      </c>
      <c r="D1680" s="8" t="s">
        <v>47</v>
      </c>
      <c r="E1680" s="11">
        <v>5.665</v>
      </c>
      <c r="F1680" s="7">
        <f>TRUNC(15.87,2)</f>
        <v>15.87</v>
      </c>
      <c r="G1680" s="7">
        <f t="shared" si="73"/>
        <v>89.9</v>
      </c>
      <c r="H1680" s="7"/>
      <c r="I1680" s="11"/>
    </row>
    <row r="1681" spans="1:9" ht="15">
      <c r="A1681" s="8"/>
      <c r="B1681" s="12" t="s">
        <v>750</v>
      </c>
      <c r="C1681" s="200" t="s">
        <v>751</v>
      </c>
      <c r="D1681" s="8" t="s">
        <v>47</v>
      </c>
      <c r="E1681" s="11">
        <v>1</v>
      </c>
      <c r="F1681" s="7">
        <f>TRUNC(51.5246,2)</f>
        <v>51.52</v>
      </c>
      <c r="G1681" s="7">
        <f t="shared" si="73"/>
        <v>51.52</v>
      </c>
      <c r="H1681" s="7"/>
      <c r="I1681" s="11"/>
    </row>
    <row r="1682" spans="1:9" ht="15">
      <c r="A1682" s="8"/>
      <c r="B1682" s="12" t="s">
        <v>752</v>
      </c>
      <c r="C1682" s="200" t="s">
        <v>753</v>
      </c>
      <c r="D1682" s="8" t="s">
        <v>47</v>
      </c>
      <c r="E1682" s="11">
        <v>1</v>
      </c>
      <c r="F1682" s="7">
        <f>TRUNC(75.1798,2)</f>
        <v>75.17</v>
      </c>
      <c r="G1682" s="7">
        <f t="shared" si="73"/>
        <v>75.17</v>
      </c>
      <c r="H1682" s="7"/>
      <c r="I1682" s="11"/>
    </row>
    <row r="1683" spans="1:9" ht="15">
      <c r="A1683" s="8"/>
      <c r="B1683" s="12" t="s">
        <v>754</v>
      </c>
      <c r="C1683" s="200" t="s">
        <v>755</v>
      </c>
      <c r="D1683" s="8" t="s">
        <v>48</v>
      </c>
      <c r="E1683" s="11">
        <v>0.1</v>
      </c>
      <c r="F1683" s="7">
        <f>TRUNC(71.7262,2)</f>
        <v>71.72</v>
      </c>
      <c r="G1683" s="7">
        <f t="shared" si="73"/>
        <v>7.17</v>
      </c>
      <c r="H1683" s="7"/>
      <c r="I1683" s="11"/>
    </row>
    <row r="1684" spans="1:9" ht="15">
      <c r="A1684" s="8"/>
      <c r="B1684" s="12" t="s">
        <v>756</v>
      </c>
      <c r="C1684" s="200" t="s">
        <v>757</v>
      </c>
      <c r="D1684" s="8" t="s">
        <v>48</v>
      </c>
      <c r="E1684" s="11">
        <v>0.1</v>
      </c>
      <c r="F1684" s="7">
        <f>TRUNC(372.7452,2)</f>
        <v>372.74</v>
      </c>
      <c r="G1684" s="7">
        <f t="shared" si="73"/>
        <v>37.27</v>
      </c>
      <c r="H1684" s="7"/>
      <c r="I1684" s="11"/>
    </row>
    <row r="1685" spans="1:9" ht="15">
      <c r="A1685" s="8"/>
      <c r="B1685" s="12"/>
      <c r="C1685" s="200"/>
      <c r="D1685" s="8"/>
      <c r="E1685" s="11" t="s">
        <v>33</v>
      </c>
      <c r="F1685" s="7"/>
      <c r="G1685" s="7">
        <f>TRUNC(SUM(G1679:G1684),2)</f>
        <v>956.03</v>
      </c>
      <c r="H1685" s="7"/>
      <c r="I1685" s="11"/>
    </row>
    <row r="1686" spans="1:9" ht="30">
      <c r="A1686" s="103" t="s">
        <v>759</v>
      </c>
      <c r="B1686" s="110" t="s">
        <v>760</v>
      </c>
      <c r="C1686" s="210" t="s">
        <v>761</v>
      </c>
      <c r="D1686" s="103" t="s">
        <v>7</v>
      </c>
      <c r="E1686" s="111">
        <v>4</v>
      </c>
      <c r="F1686" s="111">
        <f>TRUNC(F1687,2)</f>
        <v>11.39</v>
      </c>
      <c r="G1686" s="111">
        <f>TRUNC(F1686*1.2882,2)</f>
        <v>14.67</v>
      </c>
      <c r="H1686" s="111">
        <f>TRUNC(F1686*E1686,2)</f>
        <v>45.56</v>
      </c>
      <c r="I1686" s="111">
        <f>TRUNC(E1686*G1686,2)</f>
        <v>58.68</v>
      </c>
    </row>
    <row r="1687" spans="1:9" ht="30">
      <c r="A1687" s="8"/>
      <c r="B1687" s="12" t="s">
        <v>760</v>
      </c>
      <c r="C1687" s="200" t="s">
        <v>761</v>
      </c>
      <c r="D1687" s="8" t="s">
        <v>7</v>
      </c>
      <c r="E1687" s="11">
        <v>1</v>
      </c>
      <c r="F1687" s="7">
        <f>TRUNC(11.397616,2)</f>
        <v>11.39</v>
      </c>
      <c r="G1687" s="7">
        <f>TRUNC(E1687*F1687,2)</f>
        <v>11.39</v>
      </c>
      <c r="H1687" s="7"/>
      <c r="I1687" s="11"/>
    </row>
    <row r="1688" spans="1:9" ht="15">
      <c r="A1688" s="8"/>
      <c r="B1688" s="12" t="s">
        <v>762</v>
      </c>
      <c r="C1688" s="200" t="s">
        <v>763</v>
      </c>
      <c r="D1688" s="8" t="s">
        <v>7</v>
      </c>
      <c r="E1688" s="11">
        <v>1</v>
      </c>
      <c r="F1688" s="7">
        <f>TRUNC(8.41,2)</f>
        <v>8.41</v>
      </c>
      <c r="G1688" s="7">
        <f>TRUNC(E1688*F1688,2)</f>
        <v>8.41</v>
      </c>
      <c r="H1688" s="7"/>
      <c r="I1688" s="11"/>
    </row>
    <row r="1689" spans="1:9" ht="30">
      <c r="A1689" s="8"/>
      <c r="B1689" s="12" t="s">
        <v>764</v>
      </c>
      <c r="C1689" s="200" t="s">
        <v>765</v>
      </c>
      <c r="D1689" s="8" t="s">
        <v>7</v>
      </c>
      <c r="E1689" s="11">
        <v>1</v>
      </c>
      <c r="F1689" s="7">
        <f>TRUNC(1.04,2)</f>
        <v>1.04</v>
      </c>
      <c r="G1689" s="7">
        <f>TRUNC(E1689*F1689,2)</f>
        <v>1.04</v>
      </c>
      <c r="H1689" s="7"/>
      <c r="I1689" s="11"/>
    </row>
    <row r="1690" spans="1:9" ht="15">
      <c r="A1690" s="8"/>
      <c r="B1690" s="12" t="s">
        <v>602</v>
      </c>
      <c r="C1690" s="200" t="s">
        <v>603</v>
      </c>
      <c r="D1690" s="8" t="s">
        <v>47</v>
      </c>
      <c r="E1690" s="11">
        <v>0.0352</v>
      </c>
      <c r="F1690" s="7">
        <f>TRUNC(30.3,2)</f>
        <v>30.3</v>
      </c>
      <c r="G1690" s="7">
        <f>TRUNC(E1690*F1690,2)</f>
        <v>1.06</v>
      </c>
      <c r="H1690" s="7"/>
      <c r="I1690" s="11"/>
    </row>
    <row r="1691" spans="1:9" ht="15">
      <c r="A1691" s="8"/>
      <c r="B1691" s="12" t="s">
        <v>604</v>
      </c>
      <c r="C1691" s="200" t="s">
        <v>605</v>
      </c>
      <c r="D1691" s="8" t="s">
        <v>47</v>
      </c>
      <c r="E1691" s="11">
        <v>0.0352</v>
      </c>
      <c r="F1691" s="7">
        <f>TRUNC(25.03,2)</f>
        <v>25.03</v>
      </c>
      <c r="G1691" s="7">
        <f>TRUNC(E1691*F1691,2)</f>
        <v>0.88</v>
      </c>
      <c r="H1691" s="7"/>
      <c r="I1691" s="11"/>
    </row>
    <row r="1692" spans="1:9" ht="15">
      <c r="A1692" s="8"/>
      <c r="B1692" s="12"/>
      <c r="C1692" s="200"/>
      <c r="D1692" s="8"/>
      <c r="E1692" s="11" t="s">
        <v>33</v>
      </c>
      <c r="F1692" s="7"/>
      <c r="G1692" s="7">
        <f>TRUNC(SUM(G1688:G1691),2)</f>
        <v>11.39</v>
      </c>
      <c r="H1692" s="7"/>
      <c r="I1692" s="11"/>
    </row>
    <row r="1693" spans="1:9" ht="30">
      <c r="A1693" s="103" t="s">
        <v>1464</v>
      </c>
      <c r="B1693" s="110" t="s">
        <v>766</v>
      </c>
      <c r="C1693" s="210" t="s">
        <v>767</v>
      </c>
      <c r="D1693" s="103" t="s">
        <v>7</v>
      </c>
      <c r="E1693" s="111">
        <v>3</v>
      </c>
      <c r="F1693" s="111">
        <f>TRUNC(F1694,2)</f>
        <v>12.08</v>
      </c>
      <c r="G1693" s="111">
        <f>TRUNC(F1693*1.2882,2)</f>
        <v>15.56</v>
      </c>
      <c r="H1693" s="111">
        <f>TRUNC(F1693*E1693,2)</f>
        <v>36.24</v>
      </c>
      <c r="I1693" s="111">
        <f>TRUNC(E1693*G1693,2)</f>
        <v>46.68</v>
      </c>
    </row>
    <row r="1694" spans="1:9" ht="30">
      <c r="A1694" s="8"/>
      <c r="B1694" s="12" t="s">
        <v>766</v>
      </c>
      <c r="C1694" s="200" t="s">
        <v>767</v>
      </c>
      <c r="D1694" s="8" t="s">
        <v>7</v>
      </c>
      <c r="E1694" s="11">
        <v>1</v>
      </c>
      <c r="F1694" s="7">
        <f>TRUNC(12.083708,2)</f>
        <v>12.08</v>
      </c>
      <c r="G1694" s="7">
        <f>TRUNC(E1694*F1694,2)</f>
        <v>12.08</v>
      </c>
      <c r="H1694" s="7"/>
      <c r="I1694" s="11"/>
    </row>
    <row r="1695" spans="1:9" ht="15">
      <c r="A1695" s="8"/>
      <c r="B1695" s="12" t="s">
        <v>762</v>
      </c>
      <c r="C1695" s="200" t="s">
        <v>763</v>
      </c>
      <c r="D1695" s="8" t="s">
        <v>7</v>
      </c>
      <c r="E1695" s="11">
        <v>1</v>
      </c>
      <c r="F1695" s="7">
        <f>TRUNC(8.41,2)</f>
        <v>8.41</v>
      </c>
      <c r="G1695" s="7">
        <f>TRUNC(E1695*F1695,2)</f>
        <v>8.41</v>
      </c>
      <c r="H1695" s="7"/>
      <c r="I1695" s="11"/>
    </row>
    <row r="1696" spans="1:9" ht="30">
      <c r="A1696" s="8"/>
      <c r="B1696" s="12" t="s">
        <v>764</v>
      </c>
      <c r="C1696" s="200" t="s">
        <v>765</v>
      </c>
      <c r="D1696" s="8" t="s">
        <v>7</v>
      </c>
      <c r="E1696" s="11">
        <v>1</v>
      </c>
      <c r="F1696" s="7">
        <f>TRUNC(1.04,2)</f>
        <v>1.04</v>
      </c>
      <c r="G1696" s="7">
        <f>TRUNC(E1696*F1696,2)</f>
        <v>1.04</v>
      </c>
      <c r="H1696" s="7"/>
      <c r="I1696" s="11"/>
    </row>
    <row r="1697" spans="1:9" ht="15">
      <c r="A1697" s="8"/>
      <c r="B1697" s="12" t="s">
        <v>602</v>
      </c>
      <c r="C1697" s="200" t="s">
        <v>603</v>
      </c>
      <c r="D1697" s="8" t="s">
        <v>47</v>
      </c>
      <c r="E1697" s="11">
        <v>0.0476</v>
      </c>
      <c r="F1697" s="7">
        <f>TRUNC(30.3,2)</f>
        <v>30.3</v>
      </c>
      <c r="G1697" s="7">
        <f>TRUNC(E1697*F1697,2)</f>
        <v>1.44</v>
      </c>
      <c r="H1697" s="7"/>
      <c r="I1697" s="11"/>
    </row>
    <row r="1698" spans="1:9" ht="15">
      <c r="A1698" s="8"/>
      <c r="B1698" s="12" t="s">
        <v>604</v>
      </c>
      <c r="C1698" s="200" t="s">
        <v>605</v>
      </c>
      <c r="D1698" s="8" t="s">
        <v>47</v>
      </c>
      <c r="E1698" s="11">
        <v>0.0476</v>
      </c>
      <c r="F1698" s="7">
        <f>TRUNC(25.03,2)</f>
        <v>25.03</v>
      </c>
      <c r="G1698" s="7">
        <f>TRUNC(E1698*F1698,2)</f>
        <v>1.19</v>
      </c>
      <c r="H1698" s="7"/>
      <c r="I1698" s="11"/>
    </row>
    <row r="1699" spans="1:9" ht="15">
      <c r="A1699" s="8"/>
      <c r="B1699" s="12"/>
      <c r="C1699" s="200"/>
      <c r="D1699" s="8"/>
      <c r="E1699" s="11" t="s">
        <v>33</v>
      </c>
      <c r="F1699" s="7"/>
      <c r="G1699" s="7">
        <f>TRUNC(SUM(G1695:G1698),2)</f>
        <v>12.08</v>
      </c>
      <c r="H1699" s="7"/>
      <c r="I1699" s="11"/>
    </row>
    <row r="1700" spans="1:9" ht="30">
      <c r="A1700" s="103" t="s">
        <v>1465</v>
      </c>
      <c r="B1700" s="110" t="s">
        <v>768</v>
      </c>
      <c r="C1700" s="210" t="s">
        <v>769</v>
      </c>
      <c r="D1700" s="103" t="s">
        <v>7</v>
      </c>
      <c r="E1700" s="111">
        <v>2</v>
      </c>
      <c r="F1700" s="111">
        <f>TRUNC(F1701,2)</f>
        <v>13.42</v>
      </c>
      <c r="G1700" s="111">
        <f>TRUNC(F1700*1.2882,2)</f>
        <v>17.28</v>
      </c>
      <c r="H1700" s="111">
        <f>TRUNC(F1700*E1700,2)</f>
        <v>26.84</v>
      </c>
      <c r="I1700" s="111">
        <f>TRUNC(E1700*G1700,2)</f>
        <v>34.56</v>
      </c>
    </row>
    <row r="1701" spans="1:9" ht="30">
      <c r="A1701" s="8"/>
      <c r="B1701" s="12" t="s">
        <v>768</v>
      </c>
      <c r="C1701" s="200" t="s">
        <v>769</v>
      </c>
      <c r="D1701" s="8" t="s">
        <v>7</v>
      </c>
      <c r="E1701" s="11">
        <v>1</v>
      </c>
      <c r="F1701" s="7">
        <f>TRUNC(13.428379,2)</f>
        <v>13.42</v>
      </c>
      <c r="G1701" s="7">
        <f>TRUNC(E1701*F1701,2)</f>
        <v>13.42</v>
      </c>
      <c r="H1701" s="7"/>
      <c r="I1701" s="11"/>
    </row>
    <row r="1702" spans="1:9" ht="15">
      <c r="A1702" s="8"/>
      <c r="B1702" s="12" t="s">
        <v>762</v>
      </c>
      <c r="C1702" s="200" t="s">
        <v>763</v>
      </c>
      <c r="D1702" s="8" t="s">
        <v>7</v>
      </c>
      <c r="E1702" s="11">
        <v>1</v>
      </c>
      <c r="F1702" s="7">
        <f>TRUNC(8.41,2)</f>
        <v>8.41</v>
      </c>
      <c r="G1702" s="7">
        <f>TRUNC(E1702*F1702,2)</f>
        <v>8.41</v>
      </c>
      <c r="H1702" s="7"/>
      <c r="I1702" s="11"/>
    </row>
    <row r="1703" spans="1:9" ht="30">
      <c r="A1703" s="8"/>
      <c r="B1703" s="12" t="s">
        <v>770</v>
      </c>
      <c r="C1703" s="200" t="s">
        <v>771</v>
      </c>
      <c r="D1703" s="8" t="s">
        <v>7</v>
      </c>
      <c r="E1703" s="11">
        <v>1</v>
      </c>
      <c r="F1703" s="7">
        <f>TRUNC(1.35,2)</f>
        <v>1.35</v>
      </c>
      <c r="G1703" s="7">
        <f>TRUNC(E1703*F1703,2)</f>
        <v>1.35</v>
      </c>
      <c r="H1703" s="7"/>
      <c r="I1703" s="11"/>
    </row>
    <row r="1704" spans="1:9" ht="15">
      <c r="A1704" s="8"/>
      <c r="B1704" s="12" t="s">
        <v>602</v>
      </c>
      <c r="C1704" s="200" t="s">
        <v>603</v>
      </c>
      <c r="D1704" s="8" t="s">
        <v>47</v>
      </c>
      <c r="E1704" s="11">
        <v>0.0663</v>
      </c>
      <c r="F1704" s="7">
        <f>TRUNC(30.3,2)</f>
        <v>30.3</v>
      </c>
      <c r="G1704" s="7">
        <f>TRUNC(E1704*F1704,2)</f>
        <v>2</v>
      </c>
      <c r="H1704" s="7"/>
      <c r="I1704" s="11"/>
    </row>
    <row r="1705" spans="1:9" ht="15">
      <c r="A1705" s="8"/>
      <c r="B1705" s="12" t="s">
        <v>604</v>
      </c>
      <c r="C1705" s="200" t="s">
        <v>605</v>
      </c>
      <c r="D1705" s="8" t="s">
        <v>47</v>
      </c>
      <c r="E1705" s="11">
        <v>0.0663</v>
      </c>
      <c r="F1705" s="7">
        <f>TRUNC(25.03,2)</f>
        <v>25.03</v>
      </c>
      <c r="G1705" s="7">
        <f>TRUNC(E1705*F1705,2)</f>
        <v>1.65</v>
      </c>
      <c r="H1705" s="7"/>
      <c r="I1705" s="11"/>
    </row>
    <row r="1706" spans="1:9" ht="15">
      <c r="A1706" s="8"/>
      <c r="B1706" s="12"/>
      <c r="C1706" s="200"/>
      <c r="D1706" s="8"/>
      <c r="E1706" s="11" t="s">
        <v>33</v>
      </c>
      <c r="F1706" s="7"/>
      <c r="G1706" s="7">
        <f>TRUNC(SUM(G1702:G1705),2)</f>
        <v>13.41</v>
      </c>
      <c r="H1706" s="7"/>
      <c r="I1706" s="11"/>
    </row>
    <row r="1707" spans="1:9" ht="30">
      <c r="A1707" s="103" t="s">
        <v>1466</v>
      </c>
      <c r="B1707" s="110" t="s">
        <v>772</v>
      </c>
      <c r="C1707" s="210" t="s">
        <v>773</v>
      </c>
      <c r="D1707" s="103" t="s">
        <v>7</v>
      </c>
      <c r="E1707" s="111">
        <v>1</v>
      </c>
      <c r="F1707" s="111">
        <f>TRUNC(F1708,2)</f>
        <v>55.58</v>
      </c>
      <c r="G1707" s="111">
        <f>TRUNC(F1707*1.2882,2)</f>
        <v>71.59</v>
      </c>
      <c r="H1707" s="111">
        <f>TRUNC(F1707*E1707,2)</f>
        <v>55.58</v>
      </c>
      <c r="I1707" s="111">
        <f>TRUNC(E1707*G1707,2)</f>
        <v>71.59</v>
      </c>
    </row>
    <row r="1708" spans="1:9" ht="30">
      <c r="A1708" s="8"/>
      <c r="B1708" s="12" t="s">
        <v>772</v>
      </c>
      <c r="C1708" s="200" t="s">
        <v>773</v>
      </c>
      <c r="D1708" s="8" t="s">
        <v>7</v>
      </c>
      <c r="E1708" s="11">
        <v>1</v>
      </c>
      <c r="F1708" s="7">
        <f>TRUNC(55.587416,2)</f>
        <v>55.58</v>
      </c>
      <c r="G1708" s="7">
        <f>TRUNC(E1708*F1708,2)</f>
        <v>55.58</v>
      </c>
      <c r="H1708" s="7"/>
      <c r="I1708" s="11"/>
    </row>
    <row r="1709" spans="1:9" ht="15">
      <c r="A1709" s="8"/>
      <c r="B1709" s="12" t="s">
        <v>774</v>
      </c>
      <c r="C1709" s="200" t="s">
        <v>775</v>
      </c>
      <c r="D1709" s="8" t="s">
        <v>7</v>
      </c>
      <c r="E1709" s="11">
        <v>1</v>
      </c>
      <c r="F1709" s="7">
        <f>TRUNC(48.24,2)</f>
        <v>48.24</v>
      </c>
      <c r="G1709" s="7">
        <f>TRUNC(E1709*F1709,2)</f>
        <v>48.24</v>
      </c>
      <c r="H1709" s="7"/>
      <c r="I1709" s="11"/>
    </row>
    <row r="1710" spans="1:9" ht="30">
      <c r="A1710" s="8"/>
      <c r="B1710" s="12" t="s">
        <v>764</v>
      </c>
      <c r="C1710" s="200" t="s">
        <v>765</v>
      </c>
      <c r="D1710" s="8" t="s">
        <v>7</v>
      </c>
      <c r="E1710" s="11">
        <v>2</v>
      </c>
      <c r="F1710" s="7">
        <f>TRUNC(1.04,2)</f>
        <v>1.04</v>
      </c>
      <c r="G1710" s="7">
        <f>TRUNC(E1710*F1710,2)</f>
        <v>2.08</v>
      </c>
      <c r="H1710" s="7"/>
      <c r="I1710" s="11"/>
    </row>
    <row r="1711" spans="1:9" ht="15">
      <c r="A1711" s="8"/>
      <c r="B1711" s="12" t="s">
        <v>602</v>
      </c>
      <c r="C1711" s="200" t="s">
        <v>603</v>
      </c>
      <c r="D1711" s="8" t="s">
        <v>47</v>
      </c>
      <c r="E1711" s="11">
        <v>0.0952</v>
      </c>
      <c r="F1711" s="7">
        <f>TRUNC(30.3,2)</f>
        <v>30.3</v>
      </c>
      <c r="G1711" s="7">
        <f>TRUNC(E1711*F1711,2)</f>
        <v>2.88</v>
      </c>
      <c r="H1711" s="7"/>
      <c r="I1711" s="11"/>
    </row>
    <row r="1712" spans="1:9" ht="15">
      <c r="A1712" s="8"/>
      <c r="B1712" s="12" t="s">
        <v>604</v>
      </c>
      <c r="C1712" s="200" t="s">
        <v>605</v>
      </c>
      <c r="D1712" s="8" t="s">
        <v>47</v>
      </c>
      <c r="E1712" s="11">
        <v>0.0952</v>
      </c>
      <c r="F1712" s="7">
        <f>TRUNC(25.03,2)</f>
        <v>25.03</v>
      </c>
      <c r="G1712" s="7">
        <f>TRUNC(E1712*F1712,2)</f>
        <v>2.38</v>
      </c>
      <c r="H1712" s="7"/>
      <c r="I1712" s="11"/>
    </row>
    <row r="1713" spans="1:9" ht="15">
      <c r="A1713" s="8"/>
      <c r="B1713" s="12"/>
      <c r="C1713" s="200"/>
      <c r="D1713" s="8"/>
      <c r="E1713" s="11" t="s">
        <v>33</v>
      </c>
      <c r="F1713" s="7"/>
      <c r="G1713" s="7">
        <f>TRUNC(SUM(G1709:G1712),2)</f>
        <v>55.58</v>
      </c>
      <c r="H1713" s="7"/>
      <c r="I1713" s="11"/>
    </row>
    <row r="1714" spans="1:9" ht="30">
      <c r="A1714" s="103" t="s">
        <v>1467</v>
      </c>
      <c r="B1714" s="110" t="s">
        <v>776</v>
      </c>
      <c r="C1714" s="210" t="s">
        <v>777</v>
      </c>
      <c r="D1714" s="103" t="s">
        <v>7</v>
      </c>
      <c r="E1714" s="111">
        <v>19</v>
      </c>
      <c r="F1714" s="111">
        <f>TRUNC(F1715,2)</f>
        <v>58.27</v>
      </c>
      <c r="G1714" s="111">
        <f>TRUNC(F1714*1.2882,2)</f>
        <v>75.06</v>
      </c>
      <c r="H1714" s="111">
        <f>TRUNC(F1714*E1714,2)</f>
        <v>1107.13</v>
      </c>
      <c r="I1714" s="111">
        <f>TRUNC(E1714*G1714,2)</f>
        <v>1426.14</v>
      </c>
    </row>
    <row r="1715" spans="1:9" ht="30">
      <c r="A1715" s="8"/>
      <c r="B1715" s="12" t="s">
        <v>776</v>
      </c>
      <c r="C1715" s="200" t="s">
        <v>777</v>
      </c>
      <c r="D1715" s="8" t="s">
        <v>7</v>
      </c>
      <c r="E1715" s="11">
        <v>1</v>
      </c>
      <c r="F1715" s="7">
        <f>TRUNC(58.271225,2)</f>
        <v>58.27</v>
      </c>
      <c r="G1715" s="7">
        <f>TRUNC(E1715*F1715,2)</f>
        <v>58.27</v>
      </c>
      <c r="H1715" s="7"/>
      <c r="I1715" s="11"/>
    </row>
    <row r="1716" spans="1:9" ht="15">
      <c r="A1716" s="8"/>
      <c r="B1716" s="12" t="s">
        <v>774</v>
      </c>
      <c r="C1716" s="200" t="s">
        <v>775</v>
      </c>
      <c r="D1716" s="8" t="s">
        <v>7</v>
      </c>
      <c r="E1716" s="11">
        <v>1</v>
      </c>
      <c r="F1716" s="7">
        <f>TRUNC(48.24,2)</f>
        <v>48.24</v>
      </c>
      <c r="G1716" s="7">
        <f>TRUNC(E1716*F1716,2)</f>
        <v>48.24</v>
      </c>
      <c r="H1716" s="7"/>
      <c r="I1716" s="11"/>
    </row>
    <row r="1717" spans="1:9" ht="30">
      <c r="A1717" s="8"/>
      <c r="B1717" s="12" t="s">
        <v>770</v>
      </c>
      <c r="C1717" s="200" t="s">
        <v>771</v>
      </c>
      <c r="D1717" s="8" t="s">
        <v>7</v>
      </c>
      <c r="E1717" s="11">
        <v>2</v>
      </c>
      <c r="F1717" s="7">
        <f>TRUNC(1.35,2)</f>
        <v>1.35</v>
      </c>
      <c r="G1717" s="7">
        <f>TRUNC(E1717*F1717,2)</f>
        <v>2.7</v>
      </c>
      <c r="H1717" s="7"/>
      <c r="I1717" s="11"/>
    </row>
    <row r="1718" spans="1:9" ht="15">
      <c r="A1718" s="8"/>
      <c r="B1718" s="12" t="s">
        <v>602</v>
      </c>
      <c r="C1718" s="200" t="s">
        <v>603</v>
      </c>
      <c r="D1718" s="8" t="s">
        <v>47</v>
      </c>
      <c r="E1718" s="11">
        <v>0.1325</v>
      </c>
      <c r="F1718" s="7">
        <f>TRUNC(30.3,2)</f>
        <v>30.3</v>
      </c>
      <c r="G1718" s="7">
        <f>TRUNC(E1718*F1718,2)</f>
        <v>4.01</v>
      </c>
      <c r="H1718" s="7"/>
      <c r="I1718" s="11"/>
    </row>
    <row r="1719" spans="1:9" ht="15">
      <c r="A1719" s="8"/>
      <c r="B1719" s="12" t="s">
        <v>604</v>
      </c>
      <c r="C1719" s="200" t="s">
        <v>605</v>
      </c>
      <c r="D1719" s="8" t="s">
        <v>47</v>
      </c>
      <c r="E1719" s="11">
        <v>0.1325</v>
      </c>
      <c r="F1719" s="7">
        <f>TRUNC(25.03,2)</f>
        <v>25.03</v>
      </c>
      <c r="G1719" s="7">
        <f>TRUNC(E1719*F1719,2)</f>
        <v>3.31</v>
      </c>
      <c r="H1719" s="7"/>
      <c r="I1719" s="11"/>
    </row>
    <row r="1720" spans="1:9" ht="15">
      <c r="A1720" s="8"/>
      <c r="B1720" s="12"/>
      <c r="C1720" s="200"/>
      <c r="D1720" s="8"/>
      <c r="E1720" s="11" t="s">
        <v>33</v>
      </c>
      <c r="F1720" s="7"/>
      <c r="G1720" s="7">
        <f>TRUNC(SUM(G1716:G1719),2)</f>
        <v>58.26</v>
      </c>
      <c r="H1720" s="7"/>
      <c r="I1720" s="11"/>
    </row>
    <row r="1721" spans="1:9" ht="30">
      <c r="A1721" s="103" t="s">
        <v>1468</v>
      </c>
      <c r="B1721" s="110" t="s">
        <v>778</v>
      </c>
      <c r="C1721" s="210" t="s">
        <v>779</v>
      </c>
      <c r="D1721" s="103" t="s">
        <v>7</v>
      </c>
      <c r="E1721" s="111">
        <v>1</v>
      </c>
      <c r="F1721" s="111">
        <f>TRUNC(F1722,2)</f>
        <v>61.54</v>
      </c>
      <c r="G1721" s="111">
        <f>TRUNC(F1721*1.2882,2)</f>
        <v>79.27</v>
      </c>
      <c r="H1721" s="111">
        <f>TRUNC(F1721*E1721,2)</f>
        <v>61.54</v>
      </c>
      <c r="I1721" s="111">
        <f>TRUNC(E1721*G1721,2)</f>
        <v>79.27</v>
      </c>
    </row>
    <row r="1722" spans="1:9" ht="30">
      <c r="A1722" s="8"/>
      <c r="B1722" s="12" t="s">
        <v>778</v>
      </c>
      <c r="C1722" s="200" t="s">
        <v>779</v>
      </c>
      <c r="D1722" s="8" t="s">
        <v>7</v>
      </c>
      <c r="E1722" s="11">
        <v>1</v>
      </c>
      <c r="F1722" s="7">
        <f>TRUNC(61.546659,2)</f>
        <v>61.54</v>
      </c>
      <c r="G1722" s="7">
        <f>TRUNC(E1722*F1722,2)</f>
        <v>61.54</v>
      </c>
      <c r="H1722" s="7"/>
      <c r="I1722" s="11"/>
    </row>
    <row r="1723" spans="1:9" ht="15">
      <c r="A1723" s="8"/>
      <c r="B1723" s="12" t="s">
        <v>774</v>
      </c>
      <c r="C1723" s="200" t="s">
        <v>775</v>
      </c>
      <c r="D1723" s="8" t="s">
        <v>7</v>
      </c>
      <c r="E1723" s="11">
        <v>1</v>
      </c>
      <c r="F1723" s="7">
        <f>TRUNC(48.24,2)</f>
        <v>48.24</v>
      </c>
      <c r="G1723" s="7">
        <f>TRUNC(E1723*F1723,2)</f>
        <v>48.24</v>
      </c>
      <c r="H1723" s="7"/>
      <c r="I1723" s="11"/>
    </row>
    <row r="1724" spans="1:9" ht="30">
      <c r="A1724" s="8"/>
      <c r="B1724" s="12" t="s">
        <v>780</v>
      </c>
      <c r="C1724" s="200" t="s">
        <v>781</v>
      </c>
      <c r="D1724" s="8" t="s">
        <v>7</v>
      </c>
      <c r="E1724" s="11">
        <v>2</v>
      </c>
      <c r="F1724" s="7">
        <f>TRUNC(1.61,2)</f>
        <v>1.61</v>
      </c>
      <c r="G1724" s="7">
        <f>TRUNC(E1724*F1724,2)</f>
        <v>3.22</v>
      </c>
      <c r="H1724" s="7"/>
      <c r="I1724" s="11"/>
    </row>
    <row r="1725" spans="1:9" ht="15">
      <c r="A1725" s="8"/>
      <c r="B1725" s="12" t="s">
        <v>602</v>
      </c>
      <c r="C1725" s="200" t="s">
        <v>603</v>
      </c>
      <c r="D1725" s="8" t="s">
        <v>47</v>
      </c>
      <c r="E1725" s="11">
        <v>0.1823</v>
      </c>
      <c r="F1725" s="7">
        <f>TRUNC(30.3,2)</f>
        <v>30.3</v>
      </c>
      <c r="G1725" s="7">
        <f>TRUNC(E1725*F1725,2)</f>
        <v>5.52</v>
      </c>
      <c r="H1725" s="7"/>
      <c r="I1725" s="11"/>
    </row>
    <row r="1726" spans="1:9" ht="15">
      <c r="A1726" s="8"/>
      <c r="B1726" s="12" t="s">
        <v>604</v>
      </c>
      <c r="C1726" s="200" t="s">
        <v>605</v>
      </c>
      <c r="D1726" s="8" t="s">
        <v>47</v>
      </c>
      <c r="E1726" s="11">
        <v>0.1823</v>
      </c>
      <c r="F1726" s="7">
        <f>TRUNC(25.03,2)</f>
        <v>25.03</v>
      </c>
      <c r="G1726" s="7">
        <f>TRUNC(E1726*F1726,2)</f>
        <v>4.56</v>
      </c>
      <c r="H1726" s="7"/>
      <c r="I1726" s="11"/>
    </row>
    <row r="1727" spans="1:9" ht="15">
      <c r="A1727" s="8"/>
      <c r="B1727" s="12"/>
      <c r="C1727" s="200"/>
      <c r="D1727" s="8"/>
      <c r="E1727" s="11" t="s">
        <v>33</v>
      </c>
      <c r="F1727" s="7"/>
      <c r="G1727" s="7">
        <f>TRUNC(SUM(G1723:G1726),2)</f>
        <v>61.54</v>
      </c>
      <c r="H1727" s="7"/>
      <c r="I1727" s="11"/>
    </row>
    <row r="1728" spans="1:9" ht="30">
      <c r="A1728" s="103" t="s">
        <v>1469</v>
      </c>
      <c r="B1728" s="110" t="s">
        <v>782</v>
      </c>
      <c r="C1728" s="210" t="s">
        <v>783</v>
      </c>
      <c r="D1728" s="103" t="s">
        <v>7</v>
      </c>
      <c r="E1728" s="111">
        <v>3</v>
      </c>
      <c r="F1728" s="111">
        <f>TRUNC(F1729,2)</f>
        <v>86.76</v>
      </c>
      <c r="G1728" s="111">
        <f>TRUNC(F1728*1.2882,2)</f>
        <v>111.76</v>
      </c>
      <c r="H1728" s="111">
        <f>TRUNC(F1728*E1728,2)</f>
        <v>260.28</v>
      </c>
      <c r="I1728" s="111">
        <f>TRUNC(E1728*G1728,2)</f>
        <v>335.28</v>
      </c>
    </row>
    <row r="1729" spans="1:9" ht="30">
      <c r="A1729" s="8"/>
      <c r="B1729" s="12" t="s">
        <v>782</v>
      </c>
      <c r="C1729" s="200" t="s">
        <v>783</v>
      </c>
      <c r="D1729" s="8" t="s">
        <v>7</v>
      </c>
      <c r="E1729" s="11">
        <v>1</v>
      </c>
      <c r="F1729" s="7">
        <f>TRUNC(86.767381,2)</f>
        <v>86.76</v>
      </c>
      <c r="G1729" s="7">
        <f>TRUNC(E1729*F1729,2)</f>
        <v>86.76</v>
      </c>
      <c r="H1729" s="7"/>
      <c r="I1729" s="11"/>
    </row>
    <row r="1730" spans="1:9" ht="15">
      <c r="A1730" s="8"/>
      <c r="B1730" s="12" t="s">
        <v>784</v>
      </c>
      <c r="C1730" s="200" t="s">
        <v>785</v>
      </c>
      <c r="D1730" s="8" t="s">
        <v>7</v>
      </c>
      <c r="E1730" s="11">
        <v>1</v>
      </c>
      <c r="F1730" s="7">
        <f>TRUNC(59.1,2)</f>
        <v>59.1</v>
      </c>
      <c r="G1730" s="7">
        <f>TRUNC(E1730*F1730,2)</f>
        <v>59.1</v>
      </c>
      <c r="H1730" s="7"/>
      <c r="I1730" s="11"/>
    </row>
    <row r="1731" spans="1:9" ht="30">
      <c r="A1731" s="8"/>
      <c r="B1731" s="12" t="s">
        <v>786</v>
      </c>
      <c r="C1731" s="200" t="s">
        <v>787</v>
      </c>
      <c r="D1731" s="8" t="s">
        <v>7</v>
      </c>
      <c r="E1731" s="11">
        <v>3</v>
      </c>
      <c r="F1731" s="7">
        <f>TRUNC(1.74,2)</f>
        <v>1.74</v>
      </c>
      <c r="G1731" s="7">
        <f>TRUNC(E1731*F1731,2)</f>
        <v>5.22</v>
      </c>
      <c r="H1731" s="7"/>
      <c r="I1731" s="11"/>
    </row>
    <row r="1732" spans="1:9" ht="15">
      <c r="A1732" s="8"/>
      <c r="B1732" s="12" t="s">
        <v>602</v>
      </c>
      <c r="C1732" s="200" t="s">
        <v>603</v>
      </c>
      <c r="D1732" s="8" t="s">
        <v>47</v>
      </c>
      <c r="E1732" s="11">
        <v>0.4057</v>
      </c>
      <c r="F1732" s="7">
        <f>TRUNC(30.3,2)</f>
        <v>30.3</v>
      </c>
      <c r="G1732" s="7">
        <f>TRUNC(E1732*F1732,2)</f>
        <v>12.29</v>
      </c>
      <c r="H1732" s="7"/>
      <c r="I1732" s="11"/>
    </row>
    <row r="1733" spans="1:9" ht="15">
      <c r="A1733" s="8"/>
      <c r="B1733" s="12" t="s">
        <v>604</v>
      </c>
      <c r="C1733" s="200" t="s">
        <v>605</v>
      </c>
      <c r="D1733" s="8" t="s">
        <v>47</v>
      </c>
      <c r="E1733" s="11">
        <v>0.4057</v>
      </c>
      <c r="F1733" s="7">
        <f>TRUNC(25.03,2)</f>
        <v>25.03</v>
      </c>
      <c r="G1733" s="7">
        <f>TRUNC(E1733*F1733,2)</f>
        <v>10.15</v>
      </c>
      <c r="H1733" s="7"/>
      <c r="I1733" s="11"/>
    </row>
    <row r="1734" spans="1:9" ht="15">
      <c r="A1734" s="8"/>
      <c r="B1734" s="12"/>
      <c r="C1734" s="200"/>
      <c r="D1734" s="8"/>
      <c r="E1734" s="11" t="s">
        <v>33</v>
      </c>
      <c r="F1734" s="7"/>
      <c r="G1734" s="7">
        <f>TRUNC(SUM(G1730:G1733),2)</f>
        <v>86.76</v>
      </c>
      <c r="H1734" s="7"/>
      <c r="I1734" s="11"/>
    </row>
    <row r="1735" spans="1:9" ht="30">
      <c r="A1735" s="103" t="s">
        <v>1470</v>
      </c>
      <c r="B1735" s="110" t="s">
        <v>704</v>
      </c>
      <c r="C1735" s="210" t="s">
        <v>788</v>
      </c>
      <c r="D1735" s="103" t="s">
        <v>7</v>
      </c>
      <c r="E1735" s="111">
        <v>1</v>
      </c>
      <c r="F1735" s="111">
        <f>TRUNC(F1736,2)</f>
        <v>96.72</v>
      </c>
      <c r="G1735" s="111">
        <f>TRUNC(F1735*1.2882,2)</f>
        <v>124.59</v>
      </c>
      <c r="H1735" s="111">
        <f>TRUNC(F1735*E1735,2)</f>
        <v>96.72</v>
      </c>
      <c r="I1735" s="111">
        <f>TRUNC(E1735*G1735,2)</f>
        <v>124.59</v>
      </c>
    </row>
    <row r="1736" spans="1:9" ht="30">
      <c r="A1736" s="8"/>
      <c r="B1736" s="12" t="s">
        <v>704</v>
      </c>
      <c r="C1736" s="200" t="s">
        <v>788</v>
      </c>
      <c r="D1736" s="8" t="s">
        <v>7</v>
      </c>
      <c r="E1736" s="11">
        <v>1</v>
      </c>
      <c r="F1736" s="7">
        <f>TRUNC(96.720841,2)</f>
        <v>96.72</v>
      </c>
      <c r="G1736" s="7">
        <f>TRUNC(E1736*F1736,2)</f>
        <v>96.72</v>
      </c>
      <c r="H1736" s="7"/>
      <c r="I1736" s="11"/>
    </row>
    <row r="1737" spans="1:9" ht="15">
      <c r="A1737" s="8"/>
      <c r="B1737" s="12" t="s">
        <v>784</v>
      </c>
      <c r="C1737" s="200" t="s">
        <v>785</v>
      </c>
      <c r="D1737" s="8" t="s">
        <v>7</v>
      </c>
      <c r="E1737" s="11">
        <v>1</v>
      </c>
      <c r="F1737" s="7">
        <f>TRUNC(59.1,2)</f>
        <v>59.1</v>
      </c>
      <c r="G1737" s="7">
        <f>TRUNC(E1737*F1737,2)</f>
        <v>59.1</v>
      </c>
      <c r="H1737" s="7"/>
      <c r="I1737" s="11"/>
    </row>
    <row r="1738" spans="1:9" ht="30">
      <c r="A1738" s="8"/>
      <c r="B1738" s="12" t="s">
        <v>789</v>
      </c>
      <c r="C1738" s="200" t="s">
        <v>790</v>
      </c>
      <c r="D1738" s="8" t="s">
        <v>7</v>
      </c>
      <c r="E1738" s="11">
        <v>3</v>
      </c>
      <c r="F1738" s="7">
        <f>TRUNC(2.07,2)</f>
        <v>2.07</v>
      </c>
      <c r="G1738" s="7">
        <f>TRUNC(E1738*F1738,2)</f>
        <v>6.21</v>
      </c>
      <c r="H1738" s="7"/>
      <c r="I1738" s="11"/>
    </row>
    <row r="1739" spans="1:9" ht="15">
      <c r="A1739" s="8"/>
      <c r="B1739" s="12" t="s">
        <v>602</v>
      </c>
      <c r="C1739" s="200" t="s">
        <v>603</v>
      </c>
      <c r="D1739" s="8" t="s">
        <v>47</v>
      </c>
      <c r="E1739" s="11">
        <v>0.5677</v>
      </c>
      <c r="F1739" s="7">
        <f>TRUNC(30.3,2)</f>
        <v>30.3</v>
      </c>
      <c r="G1739" s="7">
        <f>TRUNC(E1739*F1739,2)</f>
        <v>17.2</v>
      </c>
      <c r="H1739" s="7"/>
      <c r="I1739" s="11"/>
    </row>
    <row r="1740" spans="1:9" ht="15">
      <c r="A1740" s="8"/>
      <c r="B1740" s="12" t="s">
        <v>604</v>
      </c>
      <c r="C1740" s="200" t="s">
        <v>605</v>
      </c>
      <c r="D1740" s="8" t="s">
        <v>47</v>
      </c>
      <c r="E1740" s="11">
        <v>0.5677</v>
      </c>
      <c r="F1740" s="7">
        <f>TRUNC(25.03,2)</f>
        <v>25.03</v>
      </c>
      <c r="G1740" s="7">
        <f>TRUNC(E1740*F1740,2)</f>
        <v>14.2</v>
      </c>
      <c r="H1740" s="7"/>
      <c r="I1740" s="11"/>
    </row>
    <row r="1741" spans="1:9" ht="15">
      <c r="A1741" s="8"/>
      <c r="B1741" s="12"/>
      <c r="C1741" s="200"/>
      <c r="D1741" s="8"/>
      <c r="E1741" s="11" t="s">
        <v>33</v>
      </c>
      <c r="F1741" s="7"/>
      <c r="G1741" s="7">
        <f>TRUNC(SUM(G1737:G1740),2)</f>
        <v>96.71</v>
      </c>
      <c r="H1741" s="7"/>
      <c r="I1741" s="11"/>
    </row>
    <row r="1742" spans="1:9" ht="30">
      <c r="A1742" s="103" t="s">
        <v>1471</v>
      </c>
      <c r="B1742" s="110" t="s">
        <v>791</v>
      </c>
      <c r="C1742" s="210" t="s">
        <v>792</v>
      </c>
      <c r="D1742" s="103" t="s">
        <v>7</v>
      </c>
      <c r="E1742" s="111">
        <v>1</v>
      </c>
      <c r="F1742" s="111">
        <f>TRUNC(F1743,2)</f>
        <v>51.43</v>
      </c>
      <c r="G1742" s="111">
        <f>TRUNC(F1742*1.2882,2)</f>
        <v>66.25</v>
      </c>
      <c r="H1742" s="111">
        <f>TRUNC(F1742*E1742,2)</f>
        <v>51.43</v>
      </c>
      <c r="I1742" s="111">
        <f>TRUNC(E1742*G1742,2)</f>
        <v>66.25</v>
      </c>
    </row>
    <row r="1743" spans="1:9" ht="30">
      <c r="A1743" s="8"/>
      <c r="B1743" s="12" t="s">
        <v>791</v>
      </c>
      <c r="C1743" s="200" t="s">
        <v>792</v>
      </c>
      <c r="D1743" s="8" t="s">
        <v>7</v>
      </c>
      <c r="E1743" s="11">
        <v>1</v>
      </c>
      <c r="F1743" s="7">
        <f>TRUNC(51.434735,2)</f>
        <v>51.43</v>
      </c>
      <c r="G1743" s="7">
        <f>TRUNC(E1743*F1743,2)</f>
        <v>51.43</v>
      </c>
      <c r="H1743" s="7"/>
      <c r="I1743" s="11"/>
    </row>
    <row r="1744" spans="1:9" ht="15">
      <c r="A1744" s="8"/>
      <c r="B1744" s="12" t="s">
        <v>793</v>
      </c>
      <c r="C1744" s="200" t="s">
        <v>794</v>
      </c>
      <c r="D1744" s="8" t="s">
        <v>7</v>
      </c>
      <c r="E1744" s="11">
        <v>1</v>
      </c>
      <c r="F1744" s="7">
        <f>TRUNC(45.59,2)</f>
        <v>45.59</v>
      </c>
      <c r="G1744" s="7">
        <f>TRUNC(E1744*F1744,2)</f>
        <v>45.59</v>
      </c>
      <c r="H1744" s="7"/>
      <c r="I1744" s="11"/>
    </row>
    <row r="1745" spans="1:9" ht="30">
      <c r="A1745" s="8"/>
      <c r="B1745" s="12" t="s">
        <v>45</v>
      </c>
      <c r="C1745" s="200" t="s">
        <v>46</v>
      </c>
      <c r="D1745" s="8" t="s">
        <v>47</v>
      </c>
      <c r="E1745" s="11">
        <v>0.1545</v>
      </c>
      <c r="F1745" s="7">
        <f>TRUNC(15.87,2)</f>
        <v>15.87</v>
      </c>
      <c r="G1745" s="7">
        <f>TRUNC(E1745*F1745,2)</f>
        <v>2.45</v>
      </c>
      <c r="H1745" s="7"/>
      <c r="I1745" s="11"/>
    </row>
    <row r="1746" spans="1:9" ht="30">
      <c r="A1746" s="8"/>
      <c r="B1746" s="12" t="s">
        <v>566</v>
      </c>
      <c r="C1746" s="200" t="s">
        <v>567</v>
      </c>
      <c r="D1746" s="8" t="s">
        <v>47</v>
      </c>
      <c r="E1746" s="11">
        <v>0.1545</v>
      </c>
      <c r="F1746" s="7">
        <f>TRUNC(21.96,2)</f>
        <v>21.96</v>
      </c>
      <c r="G1746" s="7">
        <f>TRUNC(E1746*F1746,2)</f>
        <v>3.39</v>
      </c>
      <c r="H1746" s="7"/>
      <c r="I1746" s="11"/>
    </row>
    <row r="1747" spans="1:9" ht="15">
      <c r="A1747" s="8"/>
      <c r="B1747" s="12"/>
      <c r="C1747" s="200"/>
      <c r="D1747" s="8"/>
      <c r="E1747" s="11" t="s">
        <v>33</v>
      </c>
      <c r="F1747" s="7"/>
      <c r="G1747" s="7">
        <f>TRUNC(SUM(G1744:G1746),2)</f>
        <v>51.43</v>
      </c>
      <c r="H1747" s="7"/>
      <c r="I1747" s="11"/>
    </row>
    <row r="1748" spans="1:9" ht="30">
      <c r="A1748" s="103" t="s">
        <v>1472</v>
      </c>
      <c r="B1748" s="110" t="s">
        <v>795</v>
      </c>
      <c r="C1748" s="210" t="s">
        <v>796</v>
      </c>
      <c r="D1748" s="103" t="s">
        <v>7</v>
      </c>
      <c r="E1748" s="111">
        <v>2</v>
      </c>
      <c r="F1748" s="111">
        <f>TRUNC(F1749,2)</f>
        <v>131.6</v>
      </c>
      <c r="G1748" s="111">
        <f>TRUNC(F1748*1.2882,2)</f>
        <v>169.52</v>
      </c>
      <c r="H1748" s="111">
        <f>TRUNC(F1748*E1748,2)</f>
        <v>263.2</v>
      </c>
      <c r="I1748" s="111">
        <f>TRUNC(E1748*G1748,2)</f>
        <v>339.04</v>
      </c>
    </row>
    <row r="1749" spans="1:9" ht="30">
      <c r="A1749" s="8"/>
      <c r="B1749" s="12" t="s">
        <v>795</v>
      </c>
      <c r="C1749" s="200" t="s">
        <v>796</v>
      </c>
      <c r="D1749" s="8" t="s">
        <v>7</v>
      </c>
      <c r="E1749" s="11">
        <v>1</v>
      </c>
      <c r="F1749" s="7">
        <f>TRUNC(131.604735,2)</f>
        <v>131.6</v>
      </c>
      <c r="G1749" s="7">
        <f>TRUNC(E1749*F1749,2)</f>
        <v>131.6</v>
      </c>
      <c r="H1749" s="7"/>
      <c r="I1749" s="11"/>
    </row>
    <row r="1750" spans="1:9" ht="15">
      <c r="A1750" s="8"/>
      <c r="B1750" s="12" t="s">
        <v>797</v>
      </c>
      <c r="C1750" s="200" t="s">
        <v>798</v>
      </c>
      <c r="D1750" s="8" t="s">
        <v>7</v>
      </c>
      <c r="E1750" s="11">
        <v>1</v>
      </c>
      <c r="F1750" s="7">
        <f>TRUNC(125.76,2)</f>
        <v>125.76</v>
      </c>
      <c r="G1750" s="7">
        <f>TRUNC(E1750*F1750,2)</f>
        <v>125.76</v>
      </c>
      <c r="H1750" s="7"/>
      <c r="I1750" s="11"/>
    </row>
    <row r="1751" spans="1:9" ht="30">
      <c r="A1751" s="8"/>
      <c r="B1751" s="12" t="s">
        <v>45</v>
      </c>
      <c r="C1751" s="200" t="s">
        <v>46</v>
      </c>
      <c r="D1751" s="8" t="s">
        <v>47</v>
      </c>
      <c r="E1751" s="11">
        <v>0.1545</v>
      </c>
      <c r="F1751" s="7">
        <f>TRUNC(15.87,2)</f>
        <v>15.87</v>
      </c>
      <c r="G1751" s="7">
        <f>TRUNC(E1751*F1751,2)</f>
        <v>2.45</v>
      </c>
      <c r="H1751" s="7"/>
      <c r="I1751" s="11"/>
    </row>
    <row r="1752" spans="1:9" ht="30">
      <c r="A1752" s="8"/>
      <c r="B1752" s="12" t="s">
        <v>566</v>
      </c>
      <c r="C1752" s="200" t="s">
        <v>567</v>
      </c>
      <c r="D1752" s="8" t="s">
        <v>47</v>
      </c>
      <c r="E1752" s="11">
        <v>0.1545</v>
      </c>
      <c r="F1752" s="7">
        <f>TRUNC(21.96,2)</f>
        <v>21.96</v>
      </c>
      <c r="G1752" s="7">
        <f>TRUNC(E1752*F1752,2)</f>
        <v>3.39</v>
      </c>
      <c r="H1752" s="7"/>
      <c r="I1752" s="11"/>
    </row>
    <row r="1753" spans="1:9" ht="15">
      <c r="A1753" s="8"/>
      <c r="B1753" s="12"/>
      <c r="C1753" s="200"/>
      <c r="D1753" s="8"/>
      <c r="E1753" s="11" t="s">
        <v>33</v>
      </c>
      <c r="F1753" s="7"/>
      <c r="G1753" s="7">
        <f>TRUNC(SUM(G1750:G1752),2)</f>
        <v>131.6</v>
      </c>
      <c r="H1753" s="7"/>
      <c r="I1753" s="11"/>
    </row>
    <row r="1754" spans="1:9" ht="30">
      <c r="A1754" s="103" t="s">
        <v>1473</v>
      </c>
      <c r="B1754" s="110" t="s">
        <v>799</v>
      </c>
      <c r="C1754" s="210" t="s">
        <v>800</v>
      </c>
      <c r="D1754" s="103" t="s">
        <v>7</v>
      </c>
      <c r="E1754" s="111">
        <v>2</v>
      </c>
      <c r="F1754" s="111">
        <f>TRUNC(F1755,2)</f>
        <v>332.76</v>
      </c>
      <c r="G1754" s="111">
        <f>TRUNC(F1754*1.2882,2)</f>
        <v>428.66</v>
      </c>
      <c r="H1754" s="111">
        <f>TRUNC(F1754*E1754,2)</f>
        <v>665.52</v>
      </c>
      <c r="I1754" s="111">
        <f>TRUNC(E1754*G1754,2)</f>
        <v>857.32</v>
      </c>
    </row>
    <row r="1755" spans="1:9" ht="30">
      <c r="A1755" s="8"/>
      <c r="B1755" s="12" t="s">
        <v>799</v>
      </c>
      <c r="C1755" s="200" t="s">
        <v>800</v>
      </c>
      <c r="D1755" s="8" t="s">
        <v>7</v>
      </c>
      <c r="E1755" s="11">
        <v>1</v>
      </c>
      <c r="F1755" s="7">
        <f>TRUNC(332.764735,2)</f>
        <v>332.76</v>
      </c>
      <c r="G1755" s="7">
        <f>TRUNC(E1755*F1755,2)</f>
        <v>332.76</v>
      </c>
      <c r="H1755" s="7"/>
      <c r="I1755" s="11"/>
    </row>
    <row r="1756" spans="1:9" ht="15">
      <c r="A1756" s="8"/>
      <c r="B1756" s="12" t="s">
        <v>801</v>
      </c>
      <c r="C1756" s="200" t="s">
        <v>802</v>
      </c>
      <c r="D1756" s="8" t="s">
        <v>7</v>
      </c>
      <c r="E1756" s="11">
        <v>1</v>
      </c>
      <c r="F1756" s="7">
        <f>TRUNC(326.92,2)</f>
        <v>326.92</v>
      </c>
      <c r="G1756" s="7">
        <f>TRUNC(E1756*F1756,2)</f>
        <v>326.92</v>
      </c>
      <c r="H1756" s="7"/>
      <c r="I1756" s="11"/>
    </row>
    <row r="1757" spans="1:9" ht="30">
      <c r="A1757" s="8"/>
      <c r="B1757" s="12" t="s">
        <v>45</v>
      </c>
      <c r="C1757" s="200" t="s">
        <v>46</v>
      </c>
      <c r="D1757" s="8" t="s">
        <v>47</v>
      </c>
      <c r="E1757" s="11">
        <v>0.1545</v>
      </c>
      <c r="F1757" s="7">
        <f>TRUNC(15.87,2)</f>
        <v>15.87</v>
      </c>
      <c r="G1757" s="7">
        <f>TRUNC(E1757*F1757,2)</f>
        <v>2.45</v>
      </c>
      <c r="H1757" s="7"/>
      <c r="I1757" s="11"/>
    </row>
    <row r="1758" spans="1:9" ht="30">
      <c r="A1758" s="8"/>
      <c r="B1758" s="12" t="s">
        <v>566</v>
      </c>
      <c r="C1758" s="200" t="s">
        <v>567</v>
      </c>
      <c r="D1758" s="8" t="s">
        <v>47</v>
      </c>
      <c r="E1758" s="11">
        <v>0.1545</v>
      </c>
      <c r="F1758" s="7">
        <f>TRUNC(21.96,2)</f>
        <v>21.96</v>
      </c>
      <c r="G1758" s="7">
        <f>TRUNC(E1758*F1758,2)</f>
        <v>3.39</v>
      </c>
      <c r="H1758" s="7"/>
      <c r="I1758" s="11"/>
    </row>
    <row r="1759" spans="1:9" ht="15">
      <c r="A1759" s="8"/>
      <c r="B1759" s="12"/>
      <c r="C1759" s="200"/>
      <c r="D1759" s="8"/>
      <c r="E1759" s="11" t="s">
        <v>33</v>
      </c>
      <c r="F1759" s="7"/>
      <c r="G1759" s="7">
        <f>TRUNC(SUM(G1756:G1758),2)</f>
        <v>332.76</v>
      </c>
      <c r="H1759" s="7"/>
      <c r="I1759" s="11"/>
    </row>
    <row r="1760" spans="1:9" ht="45">
      <c r="A1760" s="103" t="s">
        <v>1474</v>
      </c>
      <c r="B1760" s="110" t="s">
        <v>819</v>
      </c>
      <c r="C1760" s="210" t="s">
        <v>818</v>
      </c>
      <c r="D1760" s="103" t="s">
        <v>7</v>
      </c>
      <c r="E1760" s="111">
        <v>4</v>
      </c>
      <c r="F1760" s="111">
        <f>TRUNC(F1761,2)</f>
        <v>113.63</v>
      </c>
      <c r="G1760" s="111">
        <f>TRUNC(F1760*1.2882,2)</f>
        <v>146.37</v>
      </c>
      <c r="H1760" s="111">
        <f>TRUNC(F1760*E1760,2)</f>
        <v>454.52</v>
      </c>
      <c r="I1760" s="111">
        <f>TRUNC(E1760*G1760,2)</f>
        <v>585.48</v>
      </c>
    </row>
    <row r="1761" spans="1:9" ht="45">
      <c r="A1761" s="8"/>
      <c r="B1761" s="12" t="s">
        <v>811</v>
      </c>
      <c r="C1761" s="200" t="s">
        <v>812</v>
      </c>
      <c r="D1761" s="8" t="s">
        <v>7</v>
      </c>
      <c r="E1761" s="11">
        <v>1</v>
      </c>
      <c r="F1761" s="7">
        <f>TRUNC(113.63179625,2)</f>
        <v>113.63</v>
      </c>
      <c r="G1761" s="7">
        <f>TRUNC(E1761*F1761,2)</f>
        <v>113.63</v>
      </c>
      <c r="H1761" s="7"/>
      <c r="I1761" s="11"/>
    </row>
    <row r="1762" spans="1:9" s="203" customFormat="1" ht="31.5">
      <c r="A1762" s="31"/>
      <c r="B1762" s="32" t="s">
        <v>255</v>
      </c>
      <c r="C1762" s="221" t="s">
        <v>817</v>
      </c>
      <c r="D1762" s="31" t="s">
        <v>7</v>
      </c>
      <c r="E1762" s="33">
        <v>1</v>
      </c>
      <c r="F1762" s="34">
        <f>TRUNC(107.3,2)</f>
        <v>107.3</v>
      </c>
      <c r="G1762" s="34">
        <f>TRUNC(E1762*F1762,2)</f>
        <v>107.3</v>
      </c>
      <c r="H1762" s="34"/>
      <c r="I1762" s="33"/>
    </row>
    <row r="1763" spans="1:9" ht="30">
      <c r="A1763" s="8"/>
      <c r="B1763" s="12" t="s">
        <v>45</v>
      </c>
      <c r="C1763" s="200" t="s">
        <v>46</v>
      </c>
      <c r="D1763" s="8" t="s">
        <v>47</v>
      </c>
      <c r="E1763" s="11">
        <v>0.16737500000000002</v>
      </c>
      <c r="F1763" s="7">
        <f>TRUNC(15.87,2)</f>
        <v>15.87</v>
      </c>
      <c r="G1763" s="7">
        <f>TRUNC(E1763*F1763,2)</f>
        <v>2.65</v>
      </c>
      <c r="H1763" s="7"/>
      <c r="I1763" s="11"/>
    </row>
    <row r="1764" spans="1:9" ht="30">
      <c r="A1764" s="8"/>
      <c r="B1764" s="12" t="s">
        <v>566</v>
      </c>
      <c r="C1764" s="200" t="s">
        <v>567</v>
      </c>
      <c r="D1764" s="8" t="s">
        <v>47</v>
      </c>
      <c r="E1764" s="11">
        <v>0.16737500000000002</v>
      </c>
      <c r="F1764" s="7">
        <f>TRUNC(21.96,2)</f>
        <v>21.96</v>
      </c>
      <c r="G1764" s="7">
        <f>TRUNC(E1764*F1764,2)</f>
        <v>3.67</v>
      </c>
      <c r="H1764" s="7"/>
      <c r="I1764" s="11"/>
    </row>
    <row r="1765" spans="1:9" ht="15">
      <c r="A1765" s="8"/>
      <c r="B1765" s="12"/>
      <c r="C1765" s="200"/>
      <c r="D1765" s="8"/>
      <c r="E1765" s="11" t="s">
        <v>33</v>
      </c>
      <c r="F1765" s="7"/>
      <c r="G1765" s="7">
        <f>TRUNC(SUM(G1762:G1764),2)</f>
        <v>113.62</v>
      </c>
      <c r="H1765" s="7"/>
      <c r="I1765" s="11"/>
    </row>
    <row r="1766" spans="1:9" ht="45">
      <c r="A1766" s="103" t="s">
        <v>1475</v>
      </c>
      <c r="B1766" s="110" t="s">
        <v>813</v>
      </c>
      <c r="C1766" s="210" t="s">
        <v>814</v>
      </c>
      <c r="D1766" s="103" t="s">
        <v>7</v>
      </c>
      <c r="E1766" s="111">
        <v>2</v>
      </c>
      <c r="F1766" s="111">
        <f>TRUNC(F1767,2)</f>
        <v>190.6</v>
      </c>
      <c r="G1766" s="111">
        <f>TRUNC(F1766*1.2882,2)</f>
        <v>245.53</v>
      </c>
      <c r="H1766" s="111">
        <f>TRUNC(F1766*E1766,2)</f>
        <v>381.2</v>
      </c>
      <c r="I1766" s="111">
        <f>TRUNC(E1766*G1766,2)</f>
        <v>491.06</v>
      </c>
    </row>
    <row r="1767" spans="1:9" ht="45">
      <c r="A1767" s="8"/>
      <c r="B1767" s="12" t="s">
        <v>813</v>
      </c>
      <c r="C1767" s="200" t="s">
        <v>814</v>
      </c>
      <c r="D1767" s="8" t="s">
        <v>7</v>
      </c>
      <c r="E1767" s="11">
        <v>1</v>
      </c>
      <c r="F1767" s="7">
        <f>TRUNC(190.60179625,2)</f>
        <v>190.6</v>
      </c>
      <c r="G1767" s="7">
        <f>TRUNC(E1767*F1767,2)</f>
        <v>190.6</v>
      </c>
      <c r="H1767" s="7"/>
      <c r="I1767" s="11"/>
    </row>
    <row r="1768" spans="1:9" ht="30">
      <c r="A1768" s="8"/>
      <c r="B1768" s="12" t="s">
        <v>815</v>
      </c>
      <c r="C1768" s="200" t="s">
        <v>816</v>
      </c>
      <c r="D1768" s="8" t="s">
        <v>7</v>
      </c>
      <c r="E1768" s="11">
        <v>1</v>
      </c>
      <c r="F1768" s="7">
        <f>TRUNC(184.27,2)</f>
        <v>184.27</v>
      </c>
      <c r="G1768" s="7">
        <f>TRUNC(E1768*F1768,2)</f>
        <v>184.27</v>
      </c>
      <c r="H1768" s="7"/>
      <c r="I1768" s="11"/>
    </row>
    <row r="1769" spans="1:9" ht="30">
      <c r="A1769" s="8"/>
      <c r="B1769" s="12" t="s">
        <v>45</v>
      </c>
      <c r="C1769" s="200" t="s">
        <v>46</v>
      </c>
      <c r="D1769" s="8" t="s">
        <v>47</v>
      </c>
      <c r="E1769" s="11">
        <v>0.16737500000000002</v>
      </c>
      <c r="F1769" s="7">
        <f>TRUNC(15.87,2)</f>
        <v>15.87</v>
      </c>
      <c r="G1769" s="7">
        <f>TRUNC(E1769*F1769,2)</f>
        <v>2.65</v>
      </c>
      <c r="H1769" s="7"/>
      <c r="I1769" s="11"/>
    </row>
    <row r="1770" spans="1:9" ht="30">
      <c r="A1770" s="8"/>
      <c r="B1770" s="12" t="s">
        <v>566</v>
      </c>
      <c r="C1770" s="200" t="s">
        <v>567</v>
      </c>
      <c r="D1770" s="8" t="s">
        <v>47</v>
      </c>
      <c r="E1770" s="11">
        <v>0.16737500000000002</v>
      </c>
      <c r="F1770" s="7">
        <f>TRUNC(21.96,2)</f>
        <v>21.96</v>
      </c>
      <c r="G1770" s="7">
        <f>TRUNC(E1770*F1770,2)</f>
        <v>3.67</v>
      </c>
      <c r="H1770" s="7"/>
      <c r="I1770" s="11"/>
    </row>
    <row r="1771" spans="1:9" ht="15">
      <c r="A1771" s="8"/>
      <c r="B1771" s="12"/>
      <c r="C1771" s="200"/>
      <c r="D1771" s="8"/>
      <c r="E1771" s="11" t="s">
        <v>33</v>
      </c>
      <c r="F1771" s="7"/>
      <c r="G1771" s="7">
        <f>TRUNC(SUM(G1768:G1770),2)</f>
        <v>190.59</v>
      </c>
      <c r="H1771" s="7"/>
      <c r="I1771" s="11"/>
    </row>
    <row r="1772" spans="1:9" ht="45">
      <c r="A1772" s="103" t="s">
        <v>1476</v>
      </c>
      <c r="B1772" s="110" t="s">
        <v>822</v>
      </c>
      <c r="C1772" s="210" t="s">
        <v>823</v>
      </c>
      <c r="D1772" s="103" t="s">
        <v>7</v>
      </c>
      <c r="E1772" s="111">
        <v>1</v>
      </c>
      <c r="F1772" s="111">
        <f>TRUNC(F1773,2)</f>
        <v>818</v>
      </c>
      <c r="G1772" s="111">
        <f>TRUNC(F1772*1.2882,2)</f>
        <v>1053.74</v>
      </c>
      <c r="H1772" s="111">
        <f>TRUNC(F1772*E1772,2)</f>
        <v>818</v>
      </c>
      <c r="I1772" s="111">
        <f>TRUNC(E1772*G1772,2)</f>
        <v>1053.74</v>
      </c>
    </row>
    <row r="1773" spans="1:9" ht="45">
      <c r="A1773" s="8"/>
      <c r="B1773" s="12" t="s">
        <v>820</v>
      </c>
      <c r="C1773" s="200" t="s">
        <v>821</v>
      </c>
      <c r="D1773" s="8" t="s">
        <v>7</v>
      </c>
      <c r="E1773" s="11">
        <v>1</v>
      </c>
      <c r="F1773" s="7">
        <f>TRUNC(818.00179625,2)</f>
        <v>818</v>
      </c>
      <c r="G1773" s="7">
        <f>TRUNC(E1773*F1773,2)</f>
        <v>818</v>
      </c>
      <c r="H1773" s="7"/>
      <c r="I1773" s="11"/>
    </row>
    <row r="1774" spans="1:9" s="203" customFormat="1" ht="31.5">
      <c r="A1774" s="31"/>
      <c r="B1774" s="32" t="s">
        <v>255</v>
      </c>
      <c r="C1774" s="221" t="s">
        <v>824</v>
      </c>
      <c r="D1774" s="31" t="s">
        <v>7</v>
      </c>
      <c r="E1774" s="33">
        <v>1</v>
      </c>
      <c r="F1774" s="34">
        <f>TRUNC(811.67,2)</f>
        <v>811.67</v>
      </c>
      <c r="G1774" s="34">
        <f>TRUNC(E1774*F1774,2)</f>
        <v>811.67</v>
      </c>
      <c r="H1774" s="34"/>
      <c r="I1774" s="33"/>
    </row>
    <row r="1775" spans="1:9" ht="30">
      <c r="A1775" s="8"/>
      <c r="B1775" s="12" t="s">
        <v>45</v>
      </c>
      <c r="C1775" s="200" t="s">
        <v>46</v>
      </c>
      <c r="D1775" s="8" t="s">
        <v>47</v>
      </c>
      <c r="E1775" s="11">
        <v>0.16737500000000002</v>
      </c>
      <c r="F1775" s="7">
        <f>TRUNC(15.87,2)</f>
        <v>15.87</v>
      </c>
      <c r="G1775" s="7">
        <f>TRUNC(E1775*F1775,2)</f>
        <v>2.65</v>
      </c>
      <c r="H1775" s="7"/>
      <c r="I1775" s="11"/>
    </row>
    <row r="1776" spans="1:9" ht="30">
      <c r="A1776" s="8"/>
      <c r="B1776" s="12" t="s">
        <v>566</v>
      </c>
      <c r="C1776" s="200" t="s">
        <v>567</v>
      </c>
      <c r="D1776" s="8" t="s">
        <v>47</v>
      </c>
      <c r="E1776" s="11">
        <v>0.16737500000000002</v>
      </c>
      <c r="F1776" s="7">
        <f>TRUNC(21.96,2)</f>
        <v>21.96</v>
      </c>
      <c r="G1776" s="7">
        <f>TRUNC(E1776*F1776,2)</f>
        <v>3.67</v>
      </c>
      <c r="H1776" s="7"/>
      <c r="I1776" s="11"/>
    </row>
    <row r="1777" spans="1:9" ht="15">
      <c r="A1777" s="8"/>
      <c r="B1777" s="12"/>
      <c r="C1777" s="200"/>
      <c r="D1777" s="8"/>
      <c r="E1777" s="11" t="s">
        <v>33</v>
      </c>
      <c r="F1777" s="7"/>
      <c r="G1777" s="7">
        <f>TRUNC(SUM(G1774:G1776),2)</f>
        <v>817.99</v>
      </c>
      <c r="H1777" s="7"/>
      <c r="I1777" s="11"/>
    </row>
    <row r="1778" spans="1:9" ht="45">
      <c r="A1778" s="103" t="s">
        <v>1477</v>
      </c>
      <c r="B1778" s="110" t="s">
        <v>803</v>
      </c>
      <c r="C1778" s="210" t="s">
        <v>804</v>
      </c>
      <c r="D1778" s="103" t="s">
        <v>7</v>
      </c>
      <c r="E1778" s="111">
        <v>1</v>
      </c>
      <c r="F1778" s="111">
        <f>TRUNC(F1779,2)</f>
        <v>156.34</v>
      </c>
      <c r="G1778" s="111">
        <f>TRUNC(F1778*1.2882,2)</f>
        <v>201.39</v>
      </c>
      <c r="H1778" s="111">
        <f>TRUNC(F1778*E1778,2)</f>
        <v>156.34</v>
      </c>
      <c r="I1778" s="111">
        <f>TRUNC(E1778*G1778,2)</f>
        <v>201.39</v>
      </c>
    </row>
    <row r="1779" spans="1:9" ht="45">
      <c r="A1779" s="8"/>
      <c r="B1779" s="12" t="s">
        <v>803</v>
      </c>
      <c r="C1779" s="200" t="s">
        <v>804</v>
      </c>
      <c r="D1779" s="8" t="s">
        <v>7</v>
      </c>
      <c r="E1779" s="11">
        <v>1</v>
      </c>
      <c r="F1779" s="7">
        <f>TRUNC(156.3499375,2)</f>
        <v>156.34</v>
      </c>
      <c r="G1779" s="7">
        <f>TRUNC(E1779*F1779,2)</f>
        <v>156.34</v>
      </c>
      <c r="H1779" s="7"/>
      <c r="I1779" s="11"/>
    </row>
    <row r="1780" spans="1:9" ht="30">
      <c r="A1780" s="8"/>
      <c r="B1780" s="12" t="s">
        <v>805</v>
      </c>
      <c r="C1780" s="200" t="s">
        <v>806</v>
      </c>
      <c r="D1780" s="8" t="s">
        <v>7</v>
      </c>
      <c r="E1780" s="11">
        <v>1</v>
      </c>
      <c r="F1780" s="7">
        <f>TRUNC(150.73,2)</f>
        <v>150.73</v>
      </c>
      <c r="G1780" s="7">
        <f>TRUNC(E1780*F1780,2)</f>
        <v>150.73</v>
      </c>
      <c r="H1780" s="7"/>
      <c r="I1780" s="11"/>
    </row>
    <row r="1781" spans="1:9" ht="15">
      <c r="A1781" s="8"/>
      <c r="B1781" s="12" t="s">
        <v>807</v>
      </c>
      <c r="C1781" s="200" t="s">
        <v>808</v>
      </c>
      <c r="D1781" s="8" t="s">
        <v>47</v>
      </c>
      <c r="E1781" s="11">
        <v>0.12875</v>
      </c>
      <c r="F1781" s="7">
        <f>TRUNC(18.31,2)</f>
        <v>18.31</v>
      </c>
      <c r="G1781" s="7">
        <f>TRUNC(E1781*F1781,2)</f>
        <v>2.35</v>
      </c>
      <c r="H1781" s="7"/>
      <c r="I1781" s="11"/>
    </row>
    <row r="1782" spans="1:9" ht="15">
      <c r="A1782" s="8"/>
      <c r="B1782" s="12" t="s">
        <v>809</v>
      </c>
      <c r="C1782" s="200" t="s">
        <v>810</v>
      </c>
      <c r="D1782" s="8" t="s">
        <v>47</v>
      </c>
      <c r="E1782" s="11">
        <v>0.12875</v>
      </c>
      <c r="F1782" s="7">
        <f>TRUNC(25.34,2)</f>
        <v>25.34</v>
      </c>
      <c r="G1782" s="7">
        <f>TRUNC(E1782*F1782,2)</f>
        <v>3.26</v>
      </c>
      <c r="H1782" s="7"/>
      <c r="I1782" s="11"/>
    </row>
    <row r="1783" spans="1:9" ht="15">
      <c r="A1783" s="8"/>
      <c r="B1783" s="12"/>
      <c r="C1783" s="200"/>
      <c r="D1783" s="8"/>
      <c r="E1783" s="11" t="s">
        <v>33</v>
      </c>
      <c r="F1783" s="7"/>
      <c r="G1783" s="7">
        <f>TRUNC(SUM(G1780:G1782),2)</f>
        <v>156.34</v>
      </c>
      <c r="H1783" s="7"/>
      <c r="I1783" s="11"/>
    </row>
    <row r="1784" spans="1:9" s="203" customFormat="1" ht="15.75">
      <c r="A1784" s="263" t="s">
        <v>18</v>
      </c>
      <c r="B1784" s="264"/>
      <c r="C1784" s="265"/>
      <c r="D1784" s="263"/>
      <c r="E1784" s="266"/>
      <c r="F1784" s="267"/>
      <c r="G1784" s="482" t="s">
        <v>109</v>
      </c>
      <c r="H1784" s="483"/>
      <c r="I1784" s="267"/>
    </row>
    <row r="1785" spans="1:9" s="228" customFormat="1" ht="14.25" customHeight="1">
      <c r="A1785" s="99" t="s">
        <v>107</v>
      </c>
      <c r="B1785" s="100"/>
      <c r="C1785" s="484" t="s">
        <v>108</v>
      </c>
      <c r="D1785" s="484"/>
      <c r="E1785" s="484"/>
      <c r="F1785" s="484"/>
      <c r="G1785" s="484"/>
      <c r="H1785" s="484"/>
      <c r="I1785" s="484"/>
    </row>
    <row r="1786" spans="1:9" s="228" customFormat="1" ht="41.25" customHeight="1">
      <c r="A1786" s="103" t="s">
        <v>110</v>
      </c>
      <c r="B1786" s="110" t="s">
        <v>1554</v>
      </c>
      <c r="C1786" s="398" t="s">
        <v>1549</v>
      </c>
      <c r="D1786" s="399" t="s">
        <v>17</v>
      </c>
      <c r="E1786" s="111">
        <v>576</v>
      </c>
      <c r="F1786" s="111">
        <f>TRUNC(F1787,2)</f>
        <v>227.23</v>
      </c>
      <c r="G1786" s="111">
        <f>TRUNC(F1786*1.2882,2)</f>
        <v>292.71</v>
      </c>
      <c r="H1786" s="111">
        <f>TRUNC(F1786*E1786,2)</f>
        <v>130884.48</v>
      </c>
      <c r="I1786" s="111">
        <f>TRUNC(E1786*G1786,2)</f>
        <v>168600.96</v>
      </c>
    </row>
    <row r="1787" spans="1:9" s="228" customFormat="1" ht="30">
      <c r="A1787" s="8"/>
      <c r="B1787" s="12" t="s">
        <v>1554</v>
      </c>
      <c r="C1787" s="200" t="s">
        <v>1549</v>
      </c>
      <c r="D1787" s="8" t="s">
        <v>17</v>
      </c>
      <c r="E1787" s="11">
        <v>1</v>
      </c>
      <c r="F1787" s="7">
        <f>G1794</f>
        <v>227.23</v>
      </c>
      <c r="G1787" s="7">
        <f aca="true" t="shared" si="74" ref="G1787:G1793">TRUNC(E1787*F1787,2)</f>
        <v>227.23</v>
      </c>
      <c r="H1787" s="7"/>
      <c r="I1787" s="11"/>
    </row>
    <row r="1788" spans="1:9" s="228" customFormat="1" ht="60">
      <c r="A1788" s="8"/>
      <c r="B1788" s="12" t="s">
        <v>1555</v>
      </c>
      <c r="C1788" s="200" t="s">
        <v>1550</v>
      </c>
      <c r="D1788" s="8" t="s">
        <v>17</v>
      </c>
      <c r="E1788" s="11">
        <v>1.146</v>
      </c>
      <c r="F1788" s="7">
        <f>TRUNC(185.32,2)</f>
        <v>185.32</v>
      </c>
      <c r="G1788" s="7">
        <f t="shared" si="74"/>
        <v>212.37</v>
      </c>
      <c r="H1788" s="7"/>
      <c r="I1788" s="11"/>
    </row>
    <row r="1789" spans="1:9" s="228" customFormat="1" ht="30">
      <c r="A1789" s="8"/>
      <c r="B1789" s="12" t="s">
        <v>1556</v>
      </c>
      <c r="C1789" s="200" t="s">
        <v>1551</v>
      </c>
      <c r="D1789" s="8" t="s">
        <v>1552</v>
      </c>
      <c r="E1789" s="11">
        <v>4.15</v>
      </c>
      <c r="F1789" s="7">
        <f>TRUNC(2.82,2)</f>
        <v>2.82</v>
      </c>
      <c r="G1789" s="7">
        <f t="shared" si="74"/>
        <v>11.7</v>
      </c>
      <c r="H1789" s="7"/>
      <c r="I1789" s="11"/>
    </row>
    <row r="1790" spans="1:9" s="228" customFormat="1" ht="15">
      <c r="A1790" s="8"/>
      <c r="B1790" s="12" t="s">
        <v>1557</v>
      </c>
      <c r="C1790" s="200" t="s">
        <v>1553</v>
      </c>
      <c r="D1790" s="8" t="s">
        <v>47</v>
      </c>
      <c r="E1790" s="11">
        <v>0.056</v>
      </c>
      <c r="F1790" s="7">
        <f>TRUNC(29.29,2)</f>
        <v>29.29</v>
      </c>
      <c r="G1790" s="7">
        <f t="shared" si="74"/>
        <v>1.64</v>
      </c>
      <c r="H1790" s="7"/>
      <c r="I1790" s="11"/>
    </row>
    <row r="1791" spans="1:9" s="228" customFormat="1" ht="15">
      <c r="A1791" s="8"/>
      <c r="B1791" s="12" t="s">
        <v>49</v>
      </c>
      <c r="C1791" s="200" t="s">
        <v>50</v>
      </c>
      <c r="D1791" s="8" t="s">
        <v>47</v>
      </c>
      <c r="E1791" s="11">
        <v>0.062</v>
      </c>
      <c r="F1791" s="7">
        <f>TRUNC(23.64,2)</f>
        <v>23.64</v>
      </c>
      <c r="G1791" s="7">
        <f t="shared" si="74"/>
        <v>1.46</v>
      </c>
      <c r="H1791" s="7"/>
      <c r="I1791" s="11"/>
    </row>
    <row r="1792" spans="1:9" s="228" customFormat="1" ht="30">
      <c r="A1792" s="8"/>
      <c r="B1792" s="12" t="s">
        <v>1558</v>
      </c>
      <c r="C1792" s="200" t="s">
        <v>1559</v>
      </c>
      <c r="D1792" s="8" t="s">
        <v>62</v>
      </c>
      <c r="E1792" s="11">
        <v>0.0012</v>
      </c>
      <c r="F1792" s="7">
        <f>TRUNC(32.95,2)</f>
        <v>32.95</v>
      </c>
      <c r="G1792" s="7">
        <f t="shared" si="74"/>
        <v>0.03</v>
      </c>
      <c r="H1792" s="7"/>
      <c r="I1792" s="11"/>
    </row>
    <row r="1793" spans="1:9" s="228" customFormat="1" ht="30">
      <c r="A1793" s="8"/>
      <c r="B1793" s="12" t="s">
        <v>1560</v>
      </c>
      <c r="C1793" s="200" t="s">
        <v>1561</v>
      </c>
      <c r="D1793" s="8" t="s">
        <v>63</v>
      </c>
      <c r="E1793" s="11">
        <v>0.0009</v>
      </c>
      <c r="F1793" s="7">
        <f>TRUNC(34.02,2)</f>
        <v>34.02</v>
      </c>
      <c r="G1793" s="7">
        <f t="shared" si="74"/>
        <v>0.03</v>
      </c>
      <c r="H1793" s="7"/>
      <c r="I1793" s="11"/>
    </row>
    <row r="1794" spans="1:9" s="228" customFormat="1" ht="15">
      <c r="A1794" s="8"/>
      <c r="B1794" s="12"/>
      <c r="C1794" s="200"/>
      <c r="D1794" s="8"/>
      <c r="E1794" s="11" t="s">
        <v>33</v>
      </c>
      <c r="F1794" s="7"/>
      <c r="G1794" s="7">
        <f>TRUNC(SUM(G1788:G1793),2)</f>
        <v>227.23</v>
      </c>
      <c r="H1794" s="7"/>
      <c r="I1794" s="11"/>
    </row>
    <row r="1795" spans="1:9" ht="45">
      <c r="A1795" s="103" t="s">
        <v>111</v>
      </c>
      <c r="B1795" s="110" t="s">
        <v>1562</v>
      </c>
      <c r="C1795" s="210" t="s">
        <v>1628</v>
      </c>
      <c r="D1795" s="103" t="s">
        <v>44</v>
      </c>
      <c r="E1795" s="111">
        <f>754.16+1810+764.04+78+20+260+158.4</f>
        <v>3844.6</v>
      </c>
      <c r="F1795" s="111">
        <f>TRUNC(F1796,2)</f>
        <v>15.81</v>
      </c>
      <c r="G1795" s="111">
        <f>TRUNC(F1795*1.2882,2)</f>
        <v>20.36</v>
      </c>
      <c r="H1795" s="111">
        <f>TRUNC(F1795*E1795,2)</f>
        <v>60783.12</v>
      </c>
      <c r="I1795" s="111">
        <f>TRUNC(E1795*G1795,2)</f>
        <v>78276.05</v>
      </c>
    </row>
    <row r="1796" spans="1:9" ht="30">
      <c r="A1796" s="8"/>
      <c r="B1796" s="12" t="s">
        <v>1562</v>
      </c>
      <c r="C1796" s="200" t="s">
        <v>1563</v>
      </c>
      <c r="D1796" s="8" t="s">
        <v>44</v>
      </c>
      <c r="E1796" s="11">
        <v>1</v>
      </c>
      <c r="F1796" s="7">
        <f>TRUNC(15.8106718,2)</f>
        <v>15.81</v>
      </c>
      <c r="G1796" s="7">
        <f>TRUNC(E1796*F1796,2)</f>
        <v>15.81</v>
      </c>
      <c r="H1796" s="7"/>
      <c r="I1796" s="11"/>
    </row>
    <row r="1797" spans="1:9" ht="15">
      <c r="A1797" s="8"/>
      <c r="B1797" s="12" t="s">
        <v>1564</v>
      </c>
      <c r="C1797" s="200" t="s">
        <v>1565</v>
      </c>
      <c r="D1797" s="8" t="s">
        <v>44</v>
      </c>
      <c r="E1797" s="11">
        <v>1.05</v>
      </c>
      <c r="F1797" s="7">
        <f>TRUNC(13.2656,2)</f>
        <v>13.26</v>
      </c>
      <c r="G1797" s="7">
        <f>TRUNC(E1797*F1797,2)</f>
        <v>13.92</v>
      </c>
      <c r="H1797" s="7"/>
      <c r="I1797" s="11"/>
    </row>
    <row r="1798" spans="1:9" ht="30">
      <c r="A1798" s="8"/>
      <c r="B1798" s="12" t="s">
        <v>400</v>
      </c>
      <c r="C1798" s="200" t="s">
        <v>401</v>
      </c>
      <c r="D1798" s="8" t="s">
        <v>47</v>
      </c>
      <c r="E1798" s="11">
        <v>0.0412</v>
      </c>
      <c r="F1798" s="7">
        <f>TRUNC(23.62,2)</f>
        <v>23.62</v>
      </c>
      <c r="G1798" s="7">
        <f>TRUNC(E1798*F1798,2)</f>
        <v>0.97</v>
      </c>
      <c r="H1798" s="7"/>
      <c r="I1798" s="11"/>
    </row>
    <row r="1799" spans="1:9" ht="30">
      <c r="A1799" s="8"/>
      <c r="B1799" s="12" t="s">
        <v>1566</v>
      </c>
      <c r="C1799" s="200" t="s">
        <v>1567</v>
      </c>
      <c r="D1799" s="8" t="s">
        <v>47</v>
      </c>
      <c r="E1799" s="11">
        <v>0.0412</v>
      </c>
      <c r="F1799" s="7">
        <f>TRUNC(15.87,2)</f>
        <v>15.87</v>
      </c>
      <c r="G1799" s="7">
        <f>TRUNC(E1799*F1799,2)</f>
        <v>0.65</v>
      </c>
      <c r="H1799" s="7"/>
      <c r="I1799" s="11"/>
    </row>
    <row r="1800" spans="1:9" ht="15">
      <c r="A1800" s="8"/>
      <c r="B1800" s="12" t="s">
        <v>1568</v>
      </c>
      <c r="C1800" s="200" t="s">
        <v>1569</v>
      </c>
      <c r="D1800" s="8" t="s">
        <v>23</v>
      </c>
      <c r="E1800" s="11">
        <v>0.006</v>
      </c>
      <c r="F1800" s="7">
        <f>TRUNC(42.4673,2)</f>
        <v>42.46</v>
      </c>
      <c r="G1800" s="7">
        <f>TRUNC(E1800*F1800,2)</f>
        <v>0.25</v>
      </c>
      <c r="H1800" s="7"/>
      <c r="I1800" s="11"/>
    </row>
    <row r="1801" spans="1:9" ht="15">
      <c r="A1801" s="8"/>
      <c r="B1801" s="12"/>
      <c r="C1801" s="200"/>
      <c r="D1801" s="8"/>
      <c r="E1801" s="11" t="s">
        <v>33</v>
      </c>
      <c r="F1801" s="7"/>
      <c r="G1801" s="7">
        <f>TRUNC(SUM(G1797:G1800),2)</f>
        <v>15.79</v>
      </c>
      <c r="H1801" s="7"/>
      <c r="I1801" s="11"/>
    </row>
    <row r="1802" spans="1:9" s="228" customFormat="1" ht="30">
      <c r="A1802" s="103" t="s">
        <v>112</v>
      </c>
      <c r="B1802" s="110" t="s">
        <v>1571</v>
      </c>
      <c r="C1802" s="210" t="s">
        <v>1572</v>
      </c>
      <c r="D1802" s="103" t="s">
        <v>23</v>
      </c>
      <c r="E1802" s="111">
        <f>8.62/0.3/0.3</f>
        <v>95.77777777777777</v>
      </c>
      <c r="F1802" s="111">
        <f>TRUNC(F1803,2)</f>
        <v>60.33</v>
      </c>
      <c r="G1802" s="111">
        <f>TRUNC(F1802*1.2882,2)</f>
        <v>77.71</v>
      </c>
      <c r="H1802" s="111">
        <f>TRUNC(F1802*E1802,2)</f>
        <v>5778.27</v>
      </c>
      <c r="I1802" s="111">
        <f>TRUNC(E1802*G1802,2)</f>
        <v>7442.89</v>
      </c>
    </row>
    <row r="1803" spans="1:9" s="228" customFormat="1" ht="30">
      <c r="A1803" s="8"/>
      <c r="B1803" s="12" t="s">
        <v>1571</v>
      </c>
      <c r="C1803" s="200" t="s">
        <v>1572</v>
      </c>
      <c r="D1803" s="8" t="s">
        <v>23</v>
      </c>
      <c r="E1803" s="11">
        <v>1</v>
      </c>
      <c r="F1803" s="7">
        <f>G1813</f>
        <v>60.33</v>
      </c>
      <c r="G1803" s="7">
        <f aca="true" t="shared" si="75" ref="G1803:G1812">TRUNC(E1803*F1803,2)</f>
        <v>60.33</v>
      </c>
      <c r="H1803" s="7"/>
      <c r="I1803" s="11"/>
    </row>
    <row r="1804" spans="1:9" s="228" customFormat="1" ht="15">
      <c r="A1804" s="8"/>
      <c r="B1804" s="12" t="s">
        <v>1573</v>
      </c>
      <c r="C1804" s="200" t="s">
        <v>1574</v>
      </c>
      <c r="D1804" s="8" t="s">
        <v>44</v>
      </c>
      <c r="E1804" s="11">
        <v>0.059</v>
      </c>
      <c r="F1804" s="7">
        <f>TRUNC(209.01,2)</f>
        <v>209.01</v>
      </c>
      <c r="G1804" s="7">
        <f t="shared" si="75"/>
        <v>12.33</v>
      </c>
      <c r="H1804" s="7"/>
      <c r="I1804" s="11"/>
    </row>
    <row r="1805" spans="1:9" s="228" customFormat="1" ht="15">
      <c r="A1805" s="8"/>
      <c r="B1805" s="12" t="s">
        <v>1575</v>
      </c>
      <c r="C1805" s="200" t="s">
        <v>1576</v>
      </c>
      <c r="D1805" s="8" t="s">
        <v>44</v>
      </c>
      <c r="E1805" s="11">
        <v>0.0016</v>
      </c>
      <c r="F1805" s="7">
        <f>TRUNC(67.04,2)</f>
        <v>67.04</v>
      </c>
      <c r="G1805" s="7">
        <f t="shared" si="75"/>
        <v>0.1</v>
      </c>
      <c r="H1805" s="7"/>
      <c r="I1805" s="11"/>
    </row>
    <row r="1806" spans="1:9" s="228" customFormat="1" ht="15">
      <c r="A1806" s="8"/>
      <c r="B1806" s="12" t="s">
        <v>1577</v>
      </c>
      <c r="C1806" s="200" t="s">
        <v>1578</v>
      </c>
      <c r="D1806" s="8" t="s">
        <v>44</v>
      </c>
      <c r="E1806" s="11">
        <v>0.008</v>
      </c>
      <c r="F1806" s="7">
        <f>TRUNC(26.7,2)</f>
        <v>26.7</v>
      </c>
      <c r="G1806" s="7">
        <f t="shared" si="75"/>
        <v>0.21</v>
      </c>
      <c r="H1806" s="7"/>
      <c r="I1806" s="11"/>
    </row>
    <row r="1807" spans="1:9" s="228" customFormat="1" ht="15">
      <c r="A1807" s="8"/>
      <c r="B1807" s="12" t="s">
        <v>1579</v>
      </c>
      <c r="C1807" s="200" t="s">
        <v>1580</v>
      </c>
      <c r="D1807" s="8" t="s">
        <v>23</v>
      </c>
      <c r="E1807" s="11">
        <v>1.05</v>
      </c>
      <c r="F1807" s="7">
        <f>TRUNC(28.67,2)</f>
        <v>28.67</v>
      </c>
      <c r="G1807" s="7">
        <f t="shared" si="75"/>
        <v>30.1</v>
      </c>
      <c r="H1807" s="7"/>
      <c r="I1807" s="11"/>
    </row>
    <row r="1808" spans="1:9" s="228" customFormat="1" ht="30">
      <c r="A1808" s="8"/>
      <c r="B1808" s="12" t="s">
        <v>430</v>
      </c>
      <c r="C1808" s="200" t="s">
        <v>431</v>
      </c>
      <c r="D1808" s="8" t="s">
        <v>432</v>
      </c>
      <c r="E1808" s="11">
        <v>0.211</v>
      </c>
      <c r="F1808" s="7">
        <f>TRUNC(31.65,2)</f>
        <v>31.65</v>
      </c>
      <c r="G1808" s="7">
        <f t="shared" si="75"/>
        <v>6.67</v>
      </c>
      <c r="H1808" s="7"/>
      <c r="I1808" s="11"/>
    </row>
    <row r="1809" spans="1:9" s="228" customFormat="1" ht="15">
      <c r="A1809" s="8"/>
      <c r="B1809" s="12" t="s">
        <v>1557</v>
      </c>
      <c r="C1809" s="200" t="s">
        <v>1553</v>
      </c>
      <c r="D1809" s="8" t="s">
        <v>47</v>
      </c>
      <c r="E1809" s="11">
        <v>0.145</v>
      </c>
      <c r="F1809" s="7">
        <f>TRUNC(29.29,2)</f>
        <v>29.29</v>
      </c>
      <c r="G1809" s="7">
        <f t="shared" si="75"/>
        <v>4.24</v>
      </c>
      <c r="H1809" s="7"/>
      <c r="I1809" s="11"/>
    </row>
    <row r="1810" spans="1:9" s="228" customFormat="1" ht="15">
      <c r="A1810" s="8"/>
      <c r="B1810" s="12" t="s">
        <v>49</v>
      </c>
      <c r="C1810" s="200" t="s">
        <v>50</v>
      </c>
      <c r="D1810" s="8" t="s">
        <v>47</v>
      </c>
      <c r="E1810" s="11">
        <v>0.239</v>
      </c>
      <c r="F1810" s="7">
        <f>TRUNC(23.64,2)</f>
        <v>23.64</v>
      </c>
      <c r="G1810" s="7">
        <f t="shared" si="75"/>
        <v>5.64</v>
      </c>
      <c r="H1810" s="7"/>
      <c r="I1810" s="11"/>
    </row>
    <row r="1811" spans="1:9" s="228" customFormat="1" ht="30">
      <c r="A1811" s="8"/>
      <c r="B1811" s="12" t="s">
        <v>1558</v>
      </c>
      <c r="C1811" s="200" t="s">
        <v>1559</v>
      </c>
      <c r="D1811" s="8" t="s">
        <v>62</v>
      </c>
      <c r="E1811" s="11">
        <v>0.0183</v>
      </c>
      <c r="F1811" s="7">
        <f>TRUNC(32.95,2)</f>
        <v>32.95</v>
      </c>
      <c r="G1811" s="7">
        <f t="shared" si="75"/>
        <v>0.6</v>
      </c>
      <c r="H1811" s="7"/>
      <c r="I1811" s="11"/>
    </row>
    <row r="1812" spans="1:9" s="228" customFormat="1" ht="30">
      <c r="A1812" s="8"/>
      <c r="B1812" s="12" t="s">
        <v>1560</v>
      </c>
      <c r="C1812" s="200" t="s">
        <v>1561</v>
      </c>
      <c r="D1812" s="8" t="s">
        <v>63</v>
      </c>
      <c r="E1812" s="11">
        <v>0.0132</v>
      </c>
      <c r="F1812" s="7">
        <f>TRUNC(34.02,2)</f>
        <v>34.02</v>
      </c>
      <c r="G1812" s="7">
        <f t="shared" si="75"/>
        <v>0.44</v>
      </c>
      <c r="H1812" s="7"/>
      <c r="I1812" s="11"/>
    </row>
    <row r="1813" spans="1:9" s="228" customFormat="1" ht="15">
      <c r="A1813" s="8"/>
      <c r="B1813" s="12"/>
      <c r="C1813" s="200"/>
      <c r="D1813" s="8"/>
      <c r="E1813" s="11" t="s">
        <v>33</v>
      </c>
      <c r="F1813" s="7"/>
      <c r="G1813" s="7">
        <f>TRUNC(SUM(G1804:G1812),2)</f>
        <v>60.33</v>
      </c>
      <c r="H1813" s="7"/>
      <c r="I1813" s="11"/>
    </row>
    <row r="1814" spans="1:9" ht="30">
      <c r="A1814" s="103" t="s">
        <v>113</v>
      </c>
      <c r="B1814" s="110" t="s">
        <v>1581</v>
      </c>
      <c r="C1814" s="210" t="s">
        <v>1582</v>
      </c>
      <c r="D1814" s="103" t="s">
        <v>23</v>
      </c>
      <c r="E1814" s="111">
        <v>52</v>
      </c>
      <c r="F1814" s="111">
        <f>TRUNC(F1815,2)</f>
        <v>90.34</v>
      </c>
      <c r="G1814" s="111">
        <f>TRUNC(F1814*1.2882,2)</f>
        <v>116.37</v>
      </c>
      <c r="H1814" s="111">
        <f>TRUNC(F1814*E1814,2)</f>
        <v>4697.68</v>
      </c>
      <c r="I1814" s="111">
        <f>TRUNC(E1814*G1814,2)</f>
        <v>6051.24</v>
      </c>
    </row>
    <row r="1815" spans="1:9" ht="30">
      <c r="A1815" s="8"/>
      <c r="B1815" s="12" t="s">
        <v>1581</v>
      </c>
      <c r="C1815" s="200" t="s">
        <v>1582</v>
      </c>
      <c r="D1815" s="8" t="s">
        <v>23</v>
      </c>
      <c r="E1815" s="11">
        <v>1</v>
      </c>
      <c r="F1815" s="7">
        <f>G1825</f>
        <v>90.34</v>
      </c>
      <c r="G1815" s="7">
        <f aca="true" t="shared" si="76" ref="G1815:G1824">TRUNC(E1815*F1815,2)</f>
        <v>90.34</v>
      </c>
      <c r="H1815" s="7"/>
      <c r="I1815" s="11"/>
    </row>
    <row r="1816" spans="1:9" ht="15">
      <c r="A1816" s="8"/>
      <c r="B1816" s="12" t="s">
        <v>1583</v>
      </c>
      <c r="C1816" s="200" t="s">
        <v>1584</v>
      </c>
      <c r="D1816" s="8" t="s">
        <v>23</v>
      </c>
      <c r="E1816" s="11">
        <v>1.05</v>
      </c>
      <c r="F1816" s="7">
        <f>TRUNC(48.15,2)</f>
        <v>48.15</v>
      </c>
      <c r="G1816" s="7">
        <f t="shared" si="76"/>
        <v>50.55</v>
      </c>
      <c r="H1816" s="7"/>
      <c r="I1816" s="11"/>
    </row>
    <row r="1817" spans="1:9" ht="15">
      <c r="A1817" s="8"/>
      <c r="B1817" s="12" t="s">
        <v>1573</v>
      </c>
      <c r="C1817" s="200" t="s">
        <v>1574</v>
      </c>
      <c r="D1817" s="8" t="s">
        <v>44</v>
      </c>
      <c r="E1817" s="11">
        <v>0.09</v>
      </c>
      <c r="F1817" s="7">
        <f>TRUNC(209.01,2)</f>
        <v>209.01</v>
      </c>
      <c r="G1817" s="7">
        <f t="shared" si="76"/>
        <v>18.81</v>
      </c>
      <c r="H1817" s="7"/>
      <c r="I1817" s="11"/>
    </row>
    <row r="1818" spans="1:9" ht="15">
      <c r="A1818" s="8"/>
      <c r="B1818" s="12" t="s">
        <v>1575</v>
      </c>
      <c r="C1818" s="200" t="s">
        <v>1576</v>
      </c>
      <c r="D1818" s="8" t="s">
        <v>44</v>
      </c>
      <c r="E1818" s="11">
        <v>0.0024</v>
      </c>
      <c r="F1818" s="7">
        <f>TRUNC(67.04,2)</f>
        <v>67.04</v>
      </c>
      <c r="G1818" s="7">
        <f t="shared" si="76"/>
        <v>0.16</v>
      </c>
      <c r="H1818" s="7"/>
      <c r="I1818" s="11"/>
    </row>
    <row r="1819" spans="1:9" ht="15">
      <c r="A1819" s="8"/>
      <c r="B1819" s="12" t="s">
        <v>1577</v>
      </c>
      <c r="C1819" s="200" t="s">
        <v>1578</v>
      </c>
      <c r="D1819" s="8" t="s">
        <v>44</v>
      </c>
      <c r="E1819" s="11">
        <v>0.013</v>
      </c>
      <c r="F1819" s="7">
        <f>TRUNC(26.7,2)</f>
        <v>26.7</v>
      </c>
      <c r="G1819" s="7">
        <f t="shared" si="76"/>
        <v>0.34</v>
      </c>
      <c r="H1819" s="7"/>
      <c r="I1819" s="11"/>
    </row>
    <row r="1820" spans="1:9" ht="30">
      <c r="A1820" s="8"/>
      <c r="B1820" s="12" t="s">
        <v>430</v>
      </c>
      <c r="C1820" s="200" t="s">
        <v>431</v>
      </c>
      <c r="D1820" s="8" t="s">
        <v>432</v>
      </c>
      <c r="E1820" s="11">
        <v>0.081</v>
      </c>
      <c r="F1820" s="7">
        <f>TRUNC(31.65,2)</f>
        <v>31.65</v>
      </c>
      <c r="G1820" s="7">
        <f t="shared" si="76"/>
        <v>2.56</v>
      </c>
      <c r="H1820" s="7"/>
      <c r="I1820" s="11"/>
    </row>
    <row r="1821" spans="1:9" ht="15">
      <c r="A1821" s="8"/>
      <c r="B1821" s="12" t="s">
        <v>1557</v>
      </c>
      <c r="C1821" s="200" t="s">
        <v>1553</v>
      </c>
      <c r="D1821" s="8" t="s">
        <v>47</v>
      </c>
      <c r="E1821" s="11">
        <v>0.277</v>
      </c>
      <c r="F1821" s="7">
        <f>TRUNC(29.29,2)</f>
        <v>29.29</v>
      </c>
      <c r="G1821" s="7">
        <f t="shared" si="76"/>
        <v>8.11</v>
      </c>
      <c r="H1821" s="7"/>
      <c r="I1821" s="11"/>
    </row>
    <row r="1822" spans="1:9" ht="15">
      <c r="A1822" s="8"/>
      <c r="B1822" s="12" t="s">
        <v>49</v>
      </c>
      <c r="C1822" s="200" t="s">
        <v>50</v>
      </c>
      <c r="D1822" s="8" t="s">
        <v>47</v>
      </c>
      <c r="E1822" s="11">
        <v>0.371</v>
      </c>
      <c r="F1822" s="7">
        <f>TRUNC(23.64,2)</f>
        <v>23.64</v>
      </c>
      <c r="G1822" s="7">
        <f t="shared" si="76"/>
        <v>8.77</v>
      </c>
      <c r="H1822" s="7"/>
      <c r="I1822" s="11"/>
    </row>
    <row r="1823" spans="1:9" ht="30">
      <c r="A1823" s="8"/>
      <c r="B1823" s="12" t="s">
        <v>1558</v>
      </c>
      <c r="C1823" s="200" t="s">
        <v>1559</v>
      </c>
      <c r="D1823" s="8" t="s">
        <v>62</v>
      </c>
      <c r="E1823" s="11">
        <v>0.0183</v>
      </c>
      <c r="F1823" s="7">
        <f>TRUNC(32.95,2)</f>
        <v>32.95</v>
      </c>
      <c r="G1823" s="7">
        <f t="shared" si="76"/>
        <v>0.6</v>
      </c>
      <c r="H1823" s="7"/>
      <c r="I1823" s="11"/>
    </row>
    <row r="1824" spans="1:9" ht="30">
      <c r="A1824" s="8"/>
      <c r="B1824" s="12" t="s">
        <v>1560</v>
      </c>
      <c r="C1824" s="200" t="s">
        <v>1561</v>
      </c>
      <c r="D1824" s="8" t="s">
        <v>63</v>
      </c>
      <c r="E1824" s="11">
        <v>0.0132</v>
      </c>
      <c r="F1824" s="7">
        <f>TRUNC(34.02,2)</f>
        <v>34.02</v>
      </c>
      <c r="G1824" s="7">
        <f t="shared" si="76"/>
        <v>0.44</v>
      </c>
      <c r="H1824" s="7"/>
      <c r="I1824" s="11"/>
    </row>
    <row r="1825" spans="1:9" ht="15">
      <c r="A1825" s="8"/>
      <c r="B1825" s="12"/>
      <c r="C1825" s="200"/>
      <c r="D1825" s="8"/>
      <c r="E1825" s="11" t="s">
        <v>33</v>
      </c>
      <c r="F1825" s="7"/>
      <c r="G1825" s="7">
        <f>TRUNC(SUM(G1816:G1824),2)</f>
        <v>90.34</v>
      </c>
      <c r="H1825" s="7"/>
      <c r="I1825" s="11"/>
    </row>
    <row r="1826" spans="1:9" s="228" customFormat="1" ht="30">
      <c r="A1826" s="103" t="s">
        <v>114</v>
      </c>
      <c r="B1826" s="110" t="s">
        <v>1585</v>
      </c>
      <c r="C1826" s="210" t="s">
        <v>1586</v>
      </c>
      <c r="D1826" s="103" t="s">
        <v>23</v>
      </c>
      <c r="E1826" s="111">
        <f>10/0.6/0.4</f>
        <v>41.666666666666664</v>
      </c>
      <c r="F1826" s="111">
        <f>TRUNC(F1827,2)</f>
        <v>102.89</v>
      </c>
      <c r="G1826" s="111">
        <f>TRUNC(F1826*1.2882,2)</f>
        <v>132.54</v>
      </c>
      <c r="H1826" s="111">
        <f>TRUNC(F1826*E1826,2)</f>
        <v>4287.08</v>
      </c>
      <c r="I1826" s="111">
        <f>TRUNC(E1826*G1826,2)</f>
        <v>5522.5</v>
      </c>
    </row>
    <row r="1827" spans="1:9" s="228" customFormat="1" ht="30">
      <c r="A1827" s="8"/>
      <c r="B1827" s="12" t="s">
        <v>1585</v>
      </c>
      <c r="C1827" s="200" t="s">
        <v>1586</v>
      </c>
      <c r="D1827" s="8" t="s">
        <v>23</v>
      </c>
      <c r="E1827" s="11">
        <v>1</v>
      </c>
      <c r="F1827" s="7">
        <f>G1831</f>
        <v>102.89</v>
      </c>
      <c r="G1827" s="7">
        <f>TRUNC(E1827*F1827,2)</f>
        <v>102.89</v>
      </c>
      <c r="H1827" s="7"/>
      <c r="I1827" s="11"/>
    </row>
    <row r="1828" spans="1:9" s="228" customFormat="1" ht="30">
      <c r="A1828" s="8"/>
      <c r="B1828" s="12" t="s">
        <v>1587</v>
      </c>
      <c r="C1828" s="200" t="s">
        <v>1588</v>
      </c>
      <c r="D1828" s="8" t="s">
        <v>44</v>
      </c>
      <c r="E1828" s="11">
        <v>4.9572</v>
      </c>
      <c r="F1828" s="7">
        <f>TRUNC(18.4052,2)</f>
        <v>18.4</v>
      </c>
      <c r="G1828" s="7">
        <f>TRUNC(E1828*F1828,2)</f>
        <v>91.21</v>
      </c>
      <c r="H1828" s="7"/>
      <c r="I1828" s="11"/>
    </row>
    <row r="1829" spans="1:9" s="228" customFormat="1" ht="30">
      <c r="A1829" s="8"/>
      <c r="B1829" s="12" t="s">
        <v>45</v>
      </c>
      <c r="C1829" s="200" t="s">
        <v>46</v>
      </c>
      <c r="D1829" s="8" t="s">
        <v>47</v>
      </c>
      <c r="E1829" s="11">
        <v>0.309</v>
      </c>
      <c r="F1829" s="7">
        <f>TRUNC(15.87,2)</f>
        <v>15.87</v>
      </c>
      <c r="G1829" s="7">
        <f>TRUNC(E1829*F1829,2)</f>
        <v>4.9</v>
      </c>
      <c r="H1829" s="7"/>
      <c r="I1829" s="11"/>
    </row>
    <row r="1830" spans="1:9" s="228" customFormat="1" ht="30">
      <c r="A1830" s="8"/>
      <c r="B1830" s="12" t="s">
        <v>69</v>
      </c>
      <c r="C1830" s="200" t="s">
        <v>70</v>
      </c>
      <c r="D1830" s="8" t="s">
        <v>47</v>
      </c>
      <c r="E1830" s="11">
        <v>0.309</v>
      </c>
      <c r="F1830" s="7">
        <f>TRUNC(21.96,2)</f>
        <v>21.96</v>
      </c>
      <c r="G1830" s="7">
        <f>TRUNC(E1830*F1830,2)</f>
        <v>6.78</v>
      </c>
      <c r="H1830" s="7"/>
      <c r="I1830" s="11"/>
    </row>
    <row r="1831" spans="1:9" s="228" customFormat="1" ht="15">
      <c r="A1831" s="8"/>
      <c r="B1831" s="12"/>
      <c r="C1831" s="200"/>
      <c r="D1831" s="8"/>
      <c r="E1831" s="11" t="s">
        <v>33</v>
      </c>
      <c r="F1831" s="7"/>
      <c r="G1831" s="7">
        <f>TRUNC(SUM(G1828:G1830),2)</f>
        <v>102.89</v>
      </c>
      <c r="H1831" s="7"/>
      <c r="I1831" s="11"/>
    </row>
    <row r="1832" spans="1:9" s="228" customFormat="1" ht="15">
      <c r="A1832" s="8"/>
      <c r="B1832" s="12"/>
      <c r="C1832" s="200"/>
      <c r="D1832" s="8"/>
      <c r="E1832" s="11"/>
      <c r="F1832" s="7"/>
      <c r="G1832" s="7"/>
      <c r="H1832" s="7"/>
      <c r="I1832" s="11"/>
    </row>
    <row r="1833" spans="1:9" s="228" customFormat="1" ht="30">
      <c r="A1833" s="103" t="s">
        <v>1570</v>
      </c>
      <c r="B1833" s="110" t="s">
        <v>1589</v>
      </c>
      <c r="C1833" s="210" t="s">
        <v>1590</v>
      </c>
      <c r="D1833" s="103" t="s">
        <v>23</v>
      </c>
      <c r="E1833" s="111">
        <v>36</v>
      </c>
      <c r="F1833" s="111">
        <f>TRUNC(F1834,2)</f>
        <v>33.35</v>
      </c>
      <c r="G1833" s="111">
        <f>TRUNC(F1833*1.2882,2)</f>
        <v>42.96</v>
      </c>
      <c r="H1833" s="111">
        <f>TRUNC(F1833*E1833,2)</f>
        <v>1200.6</v>
      </c>
      <c r="I1833" s="111">
        <f>TRUNC(E1833*G1833,2)</f>
        <v>1546.56</v>
      </c>
    </row>
    <row r="1834" spans="1:9" s="228" customFormat="1" ht="30">
      <c r="A1834" s="8"/>
      <c r="B1834" s="12" t="s">
        <v>1589</v>
      </c>
      <c r="C1834" s="200" t="s">
        <v>1590</v>
      </c>
      <c r="D1834" s="8" t="s">
        <v>23</v>
      </c>
      <c r="E1834" s="11">
        <v>1</v>
      </c>
      <c r="F1834" s="7">
        <f>G1839</f>
        <v>33.35</v>
      </c>
      <c r="G1834" s="7">
        <f>TRUNC(E1834*F1834,2)</f>
        <v>33.35</v>
      </c>
      <c r="H1834" s="7"/>
      <c r="I1834" s="11"/>
    </row>
    <row r="1835" spans="1:9" s="228" customFormat="1" ht="15">
      <c r="A1835" s="8"/>
      <c r="B1835" s="12" t="s">
        <v>171</v>
      </c>
      <c r="C1835" s="200" t="s">
        <v>172</v>
      </c>
      <c r="D1835" s="8" t="s">
        <v>7</v>
      </c>
      <c r="E1835" s="11">
        <v>0.042</v>
      </c>
      <c r="F1835" s="7">
        <f>TRUNC(2.13,2)</f>
        <v>2.13</v>
      </c>
      <c r="G1835" s="7">
        <f>TRUNC(E1835*F1835,2)</f>
        <v>0.08</v>
      </c>
      <c r="H1835" s="7"/>
      <c r="I1835" s="11"/>
    </row>
    <row r="1836" spans="1:9" s="228" customFormat="1" ht="15">
      <c r="A1836" s="8"/>
      <c r="B1836" s="12" t="s">
        <v>1591</v>
      </c>
      <c r="C1836" s="200" t="s">
        <v>1592</v>
      </c>
      <c r="D1836" s="8" t="s">
        <v>23</v>
      </c>
      <c r="E1836" s="11">
        <v>1.0353</v>
      </c>
      <c r="F1836" s="7">
        <f>TRUNC(28.25,2)</f>
        <v>28.25</v>
      </c>
      <c r="G1836" s="7">
        <f>TRUNC(E1836*F1836,2)</f>
        <v>29.24</v>
      </c>
      <c r="H1836" s="7"/>
      <c r="I1836" s="11"/>
    </row>
    <row r="1837" spans="1:9" s="228" customFormat="1" ht="15">
      <c r="A1837" s="8"/>
      <c r="B1837" s="12" t="s">
        <v>71</v>
      </c>
      <c r="C1837" s="200" t="s">
        <v>72</v>
      </c>
      <c r="D1837" s="8" t="s">
        <v>47</v>
      </c>
      <c r="E1837" s="11">
        <v>0.0758</v>
      </c>
      <c r="F1837" s="7">
        <f>TRUNC(29.27,2)</f>
        <v>29.27</v>
      </c>
      <c r="G1837" s="7">
        <f>TRUNC(E1837*F1837,2)</f>
        <v>2.21</v>
      </c>
      <c r="H1837" s="7"/>
      <c r="I1837" s="11"/>
    </row>
    <row r="1838" spans="1:9" s="228" customFormat="1" ht="15">
      <c r="A1838" s="8"/>
      <c r="B1838" s="12" t="s">
        <v>177</v>
      </c>
      <c r="C1838" s="200" t="s">
        <v>178</v>
      </c>
      <c r="D1838" s="8" t="s">
        <v>47</v>
      </c>
      <c r="E1838" s="11">
        <v>0.0758</v>
      </c>
      <c r="F1838" s="7">
        <f>TRUNC(24.08,2)</f>
        <v>24.08</v>
      </c>
      <c r="G1838" s="7">
        <f>TRUNC(E1838*F1838,2)</f>
        <v>1.82</v>
      </c>
      <c r="H1838" s="7"/>
      <c r="I1838" s="11"/>
    </row>
    <row r="1839" spans="1:9" s="228" customFormat="1" ht="15">
      <c r="A1839" s="8"/>
      <c r="B1839" s="12"/>
      <c r="C1839" s="200"/>
      <c r="D1839" s="8"/>
      <c r="E1839" s="11" t="s">
        <v>33</v>
      </c>
      <c r="F1839" s="7"/>
      <c r="G1839" s="7">
        <f>TRUNC(SUM(G1835:G1838),2)</f>
        <v>33.35</v>
      </c>
      <c r="H1839" s="7"/>
      <c r="I1839" s="11"/>
    </row>
    <row r="1840" spans="1:9" s="203" customFormat="1" ht="15.75">
      <c r="A1840" s="263" t="s">
        <v>18</v>
      </c>
      <c r="B1840" s="264"/>
      <c r="C1840" s="265"/>
      <c r="D1840" s="263"/>
      <c r="E1840" s="266"/>
      <c r="F1840" s="267"/>
      <c r="G1840" s="482" t="s">
        <v>120</v>
      </c>
      <c r="H1840" s="483"/>
      <c r="I1840" s="267">
        <f>I1786+I1795+I1802+I1814+I1826+I1833</f>
        <v>267440.2</v>
      </c>
    </row>
    <row r="1841" spans="1:9" ht="14.25" customHeight="1">
      <c r="A1841" s="99" t="s">
        <v>119</v>
      </c>
      <c r="B1841" s="100"/>
      <c r="C1841" s="484" t="s">
        <v>21</v>
      </c>
      <c r="D1841" s="484"/>
      <c r="E1841" s="484"/>
      <c r="F1841" s="484"/>
      <c r="G1841" s="484"/>
      <c r="H1841" s="484"/>
      <c r="I1841" s="484"/>
    </row>
    <row r="1842" spans="1:10" ht="75">
      <c r="A1842" s="103" t="s">
        <v>121</v>
      </c>
      <c r="B1842" s="110" t="s">
        <v>1043</v>
      </c>
      <c r="C1842" s="210" t="s">
        <v>1044</v>
      </c>
      <c r="D1842" s="103" t="s">
        <v>17</v>
      </c>
      <c r="E1842" s="111">
        <v>1363.6</v>
      </c>
      <c r="F1842" s="111">
        <f>TRUNC(F1843,2)</f>
        <v>16.25</v>
      </c>
      <c r="G1842" s="111">
        <f>TRUNC(F1842*1.2882,2)</f>
        <v>20.93</v>
      </c>
      <c r="H1842" s="111">
        <f>TRUNC(F1842*E1842,2)</f>
        <v>22158.5</v>
      </c>
      <c r="I1842" s="111">
        <f>TRUNC(E1842*G1842,2)</f>
        <v>28540.14</v>
      </c>
      <c r="J1842" s="193">
        <f>46.4+8.03+18.86+68.6+3.44+5.62+80.36+34.23+43.04+66.91+63.65+63.65+28.4+56.56+24.6+9.36+6.16+37.6+31.27+104.9+64.6</f>
        <v>866.24</v>
      </c>
    </row>
    <row r="1843" spans="1:9" ht="75">
      <c r="A1843" s="8"/>
      <c r="B1843" s="12" t="s">
        <v>1043</v>
      </c>
      <c r="C1843" s="200" t="s">
        <v>1044</v>
      </c>
      <c r="D1843" s="8" t="s">
        <v>17</v>
      </c>
      <c r="E1843" s="11">
        <v>1</v>
      </c>
      <c r="F1843" s="7">
        <f>G1849</f>
        <v>16.25</v>
      </c>
      <c r="G1843" s="7">
        <f aca="true" t="shared" si="77" ref="G1843:G1848">TRUNC(E1843*F1843,2)</f>
        <v>16.25</v>
      </c>
      <c r="H1843" s="7"/>
      <c r="I1843" s="11"/>
    </row>
    <row r="1844" spans="1:9" ht="15">
      <c r="A1844" s="8"/>
      <c r="B1844" s="12" t="s">
        <v>1045</v>
      </c>
      <c r="C1844" s="200" t="s">
        <v>1046</v>
      </c>
      <c r="D1844" s="8" t="s">
        <v>7</v>
      </c>
      <c r="E1844" s="11">
        <v>0.5</v>
      </c>
      <c r="F1844" s="7">
        <f>TRUNC(0.65,2)</f>
        <v>0.65</v>
      </c>
      <c r="G1844" s="7">
        <f t="shared" si="77"/>
        <v>0.32</v>
      </c>
      <c r="H1844" s="7"/>
      <c r="I1844" s="11"/>
    </row>
    <row r="1845" spans="1:9" ht="15">
      <c r="A1845" s="8"/>
      <c r="B1845" s="12" t="s">
        <v>1047</v>
      </c>
      <c r="C1845" s="200" t="s">
        <v>1048</v>
      </c>
      <c r="D1845" s="8" t="s">
        <v>1049</v>
      </c>
      <c r="E1845" s="11">
        <v>0.04</v>
      </c>
      <c r="F1845" s="7">
        <f>TRUNC(23.18,2)</f>
        <v>23.18</v>
      </c>
      <c r="G1845" s="7">
        <f t="shared" si="77"/>
        <v>0.92</v>
      </c>
      <c r="H1845" s="7"/>
      <c r="I1845" s="11"/>
    </row>
    <row r="1846" spans="1:9" ht="30">
      <c r="A1846" s="8"/>
      <c r="B1846" s="12" t="s">
        <v>1050</v>
      </c>
      <c r="C1846" s="200" t="s">
        <v>1051</v>
      </c>
      <c r="D1846" s="8" t="s">
        <v>7</v>
      </c>
      <c r="E1846" s="11">
        <v>0.012</v>
      </c>
      <c r="F1846" s="7">
        <f>TRUNC(353.92,2)</f>
        <v>353.92</v>
      </c>
      <c r="G1846" s="7">
        <f t="shared" si="77"/>
        <v>4.24</v>
      </c>
      <c r="H1846" s="7"/>
      <c r="I1846" s="11"/>
    </row>
    <row r="1847" spans="1:9" ht="30">
      <c r="A1847" s="8"/>
      <c r="B1847" s="12" t="s">
        <v>45</v>
      </c>
      <c r="C1847" s="200" t="s">
        <v>46</v>
      </c>
      <c r="D1847" s="8" t="s">
        <v>47</v>
      </c>
      <c r="E1847" s="11">
        <v>0.18025</v>
      </c>
      <c r="F1847" s="7">
        <f>TRUNC(15.87,2)</f>
        <v>15.87</v>
      </c>
      <c r="G1847" s="7">
        <f t="shared" si="77"/>
        <v>2.86</v>
      </c>
      <c r="H1847" s="7"/>
      <c r="I1847" s="11"/>
    </row>
    <row r="1848" spans="1:9" ht="15">
      <c r="A1848" s="8"/>
      <c r="B1848" s="12" t="s">
        <v>1052</v>
      </c>
      <c r="C1848" s="200" t="s">
        <v>1053</v>
      </c>
      <c r="D1848" s="8" t="s">
        <v>47</v>
      </c>
      <c r="E1848" s="11">
        <v>0.3605</v>
      </c>
      <c r="F1848" s="7">
        <f>TRUNC(21.96,2)</f>
        <v>21.96</v>
      </c>
      <c r="G1848" s="7">
        <f t="shared" si="77"/>
        <v>7.91</v>
      </c>
      <c r="H1848" s="7"/>
      <c r="I1848" s="11"/>
    </row>
    <row r="1849" spans="1:9" ht="15">
      <c r="A1849" s="8"/>
      <c r="B1849" s="12"/>
      <c r="C1849" s="200"/>
      <c r="D1849" s="8"/>
      <c r="E1849" s="11" t="s">
        <v>33</v>
      </c>
      <c r="F1849" s="7"/>
      <c r="G1849" s="7">
        <f>TRUNC(SUM(G1844:G1848),2)</f>
        <v>16.25</v>
      </c>
      <c r="H1849" s="7"/>
      <c r="I1849" s="11"/>
    </row>
    <row r="1850" spans="1:10" ht="45">
      <c r="A1850" s="103" t="s">
        <v>122</v>
      </c>
      <c r="B1850" s="110" t="s">
        <v>1054</v>
      </c>
      <c r="C1850" s="210" t="s">
        <v>1055</v>
      </c>
      <c r="D1850" s="103" t="s">
        <v>17</v>
      </c>
      <c r="E1850" s="111">
        <f>E1842+E1858</f>
        <v>1674.76</v>
      </c>
      <c r="F1850" s="111">
        <f>TRUNC(F1851,2)</f>
        <v>19.47</v>
      </c>
      <c r="G1850" s="111">
        <f>TRUNC(F1850*1.2882,2)</f>
        <v>25.08</v>
      </c>
      <c r="H1850" s="111">
        <f>TRUNC(F1850*E1850,2)</f>
        <v>32607.57</v>
      </c>
      <c r="I1850" s="111">
        <f>TRUNC(E1850*G1850,2)</f>
        <v>42002.98</v>
      </c>
      <c r="J1850" s="292">
        <f>E1842-J1842-E1858</f>
        <v>186.19999999999987</v>
      </c>
    </row>
    <row r="1851" spans="1:9" ht="45">
      <c r="A1851" s="8"/>
      <c r="B1851" s="12" t="s">
        <v>1054</v>
      </c>
      <c r="C1851" s="200" t="s">
        <v>1055</v>
      </c>
      <c r="D1851" s="8" t="s">
        <v>17</v>
      </c>
      <c r="E1851" s="11">
        <v>1</v>
      </c>
      <c r="F1851" s="7">
        <f>G1857</f>
        <v>19.47</v>
      </c>
      <c r="G1851" s="7">
        <f aca="true" t="shared" si="78" ref="G1851:G1856">TRUNC(E1851*F1851,2)</f>
        <v>19.47</v>
      </c>
      <c r="H1851" s="7"/>
      <c r="I1851" s="11"/>
    </row>
    <row r="1852" spans="1:9" ht="15">
      <c r="A1852" s="8"/>
      <c r="B1852" s="12" t="s">
        <v>1045</v>
      </c>
      <c r="C1852" s="200" t="s">
        <v>1046</v>
      </c>
      <c r="D1852" s="8" t="s">
        <v>7</v>
      </c>
      <c r="E1852" s="11">
        <v>1</v>
      </c>
      <c r="F1852" s="7">
        <f>TRUNC(0.65,2)</f>
        <v>0.65</v>
      </c>
      <c r="G1852" s="7">
        <f t="shared" si="78"/>
        <v>0.65</v>
      </c>
      <c r="H1852" s="7"/>
      <c r="I1852" s="11"/>
    </row>
    <row r="1853" spans="1:9" ht="15">
      <c r="A1853" s="8"/>
      <c r="B1853" s="12" t="s">
        <v>1047</v>
      </c>
      <c r="C1853" s="200" t="s">
        <v>1048</v>
      </c>
      <c r="D1853" s="8" t="s">
        <v>1049</v>
      </c>
      <c r="E1853" s="11">
        <v>0.04</v>
      </c>
      <c r="F1853" s="7">
        <f>TRUNC(23.18,2)</f>
        <v>23.18</v>
      </c>
      <c r="G1853" s="7">
        <f t="shared" si="78"/>
        <v>0.92</v>
      </c>
      <c r="H1853" s="7"/>
      <c r="I1853" s="11"/>
    </row>
    <row r="1854" spans="1:9" ht="15">
      <c r="A1854" s="8"/>
      <c r="B1854" s="12" t="s">
        <v>1056</v>
      </c>
      <c r="C1854" s="200" t="s">
        <v>1057</v>
      </c>
      <c r="D1854" s="8" t="s">
        <v>7</v>
      </c>
      <c r="E1854" s="11">
        <v>0.027</v>
      </c>
      <c r="F1854" s="7">
        <f>TRUNC(64.79,2)</f>
        <v>64.79</v>
      </c>
      <c r="G1854" s="7">
        <f t="shared" si="78"/>
        <v>1.74</v>
      </c>
      <c r="H1854" s="7"/>
      <c r="I1854" s="11"/>
    </row>
    <row r="1855" spans="1:9" ht="30">
      <c r="A1855" s="8"/>
      <c r="B1855" s="12" t="s">
        <v>45</v>
      </c>
      <c r="C1855" s="200" t="s">
        <v>46</v>
      </c>
      <c r="D1855" s="8" t="s">
        <v>47</v>
      </c>
      <c r="E1855" s="11">
        <v>0.27037500000000003</v>
      </c>
      <c r="F1855" s="7">
        <f>TRUNC(15.87,2)</f>
        <v>15.87</v>
      </c>
      <c r="G1855" s="7">
        <f t="shared" si="78"/>
        <v>4.29</v>
      </c>
      <c r="H1855" s="7"/>
      <c r="I1855" s="11"/>
    </row>
    <row r="1856" spans="1:9" ht="15">
      <c r="A1856" s="8"/>
      <c r="B1856" s="12" t="s">
        <v>1052</v>
      </c>
      <c r="C1856" s="200" t="s">
        <v>1053</v>
      </c>
      <c r="D1856" s="8" t="s">
        <v>47</v>
      </c>
      <c r="E1856" s="11">
        <v>0.5407500000000001</v>
      </c>
      <c r="F1856" s="7">
        <f>TRUNC(21.96,2)</f>
        <v>21.96</v>
      </c>
      <c r="G1856" s="7">
        <f t="shared" si="78"/>
        <v>11.87</v>
      </c>
      <c r="H1856" s="7"/>
      <c r="I1856" s="11"/>
    </row>
    <row r="1857" spans="1:9" ht="15">
      <c r="A1857" s="8"/>
      <c r="B1857" s="12"/>
      <c r="C1857" s="200"/>
      <c r="D1857" s="8"/>
      <c r="E1857" s="11" t="s">
        <v>33</v>
      </c>
      <c r="F1857" s="7"/>
      <c r="G1857" s="7">
        <f>TRUNC(SUM(G1852:G1856),2)</f>
        <v>19.47</v>
      </c>
      <c r="H1857" s="7"/>
      <c r="I1857" s="11"/>
    </row>
    <row r="1858" spans="1:9" ht="45">
      <c r="A1858" s="103" t="s">
        <v>123</v>
      </c>
      <c r="B1858" s="110" t="s">
        <v>1058</v>
      </c>
      <c r="C1858" s="210" t="s">
        <v>1059</v>
      </c>
      <c r="D1858" s="103" t="s">
        <v>17</v>
      </c>
      <c r="E1858" s="111">
        <f>230.8+80.36</f>
        <v>311.16</v>
      </c>
      <c r="F1858" s="111">
        <f>TRUNC(F1859,2)</f>
        <v>30.7</v>
      </c>
      <c r="G1858" s="111">
        <f>TRUNC(F1858*1.2882,2)</f>
        <v>39.54</v>
      </c>
      <c r="H1858" s="111">
        <f>TRUNC(F1858*E1858,2)</f>
        <v>9552.61</v>
      </c>
      <c r="I1858" s="111">
        <f>TRUNC(E1858*G1858,2)</f>
        <v>12303.26</v>
      </c>
    </row>
    <row r="1859" spans="1:9" s="227" customFormat="1" ht="45">
      <c r="A1859" s="13"/>
      <c r="B1859" s="14" t="s">
        <v>1058</v>
      </c>
      <c r="C1859" s="201" t="s">
        <v>1059</v>
      </c>
      <c r="D1859" s="13" t="s">
        <v>17</v>
      </c>
      <c r="E1859" s="15">
        <v>1</v>
      </c>
      <c r="F1859" s="15">
        <f>G1865</f>
        <v>30.7</v>
      </c>
      <c r="G1859" s="15">
        <f aca="true" t="shared" si="79" ref="G1859:G1864">TRUNC(E1859*F1859,2)</f>
        <v>30.7</v>
      </c>
      <c r="H1859" s="15"/>
      <c r="I1859" s="15"/>
    </row>
    <row r="1860" spans="1:9" s="227" customFormat="1" ht="15">
      <c r="A1860" s="13"/>
      <c r="B1860" s="14" t="s">
        <v>1045</v>
      </c>
      <c r="C1860" s="201" t="s">
        <v>1046</v>
      </c>
      <c r="D1860" s="13" t="s">
        <v>7</v>
      </c>
      <c r="E1860" s="15">
        <v>1</v>
      </c>
      <c r="F1860" s="15">
        <f>TRUNC(0.65,2)</f>
        <v>0.65</v>
      </c>
      <c r="G1860" s="15">
        <f t="shared" si="79"/>
        <v>0.65</v>
      </c>
      <c r="H1860" s="15"/>
      <c r="I1860" s="15"/>
    </row>
    <row r="1861" spans="1:9" s="227" customFormat="1" ht="15">
      <c r="A1861" s="13"/>
      <c r="B1861" s="14" t="s">
        <v>1060</v>
      </c>
      <c r="C1861" s="201" t="s">
        <v>1061</v>
      </c>
      <c r="D1861" s="13" t="s">
        <v>7</v>
      </c>
      <c r="E1861" s="15">
        <v>0.056</v>
      </c>
      <c r="F1861" s="15">
        <f>TRUNC(136.14,2)</f>
        <v>136.14</v>
      </c>
      <c r="G1861" s="15">
        <f t="shared" si="79"/>
        <v>7.62</v>
      </c>
      <c r="H1861" s="15"/>
      <c r="I1861" s="15"/>
    </row>
    <row r="1862" spans="1:9" s="227" customFormat="1" ht="15">
      <c r="A1862" s="13"/>
      <c r="B1862" s="14" t="s">
        <v>1047</v>
      </c>
      <c r="C1862" s="201" t="s">
        <v>1048</v>
      </c>
      <c r="D1862" s="13" t="s">
        <v>1049</v>
      </c>
      <c r="E1862" s="15">
        <v>0.06</v>
      </c>
      <c r="F1862" s="15">
        <f>TRUNC(23.18,2)</f>
        <v>23.18</v>
      </c>
      <c r="G1862" s="15">
        <f t="shared" si="79"/>
        <v>1.39</v>
      </c>
      <c r="H1862" s="15"/>
      <c r="I1862" s="15"/>
    </row>
    <row r="1863" spans="1:9" s="227" customFormat="1" ht="30">
      <c r="A1863" s="13"/>
      <c r="B1863" s="14" t="s">
        <v>45</v>
      </c>
      <c r="C1863" s="201" t="s">
        <v>46</v>
      </c>
      <c r="D1863" s="13" t="s">
        <v>47</v>
      </c>
      <c r="E1863" s="15">
        <v>0.2575</v>
      </c>
      <c r="F1863" s="15">
        <f>TRUNC(15.87,2)</f>
        <v>15.87</v>
      </c>
      <c r="G1863" s="15">
        <f t="shared" si="79"/>
        <v>4.08</v>
      </c>
      <c r="H1863" s="15"/>
      <c r="I1863" s="15"/>
    </row>
    <row r="1864" spans="1:9" s="227" customFormat="1" ht="15">
      <c r="A1864" s="13"/>
      <c r="B1864" s="14" t="s">
        <v>1052</v>
      </c>
      <c r="C1864" s="201" t="s">
        <v>1053</v>
      </c>
      <c r="D1864" s="13" t="s">
        <v>47</v>
      </c>
      <c r="E1864" s="15">
        <v>0.7725</v>
      </c>
      <c r="F1864" s="15">
        <f>TRUNC(21.96,2)</f>
        <v>21.96</v>
      </c>
      <c r="G1864" s="15">
        <f t="shared" si="79"/>
        <v>16.96</v>
      </c>
      <c r="H1864" s="15"/>
      <c r="I1864" s="15"/>
    </row>
    <row r="1865" spans="1:9" s="227" customFormat="1" ht="15">
      <c r="A1865" s="13"/>
      <c r="B1865" s="14"/>
      <c r="C1865" s="201"/>
      <c r="D1865" s="13"/>
      <c r="E1865" s="15" t="s">
        <v>33</v>
      </c>
      <c r="F1865" s="15"/>
      <c r="G1865" s="15">
        <f>TRUNC(SUM(G1860:G1864),2)</f>
        <v>30.7</v>
      </c>
      <c r="H1865" s="15"/>
      <c r="I1865" s="15"/>
    </row>
    <row r="1866" spans="1:9" ht="45">
      <c r="A1866" s="103" t="s">
        <v>124</v>
      </c>
      <c r="B1866" s="110" t="s">
        <v>1062</v>
      </c>
      <c r="C1866" s="210" t="s">
        <v>1063</v>
      </c>
      <c r="D1866" s="103" t="s">
        <v>17</v>
      </c>
      <c r="E1866" s="111">
        <v>8.75</v>
      </c>
      <c r="F1866" s="111">
        <f>TRUNC(F1867,2)</f>
        <v>19.86</v>
      </c>
      <c r="G1866" s="111">
        <f>TRUNC(F1866*1.2882,2)</f>
        <v>25.58</v>
      </c>
      <c r="H1866" s="111">
        <f>TRUNC(F1866*E1866,2)</f>
        <v>173.77</v>
      </c>
      <c r="I1866" s="111">
        <f>TRUNC(E1866*G1866,2)</f>
        <v>223.82</v>
      </c>
    </row>
    <row r="1867" spans="1:9" s="227" customFormat="1" ht="45">
      <c r="A1867" s="13"/>
      <c r="B1867" s="14" t="s">
        <v>1062</v>
      </c>
      <c r="C1867" s="201" t="s">
        <v>1063</v>
      </c>
      <c r="D1867" s="13" t="s">
        <v>17</v>
      </c>
      <c r="E1867" s="15">
        <v>1</v>
      </c>
      <c r="F1867" s="15">
        <f>G1873</f>
        <v>19.86</v>
      </c>
      <c r="G1867" s="15">
        <f aca="true" t="shared" si="80" ref="G1867:G1872">TRUNC(E1867*F1867,2)</f>
        <v>19.86</v>
      </c>
      <c r="H1867" s="15"/>
      <c r="I1867" s="15"/>
    </row>
    <row r="1868" spans="1:9" s="227" customFormat="1" ht="15">
      <c r="A1868" s="13"/>
      <c r="B1868" s="14" t="s">
        <v>1064</v>
      </c>
      <c r="C1868" s="201" t="s">
        <v>1065</v>
      </c>
      <c r="D1868" s="13" t="s">
        <v>1049</v>
      </c>
      <c r="E1868" s="15">
        <v>0.03</v>
      </c>
      <c r="F1868" s="15">
        <f>TRUNC(63.73,2)</f>
        <v>63.73</v>
      </c>
      <c r="G1868" s="15">
        <f t="shared" si="80"/>
        <v>1.91</v>
      </c>
      <c r="H1868" s="15"/>
      <c r="I1868" s="15"/>
    </row>
    <row r="1869" spans="1:9" s="227" customFormat="1" ht="15">
      <c r="A1869" s="13"/>
      <c r="B1869" s="14" t="s">
        <v>1066</v>
      </c>
      <c r="C1869" s="201" t="s">
        <v>1067</v>
      </c>
      <c r="D1869" s="13" t="s">
        <v>7</v>
      </c>
      <c r="E1869" s="15">
        <v>0.5</v>
      </c>
      <c r="F1869" s="15">
        <f>TRUNC(1.43,2)</f>
        <v>1.43</v>
      </c>
      <c r="G1869" s="15">
        <f t="shared" si="80"/>
        <v>0.71</v>
      </c>
      <c r="H1869" s="15"/>
      <c r="I1869" s="15"/>
    </row>
    <row r="1870" spans="1:9" s="227" customFormat="1" ht="15">
      <c r="A1870" s="13"/>
      <c r="B1870" s="14" t="s">
        <v>1068</v>
      </c>
      <c r="C1870" s="201" t="s">
        <v>1069</v>
      </c>
      <c r="D1870" s="13" t="s">
        <v>1049</v>
      </c>
      <c r="E1870" s="15">
        <v>0.05</v>
      </c>
      <c r="F1870" s="15">
        <f>TRUNC(111.14,2)</f>
        <v>111.14</v>
      </c>
      <c r="G1870" s="15">
        <f t="shared" si="80"/>
        <v>5.55</v>
      </c>
      <c r="H1870" s="15"/>
      <c r="I1870" s="15"/>
    </row>
    <row r="1871" spans="1:9" s="227" customFormat="1" ht="30">
      <c r="A1871" s="13"/>
      <c r="B1871" s="14" t="s">
        <v>45</v>
      </c>
      <c r="C1871" s="201" t="s">
        <v>46</v>
      </c>
      <c r="D1871" s="13" t="s">
        <v>47</v>
      </c>
      <c r="E1871" s="15">
        <v>0.1957</v>
      </c>
      <c r="F1871" s="15">
        <f>TRUNC(15.87,2)</f>
        <v>15.87</v>
      </c>
      <c r="G1871" s="15">
        <f t="shared" si="80"/>
        <v>3.1</v>
      </c>
      <c r="H1871" s="15"/>
      <c r="I1871" s="15"/>
    </row>
    <row r="1872" spans="1:9" s="227" customFormat="1" ht="15">
      <c r="A1872" s="13"/>
      <c r="B1872" s="14" t="s">
        <v>1052</v>
      </c>
      <c r="C1872" s="201" t="s">
        <v>1053</v>
      </c>
      <c r="D1872" s="13" t="s">
        <v>47</v>
      </c>
      <c r="E1872" s="15">
        <v>0.3914</v>
      </c>
      <c r="F1872" s="15">
        <f>TRUNC(21.96,2)</f>
        <v>21.96</v>
      </c>
      <c r="G1872" s="15">
        <f t="shared" si="80"/>
        <v>8.59</v>
      </c>
      <c r="H1872" s="15"/>
      <c r="I1872" s="15"/>
    </row>
    <row r="1873" spans="1:9" s="227" customFormat="1" ht="15">
      <c r="A1873" s="13"/>
      <c r="B1873" s="14"/>
      <c r="C1873" s="201"/>
      <c r="D1873" s="13"/>
      <c r="E1873" s="15" t="s">
        <v>33</v>
      </c>
      <c r="F1873" s="15"/>
      <c r="G1873" s="15">
        <f>TRUNC(SUM(G1868:G1872),2)</f>
        <v>19.86</v>
      </c>
      <c r="H1873" s="15"/>
      <c r="I1873" s="15"/>
    </row>
    <row r="1874" spans="1:9" ht="45">
      <c r="A1874" s="103" t="s">
        <v>125</v>
      </c>
      <c r="B1874" s="110" t="s">
        <v>1072</v>
      </c>
      <c r="C1874" s="210" t="s">
        <v>1073</v>
      </c>
      <c r="D1874" s="103" t="s">
        <v>17</v>
      </c>
      <c r="E1874" s="111">
        <f>13*0.8*2.1*3+0.7*2.1*3+0.9*2.1*3</f>
        <v>75.60000000000001</v>
      </c>
      <c r="F1874" s="111">
        <f>TRUNC(F1875,2)</f>
        <v>45.5</v>
      </c>
      <c r="G1874" s="111">
        <f>TRUNC(F1874*1.2882,2)</f>
        <v>58.61</v>
      </c>
      <c r="H1874" s="111">
        <f>TRUNC(F1874*E1874,2)</f>
        <v>3439.8</v>
      </c>
      <c r="I1874" s="111">
        <f>TRUNC(E1874*G1874,2)</f>
        <v>4430.91</v>
      </c>
    </row>
    <row r="1875" spans="1:9" ht="45">
      <c r="A1875" s="8"/>
      <c r="B1875" s="12" t="s">
        <v>1072</v>
      </c>
      <c r="C1875" s="200" t="s">
        <v>1073</v>
      </c>
      <c r="D1875" s="8" t="s">
        <v>17</v>
      </c>
      <c r="E1875" s="11">
        <v>1</v>
      </c>
      <c r="F1875" s="7">
        <f>TRUNC(45.50068,2)</f>
        <v>45.5</v>
      </c>
      <c r="G1875" s="7">
        <f aca="true" t="shared" si="81" ref="G1875:G1881">TRUNC(E1875*F1875,2)</f>
        <v>45.5</v>
      </c>
      <c r="H1875" s="7"/>
      <c r="I1875" s="11"/>
    </row>
    <row r="1876" spans="1:9" ht="15">
      <c r="A1876" s="8"/>
      <c r="B1876" s="12" t="s">
        <v>1074</v>
      </c>
      <c r="C1876" s="200" t="s">
        <v>1075</v>
      </c>
      <c r="D1876" s="8" t="s">
        <v>1049</v>
      </c>
      <c r="E1876" s="11">
        <v>0.04</v>
      </c>
      <c r="F1876" s="7">
        <f>TRUNC(98.52,2)</f>
        <v>98.52</v>
      </c>
      <c r="G1876" s="7">
        <f t="shared" si="81"/>
        <v>3.94</v>
      </c>
      <c r="H1876" s="7"/>
      <c r="I1876" s="11"/>
    </row>
    <row r="1877" spans="1:9" ht="15">
      <c r="A1877" s="8"/>
      <c r="B1877" s="12" t="s">
        <v>1076</v>
      </c>
      <c r="C1877" s="200" t="s">
        <v>1077</v>
      </c>
      <c r="D1877" s="8" t="s">
        <v>1049</v>
      </c>
      <c r="E1877" s="11">
        <v>0.23</v>
      </c>
      <c r="F1877" s="7">
        <f>TRUNC(59.78,2)</f>
        <v>59.78</v>
      </c>
      <c r="G1877" s="7">
        <f t="shared" si="81"/>
        <v>13.74</v>
      </c>
      <c r="H1877" s="7"/>
      <c r="I1877" s="11"/>
    </row>
    <row r="1878" spans="1:9" ht="15">
      <c r="A1878" s="8"/>
      <c r="B1878" s="12" t="s">
        <v>1078</v>
      </c>
      <c r="C1878" s="200" t="s">
        <v>1079</v>
      </c>
      <c r="D1878" s="8" t="s">
        <v>7</v>
      </c>
      <c r="E1878" s="11">
        <v>1</v>
      </c>
      <c r="F1878" s="7">
        <f>TRUNC(0.63,2)</f>
        <v>0.63</v>
      </c>
      <c r="G1878" s="7">
        <f t="shared" si="81"/>
        <v>0.63</v>
      </c>
      <c r="H1878" s="7"/>
      <c r="I1878" s="11"/>
    </row>
    <row r="1879" spans="1:9" ht="15">
      <c r="A1879" s="8"/>
      <c r="B1879" s="12" t="s">
        <v>1080</v>
      </c>
      <c r="C1879" s="200" t="s">
        <v>1081</v>
      </c>
      <c r="D1879" s="8" t="s">
        <v>1049</v>
      </c>
      <c r="E1879" s="11">
        <v>0.03</v>
      </c>
      <c r="F1879" s="7">
        <f>TRUNC(84.9,2)</f>
        <v>84.9</v>
      </c>
      <c r="G1879" s="7">
        <f t="shared" si="81"/>
        <v>2.54</v>
      </c>
      <c r="H1879" s="7"/>
      <c r="I1879" s="11"/>
    </row>
    <row r="1880" spans="1:9" ht="30">
      <c r="A1880" s="8"/>
      <c r="B1880" s="12" t="s">
        <v>45</v>
      </c>
      <c r="C1880" s="200" t="s">
        <v>46</v>
      </c>
      <c r="D1880" s="8" t="s">
        <v>47</v>
      </c>
      <c r="E1880" s="11">
        <v>0.41200000000000003</v>
      </c>
      <c r="F1880" s="7">
        <f>TRUNC(15.87,2)</f>
        <v>15.87</v>
      </c>
      <c r="G1880" s="7">
        <f t="shared" si="81"/>
        <v>6.53</v>
      </c>
      <c r="H1880" s="7"/>
      <c r="I1880" s="11"/>
    </row>
    <row r="1881" spans="1:9" ht="15">
      <c r="A1881" s="8"/>
      <c r="B1881" s="12" t="s">
        <v>1052</v>
      </c>
      <c r="C1881" s="200" t="s">
        <v>1053</v>
      </c>
      <c r="D1881" s="8" t="s">
        <v>47</v>
      </c>
      <c r="E1881" s="11">
        <v>0.8240000000000001</v>
      </c>
      <c r="F1881" s="7">
        <f>TRUNC(21.96,2)</f>
        <v>21.96</v>
      </c>
      <c r="G1881" s="7">
        <f t="shared" si="81"/>
        <v>18.09</v>
      </c>
      <c r="H1881" s="7"/>
      <c r="I1881" s="11"/>
    </row>
    <row r="1882" spans="1:9" ht="15">
      <c r="A1882" s="8"/>
      <c r="B1882" s="12"/>
      <c r="C1882" s="200"/>
      <c r="D1882" s="8"/>
      <c r="E1882" s="11" t="s">
        <v>33</v>
      </c>
      <c r="F1882" s="7"/>
      <c r="G1882" s="7">
        <f>TRUNC(SUM(G1876:G1881),2)</f>
        <v>45.47</v>
      </c>
      <c r="H1882" s="7"/>
      <c r="I1882" s="11"/>
    </row>
    <row r="1883" spans="1:9" ht="45">
      <c r="A1883" s="103" t="s">
        <v>126</v>
      </c>
      <c r="B1883" s="110" t="s">
        <v>1070</v>
      </c>
      <c r="C1883" s="210" t="s">
        <v>1071</v>
      </c>
      <c r="D1883" s="103" t="s">
        <v>17</v>
      </c>
      <c r="E1883" s="111">
        <f>13*0.8*2.1*3+0.7*2.1*3+0.9*2.1*3</f>
        <v>75.60000000000001</v>
      </c>
      <c r="F1883" s="111">
        <f>TRUNC(F1884,2)</f>
        <v>9.47</v>
      </c>
      <c r="G1883" s="111">
        <f>TRUNC(F1883*1.2882,2)</f>
        <v>12.19</v>
      </c>
      <c r="H1883" s="111">
        <f>TRUNC(F1883*E1883,2)</f>
        <v>715.93</v>
      </c>
      <c r="I1883" s="111">
        <f>TRUNC(E1883*G1883,2)</f>
        <v>921.56</v>
      </c>
    </row>
    <row r="1884" spans="1:9" ht="45">
      <c r="A1884" s="8"/>
      <c r="B1884" s="12" t="s">
        <v>1070</v>
      </c>
      <c r="C1884" s="200" t="s">
        <v>1071</v>
      </c>
      <c r="D1884" s="8" t="s">
        <v>17</v>
      </c>
      <c r="E1884" s="11">
        <v>1</v>
      </c>
      <c r="F1884" s="7">
        <f>TRUNC(9.47821,2)</f>
        <v>9.47</v>
      </c>
      <c r="G1884" s="7">
        <f>TRUNC(E1884*F1884,2)</f>
        <v>9.47</v>
      </c>
      <c r="H1884" s="7"/>
      <c r="I1884" s="11"/>
    </row>
    <row r="1885" spans="1:9" ht="15">
      <c r="A1885" s="8"/>
      <c r="B1885" s="12" t="s">
        <v>1068</v>
      </c>
      <c r="C1885" s="200" t="s">
        <v>1069</v>
      </c>
      <c r="D1885" s="8" t="s">
        <v>1049</v>
      </c>
      <c r="E1885" s="11">
        <v>0.05</v>
      </c>
      <c r="F1885" s="7">
        <f>TRUNC(111.14,2)</f>
        <v>111.14</v>
      </c>
      <c r="G1885" s="7">
        <f>TRUNC(E1885*F1885,2)</f>
        <v>5.55</v>
      </c>
      <c r="H1885" s="7"/>
      <c r="I1885" s="11"/>
    </row>
    <row r="1886" spans="1:9" ht="30">
      <c r="A1886" s="8"/>
      <c r="B1886" s="12" t="s">
        <v>45</v>
      </c>
      <c r="C1886" s="200" t="s">
        <v>46</v>
      </c>
      <c r="D1886" s="8" t="s">
        <v>47</v>
      </c>
      <c r="E1886" s="11">
        <v>0.0618</v>
      </c>
      <c r="F1886" s="7">
        <f>TRUNC(15.87,2)</f>
        <v>15.87</v>
      </c>
      <c r="G1886" s="7">
        <f>TRUNC(E1886*F1886,2)</f>
        <v>0.98</v>
      </c>
      <c r="H1886" s="7"/>
      <c r="I1886" s="11"/>
    </row>
    <row r="1887" spans="1:9" ht="15">
      <c r="A1887" s="8"/>
      <c r="B1887" s="12" t="s">
        <v>1052</v>
      </c>
      <c r="C1887" s="200" t="s">
        <v>1053</v>
      </c>
      <c r="D1887" s="8" t="s">
        <v>47</v>
      </c>
      <c r="E1887" s="11">
        <v>0.13390000000000002</v>
      </c>
      <c r="F1887" s="7">
        <f>TRUNC(21.96,2)</f>
        <v>21.96</v>
      </c>
      <c r="G1887" s="7">
        <f>TRUNC(E1887*F1887,2)</f>
        <v>2.94</v>
      </c>
      <c r="H1887" s="7"/>
      <c r="I1887" s="11"/>
    </row>
    <row r="1888" spans="1:9" ht="15">
      <c r="A1888" s="8"/>
      <c r="B1888" s="12"/>
      <c r="C1888" s="200"/>
      <c r="D1888" s="8"/>
      <c r="E1888" s="11" t="s">
        <v>33</v>
      </c>
      <c r="F1888" s="7"/>
      <c r="G1888" s="7">
        <f>TRUNC(SUM(G1885:G1887),2)</f>
        <v>9.47</v>
      </c>
      <c r="H1888" s="7"/>
      <c r="I1888" s="11"/>
    </row>
    <row r="1889" spans="1:9" ht="45">
      <c r="A1889" s="103" t="s">
        <v>265</v>
      </c>
      <c r="B1889" s="110" t="s">
        <v>1082</v>
      </c>
      <c r="C1889" s="210" t="s">
        <v>1083</v>
      </c>
      <c r="D1889" s="103" t="s">
        <v>17</v>
      </c>
      <c r="E1889" s="111">
        <v>62</v>
      </c>
      <c r="F1889" s="111">
        <f>TRUNC(F1890,2)</f>
        <v>118.39</v>
      </c>
      <c r="G1889" s="111">
        <f>TRUNC(F1889*1.2882,2)</f>
        <v>152.5</v>
      </c>
      <c r="H1889" s="111">
        <f>TRUNC(F1889*E1889,2)</f>
        <v>7340.18</v>
      </c>
      <c r="I1889" s="111">
        <f>TRUNC(E1889*G1889,2)</f>
        <v>9455</v>
      </c>
    </row>
    <row r="1890" spans="1:9" ht="45">
      <c r="A1890" s="8"/>
      <c r="B1890" s="12" t="s">
        <v>1082</v>
      </c>
      <c r="C1890" s="200" t="s">
        <v>1083</v>
      </c>
      <c r="D1890" s="8" t="s">
        <v>17</v>
      </c>
      <c r="E1890" s="11">
        <v>1</v>
      </c>
      <c r="F1890" s="7">
        <f>G1895</f>
        <v>118.39</v>
      </c>
      <c r="G1890" s="7">
        <f>TRUNC(E1890*F1890,2)</f>
        <v>118.39</v>
      </c>
      <c r="H1890" s="7"/>
      <c r="I1890" s="11"/>
    </row>
    <row r="1891" spans="1:9" ht="15">
      <c r="A1891" s="8"/>
      <c r="B1891" s="12" t="s">
        <v>1084</v>
      </c>
      <c r="C1891" s="200" t="s">
        <v>1085</v>
      </c>
      <c r="D1891" s="8" t="s">
        <v>44</v>
      </c>
      <c r="E1891" s="11">
        <v>0.27</v>
      </c>
      <c r="F1891" s="7">
        <f>TRUNC(398.6131,2)</f>
        <v>398.61</v>
      </c>
      <c r="G1891" s="7">
        <f>TRUNC(E1891*F1891,2)</f>
        <v>107.62</v>
      </c>
      <c r="H1891" s="7"/>
      <c r="I1891" s="11"/>
    </row>
    <row r="1892" spans="1:9" ht="15">
      <c r="A1892" s="8"/>
      <c r="B1892" s="12" t="s">
        <v>1078</v>
      </c>
      <c r="C1892" s="200" t="s">
        <v>1079</v>
      </c>
      <c r="D1892" s="8" t="s">
        <v>7</v>
      </c>
      <c r="E1892" s="11">
        <v>0.5</v>
      </c>
      <c r="F1892" s="7">
        <f>TRUNC(0.63,2)</f>
        <v>0.63</v>
      </c>
      <c r="G1892" s="7">
        <f>TRUNC(E1892*F1892,2)</f>
        <v>0.31</v>
      </c>
      <c r="H1892" s="7"/>
      <c r="I1892" s="11"/>
    </row>
    <row r="1893" spans="1:9" ht="30">
      <c r="A1893" s="8"/>
      <c r="B1893" s="12" t="s">
        <v>45</v>
      </c>
      <c r="C1893" s="200" t="s">
        <v>46</v>
      </c>
      <c r="D1893" s="8" t="s">
        <v>47</v>
      </c>
      <c r="E1893" s="11">
        <v>0.1751</v>
      </c>
      <c r="F1893" s="7">
        <f>TRUNC(15.87,2)</f>
        <v>15.87</v>
      </c>
      <c r="G1893" s="7">
        <f>TRUNC(E1893*F1893,2)</f>
        <v>2.77</v>
      </c>
      <c r="H1893" s="7"/>
      <c r="I1893" s="11"/>
    </row>
    <row r="1894" spans="1:9" ht="15">
      <c r="A1894" s="8"/>
      <c r="B1894" s="12" t="s">
        <v>1052</v>
      </c>
      <c r="C1894" s="200" t="s">
        <v>1053</v>
      </c>
      <c r="D1894" s="8" t="s">
        <v>47</v>
      </c>
      <c r="E1894" s="11">
        <v>0.3502</v>
      </c>
      <c r="F1894" s="7">
        <f>TRUNC(21.96,2)</f>
        <v>21.96</v>
      </c>
      <c r="G1894" s="7">
        <f>TRUNC(E1894*F1894,2)</f>
        <v>7.69</v>
      </c>
      <c r="H1894" s="7"/>
      <c r="I1894" s="11"/>
    </row>
    <row r="1895" spans="1:9" ht="15">
      <c r="A1895" s="8"/>
      <c r="B1895" s="12"/>
      <c r="C1895" s="200"/>
      <c r="D1895" s="8"/>
      <c r="E1895" s="11" t="s">
        <v>33</v>
      </c>
      <c r="F1895" s="7"/>
      <c r="G1895" s="7">
        <f>TRUNC(SUM(G1891:G1894),2)</f>
        <v>118.39</v>
      </c>
      <c r="H1895" s="7"/>
      <c r="I1895" s="11"/>
    </row>
    <row r="1896" spans="1:9" s="203" customFormat="1" ht="15.75">
      <c r="A1896" s="45" t="s">
        <v>18</v>
      </c>
      <c r="B1896" s="27"/>
      <c r="C1896" s="202"/>
      <c r="D1896" s="45"/>
      <c r="E1896" s="28"/>
      <c r="F1896" s="29"/>
      <c r="G1896" s="480" t="s">
        <v>128</v>
      </c>
      <c r="H1896" s="481"/>
      <c r="I1896" s="29">
        <f>I1842+I1850+I1858+I1866+I1874+I1883+I1889</f>
        <v>97877.67</v>
      </c>
    </row>
    <row r="1897" spans="1:9" ht="14.25" customHeight="1">
      <c r="A1897" s="4" t="s">
        <v>129</v>
      </c>
      <c r="B1897" s="5"/>
      <c r="C1897" s="485" t="s">
        <v>130</v>
      </c>
      <c r="D1897" s="485"/>
      <c r="E1897" s="485"/>
      <c r="F1897" s="485"/>
      <c r="G1897" s="485"/>
      <c r="H1897" s="485"/>
      <c r="I1897" s="485"/>
    </row>
    <row r="1898" spans="1:9" ht="75">
      <c r="A1898" s="103" t="s">
        <v>1478</v>
      </c>
      <c r="B1898" s="110" t="s">
        <v>339</v>
      </c>
      <c r="C1898" s="210" t="s">
        <v>340</v>
      </c>
      <c r="D1898" s="103" t="s">
        <v>23</v>
      </c>
      <c r="E1898" s="111">
        <v>19.5</v>
      </c>
      <c r="F1898" s="111">
        <f>TRUNC(F1899,2)</f>
        <v>257.79</v>
      </c>
      <c r="G1898" s="111">
        <f>TRUNC(F1898*1.2882,2)</f>
        <v>332.08</v>
      </c>
      <c r="H1898" s="111">
        <f>TRUNC(F1898*E1898,2)</f>
        <v>5026.9</v>
      </c>
      <c r="I1898" s="111">
        <f>TRUNC(E1898*G1898,2)</f>
        <v>6475.56</v>
      </c>
    </row>
    <row r="1899" spans="1:9" ht="75">
      <c r="A1899" s="8"/>
      <c r="B1899" s="12" t="s">
        <v>339</v>
      </c>
      <c r="C1899" s="200" t="s">
        <v>340</v>
      </c>
      <c r="D1899" s="8" t="s">
        <v>23</v>
      </c>
      <c r="E1899" s="11">
        <v>1</v>
      </c>
      <c r="F1899" s="7">
        <f>G1913</f>
        <v>257.79</v>
      </c>
      <c r="G1899" s="7">
        <f aca="true" t="shared" si="82" ref="G1899:G1912">TRUNC(E1899*F1899,2)</f>
        <v>257.79</v>
      </c>
      <c r="H1899" s="7"/>
      <c r="I1899" s="11"/>
    </row>
    <row r="1900" spans="1:9" ht="30">
      <c r="A1900" s="8"/>
      <c r="B1900" s="12" t="s">
        <v>341</v>
      </c>
      <c r="C1900" s="200" t="s">
        <v>342</v>
      </c>
      <c r="D1900" s="8" t="s">
        <v>7</v>
      </c>
      <c r="E1900" s="11">
        <v>0.4137931</v>
      </c>
      <c r="F1900" s="7">
        <f>TRUNC(49.41,2)</f>
        <v>49.41</v>
      </c>
      <c r="G1900" s="7">
        <f t="shared" si="82"/>
        <v>20.44</v>
      </c>
      <c r="H1900" s="7"/>
      <c r="I1900" s="11"/>
    </row>
    <row r="1901" spans="1:9" ht="15">
      <c r="A1901" s="8"/>
      <c r="B1901" s="12" t="s">
        <v>343</v>
      </c>
      <c r="C1901" s="200" t="s">
        <v>344</v>
      </c>
      <c r="D1901" s="8" t="s">
        <v>44</v>
      </c>
      <c r="E1901" s="11">
        <v>0.0566002</v>
      </c>
      <c r="F1901" s="7">
        <f>TRUNC(14.3329,2)</f>
        <v>14.33</v>
      </c>
      <c r="G1901" s="7">
        <f t="shared" si="82"/>
        <v>0.81</v>
      </c>
      <c r="H1901" s="7"/>
      <c r="I1901" s="11"/>
    </row>
    <row r="1902" spans="1:9" ht="15">
      <c r="A1902" s="8"/>
      <c r="B1902" s="12" t="s">
        <v>345</v>
      </c>
      <c r="C1902" s="200" t="s">
        <v>346</v>
      </c>
      <c r="D1902" s="8" t="s">
        <v>17</v>
      </c>
      <c r="E1902" s="11">
        <v>2</v>
      </c>
      <c r="F1902" s="7">
        <f>TRUNC(50,2)</f>
        <v>50</v>
      </c>
      <c r="G1902" s="7">
        <f t="shared" si="82"/>
        <v>100</v>
      </c>
      <c r="H1902" s="7"/>
      <c r="I1902" s="11"/>
    </row>
    <row r="1903" spans="1:9" ht="15">
      <c r="A1903" s="8"/>
      <c r="B1903" s="12" t="s">
        <v>347</v>
      </c>
      <c r="C1903" s="200" t="s">
        <v>348</v>
      </c>
      <c r="D1903" s="8" t="s">
        <v>44</v>
      </c>
      <c r="E1903" s="11">
        <v>0.0184827</v>
      </c>
      <c r="F1903" s="7">
        <f>TRUNC(12.3723,2)</f>
        <v>12.37</v>
      </c>
      <c r="G1903" s="7">
        <f t="shared" si="82"/>
        <v>0.22</v>
      </c>
      <c r="H1903" s="7"/>
      <c r="I1903" s="11"/>
    </row>
    <row r="1904" spans="1:9" ht="15">
      <c r="A1904" s="8"/>
      <c r="B1904" s="12" t="s">
        <v>349</v>
      </c>
      <c r="C1904" s="200" t="s">
        <v>350</v>
      </c>
      <c r="D1904" s="8" t="s">
        <v>44</v>
      </c>
      <c r="E1904" s="11">
        <v>0.2317428</v>
      </c>
      <c r="F1904" s="7">
        <f>TRUNC(16.17,2)</f>
        <v>16.17</v>
      </c>
      <c r="G1904" s="7">
        <f t="shared" si="82"/>
        <v>3.74</v>
      </c>
      <c r="H1904" s="7"/>
      <c r="I1904" s="11"/>
    </row>
    <row r="1905" spans="1:9" ht="30">
      <c r="A1905" s="8"/>
      <c r="B1905" s="12" t="s">
        <v>45</v>
      </c>
      <c r="C1905" s="200" t="s">
        <v>46</v>
      </c>
      <c r="D1905" s="8" t="s">
        <v>47</v>
      </c>
      <c r="E1905" s="11">
        <v>1.0969499999999999</v>
      </c>
      <c r="F1905" s="7">
        <f>TRUNC(15.87,2)</f>
        <v>15.87</v>
      </c>
      <c r="G1905" s="7">
        <f t="shared" si="82"/>
        <v>17.4</v>
      </c>
      <c r="H1905" s="7"/>
      <c r="I1905" s="11"/>
    </row>
    <row r="1906" spans="1:9" ht="30">
      <c r="A1906" s="8"/>
      <c r="B1906" s="12" t="s">
        <v>69</v>
      </c>
      <c r="C1906" s="200" t="s">
        <v>70</v>
      </c>
      <c r="D1906" s="8" t="s">
        <v>47</v>
      </c>
      <c r="E1906" s="11">
        <v>0.515</v>
      </c>
      <c r="F1906" s="7">
        <f>TRUNC(21.96,2)</f>
        <v>21.96</v>
      </c>
      <c r="G1906" s="7">
        <f t="shared" si="82"/>
        <v>11.3</v>
      </c>
      <c r="H1906" s="7"/>
      <c r="I1906" s="11"/>
    </row>
    <row r="1907" spans="1:9" ht="15">
      <c r="A1907" s="8"/>
      <c r="B1907" s="12" t="s">
        <v>351</v>
      </c>
      <c r="C1907" s="200" t="s">
        <v>352</v>
      </c>
      <c r="D1907" s="8" t="s">
        <v>48</v>
      </c>
      <c r="E1907" s="11">
        <v>3.2</v>
      </c>
      <c r="F1907" s="7">
        <f>TRUNC(2.7912,2)</f>
        <v>2.79</v>
      </c>
      <c r="G1907" s="7">
        <f t="shared" si="82"/>
        <v>8.92</v>
      </c>
      <c r="H1907" s="7"/>
      <c r="I1907" s="11"/>
    </row>
    <row r="1908" spans="1:9" ht="15">
      <c r="A1908" s="8"/>
      <c r="B1908" s="12" t="s">
        <v>353</v>
      </c>
      <c r="C1908" s="200" t="s">
        <v>354</v>
      </c>
      <c r="D1908" s="8" t="s">
        <v>44</v>
      </c>
      <c r="E1908" s="11">
        <v>1.4380137</v>
      </c>
      <c r="F1908" s="7">
        <f>TRUNC(4.0912,2)</f>
        <v>4.09</v>
      </c>
      <c r="G1908" s="7">
        <f t="shared" si="82"/>
        <v>5.88</v>
      </c>
      <c r="H1908" s="7"/>
      <c r="I1908" s="11"/>
    </row>
    <row r="1909" spans="1:9" ht="15">
      <c r="A1909" s="8"/>
      <c r="B1909" s="12" t="s">
        <v>355</v>
      </c>
      <c r="C1909" s="200" t="s">
        <v>356</v>
      </c>
      <c r="D1909" s="8" t="s">
        <v>44</v>
      </c>
      <c r="E1909" s="11">
        <v>3.2</v>
      </c>
      <c r="F1909" s="7">
        <f>TRUNC(7.8625,2)</f>
        <v>7.86</v>
      </c>
      <c r="G1909" s="7">
        <f t="shared" si="82"/>
        <v>25.15</v>
      </c>
      <c r="H1909" s="7"/>
      <c r="I1909" s="11"/>
    </row>
    <row r="1910" spans="1:9" ht="15">
      <c r="A1910" s="8"/>
      <c r="B1910" s="12" t="s">
        <v>357</v>
      </c>
      <c r="C1910" s="200" t="s">
        <v>358</v>
      </c>
      <c r="D1910" s="8" t="s">
        <v>48</v>
      </c>
      <c r="E1910" s="11">
        <v>0.099862</v>
      </c>
      <c r="F1910" s="7">
        <f>TRUNC(491.1471,2)</f>
        <v>491.14</v>
      </c>
      <c r="G1910" s="7">
        <f t="shared" si="82"/>
        <v>49.04</v>
      </c>
      <c r="H1910" s="7"/>
      <c r="I1910" s="11"/>
    </row>
    <row r="1911" spans="1:9" ht="15">
      <c r="A1911" s="8"/>
      <c r="B1911" s="12" t="s">
        <v>359</v>
      </c>
      <c r="C1911" s="200" t="s">
        <v>360</v>
      </c>
      <c r="D1911" s="8" t="s">
        <v>48</v>
      </c>
      <c r="E1911" s="11">
        <v>0.0223448</v>
      </c>
      <c r="F1911" s="7">
        <f>TRUNC(594.5483,2)</f>
        <v>594.54</v>
      </c>
      <c r="G1911" s="7">
        <f t="shared" si="82"/>
        <v>13.28</v>
      </c>
      <c r="H1911" s="7"/>
      <c r="I1911" s="11"/>
    </row>
    <row r="1912" spans="1:9" ht="15">
      <c r="A1912" s="8"/>
      <c r="B1912" s="12" t="s">
        <v>256</v>
      </c>
      <c r="C1912" s="200" t="s">
        <v>257</v>
      </c>
      <c r="D1912" s="8" t="s">
        <v>48</v>
      </c>
      <c r="E1912" s="11">
        <v>0.0223448</v>
      </c>
      <c r="F1912" s="7">
        <f>TRUNC(72.3813,2)</f>
        <v>72.38</v>
      </c>
      <c r="G1912" s="7">
        <f t="shared" si="82"/>
        <v>1.61</v>
      </c>
      <c r="H1912" s="7"/>
      <c r="I1912" s="11"/>
    </row>
    <row r="1913" spans="1:9" ht="15">
      <c r="A1913" s="8"/>
      <c r="B1913" s="12"/>
      <c r="C1913" s="200"/>
      <c r="D1913" s="8"/>
      <c r="E1913" s="11" t="s">
        <v>33</v>
      </c>
      <c r="F1913" s="7"/>
      <c r="G1913" s="7">
        <f>TRUNC(SUM(G1900:G1912),2)</f>
        <v>257.79</v>
      </c>
      <c r="H1913" s="7"/>
      <c r="I1913" s="11"/>
    </row>
    <row r="1914" spans="1:9" s="203" customFormat="1" ht="15.75">
      <c r="A1914" s="263" t="s">
        <v>18</v>
      </c>
      <c r="B1914" s="264"/>
      <c r="C1914" s="265"/>
      <c r="D1914" s="263"/>
      <c r="E1914" s="266"/>
      <c r="F1914" s="267"/>
      <c r="G1914" s="482" t="s">
        <v>131</v>
      </c>
      <c r="H1914" s="483"/>
      <c r="I1914" s="267"/>
    </row>
    <row r="1915" spans="1:9" ht="14.25" customHeight="1">
      <c r="A1915" s="99" t="s">
        <v>132</v>
      </c>
      <c r="B1915" s="100"/>
      <c r="C1915" s="484" t="s">
        <v>133</v>
      </c>
      <c r="D1915" s="484"/>
      <c r="E1915" s="484"/>
      <c r="F1915" s="484"/>
      <c r="G1915" s="484"/>
      <c r="H1915" s="484"/>
      <c r="I1915" s="484"/>
    </row>
    <row r="1916" spans="1:9" ht="75">
      <c r="A1916" s="103" t="s">
        <v>134</v>
      </c>
      <c r="B1916" s="110" t="s">
        <v>145</v>
      </c>
      <c r="C1916" s="210" t="s">
        <v>258</v>
      </c>
      <c r="D1916" s="103" t="s">
        <v>136</v>
      </c>
      <c r="E1916" s="111">
        <f>105.57*1.3*1.8</f>
        <v>247.03379999999999</v>
      </c>
      <c r="F1916" s="111">
        <f>TRUNC(F1917,2)</f>
        <v>14.25</v>
      </c>
      <c r="G1916" s="111">
        <f>TRUNC(F1916*1.2882,2)</f>
        <v>18.35</v>
      </c>
      <c r="H1916" s="111">
        <f>TRUNC(F1916*E1916,2)</f>
        <v>3520.23</v>
      </c>
      <c r="I1916" s="111">
        <f>TRUNC(E1916*G1916,2)</f>
        <v>4533.07</v>
      </c>
    </row>
    <row r="1917" spans="1:9" ht="75">
      <c r="A1917" s="8"/>
      <c r="B1917" s="12" t="s">
        <v>145</v>
      </c>
      <c r="C1917" s="200" t="s">
        <v>146</v>
      </c>
      <c r="D1917" s="8" t="s">
        <v>136</v>
      </c>
      <c r="E1917" s="11">
        <v>1</v>
      </c>
      <c r="F1917" s="7">
        <f>G1922</f>
        <v>14.25</v>
      </c>
      <c r="G1917" s="7">
        <f>TRUNC(E1917*F1917,2)</f>
        <v>14.25</v>
      </c>
      <c r="H1917" s="7"/>
      <c r="I1917" s="11"/>
    </row>
    <row r="1918" spans="1:9" ht="15">
      <c r="A1918" s="8"/>
      <c r="B1918" s="12" t="s">
        <v>141</v>
      </c>
      <c r="C1918" s="200" t="s">
        <v>142</v>
      </c>
      <c r="D1918" s="8" t="s">
        <v>47</v>
      </c>
      <c r="E1918" s="11">
        <v>0.07</v>
      </c>
      <c r="F1918" s="7">
        <v>88.7027</v>
      </c>
      <c r="G1918" s="7">
        <f>TRUNC(E1918*F1918,2)</f>
        <v>6.2</v>
      </c>
      <c r="H1918" s="7"/>
      <c r="I1918" s="11"/>
    </row>
    <row r="1919" spans="1:9" ht="15">
      <c r="A1919" s="8"/>
      <c r="B1919" s="12" t="s">
        <v>143</v>
      </c>
      <c r="C1919" s="200" t="s">
        <v>144</v>
      </c>
      <c r="D1919" s="8" t="s">
        <v>47</v>
      </c>
      <c r="E1919" s="11">
        <v>0.02</v>
      </c>
      <c r="F1919" s="7">
        <v>272.0659</v>
      </c>
      <c r="G1919" s="7">
        <f>TRUNC(E1919*F1919,2)</f>
        <v>5.44</v>
      </c>
      <c r="H1919" s="7"/>
      <c r="I1919" s="11"/>
    </row>
    <row r="1920" spans="1:9" ht="15">
      <c r="A1920" s="8"/>
      <c r="B1920" s="12" t="s">
        <v>137</v>
      </c>
      <c r="C1920" s="200" t="s">
        <v>138</v>
      </c>
      <c r="D1920" s="8" t="s">
        <v>47</v>
      </c>
      <c r="E1920" s="11">
        <v>0.02</v>
      </c>
      <c r="F1920" s="7">
        <v>58.7562</v>
      </c>
      <c r="G1920" s="7">
        <f>TRUNC(E1920*F1920,2)</f>
        <v>1.17</v>
      </c>
      <c r="H1920" s="7"/>
      <c r="I1920" s="11"/>
    </row>
    <row r="1921" spans="1:9" ht="15">
      <c r="A1921" s="8"/>
      <c r="B1921" s="12" t="s">
        <v>139</v>
      </c>
      <c r="C1921" s="200" t="s">
        <v>140</v>
      </c>
      <c r="D1921" s="8" t="s">
        <v>47</v>
      </c>
      <c r="E1921" s="11">
        <v>0.007</v>
      </c>
      <c r="F1921" s="7">
        <v>206.2992</v>
      </c>
      <c r="G1921" s="7">
        <f>TRUNC(E1921*F1921,2)</f>
        <v>1.44</v>
      </c>
      <c r="H1921" s="7"/>
      <c r="I1921" s="11"/>
    </row>
    <row r="1922" spans="1:9" ht="15">
      <c r="A1922" s="8"/>
      <c r="B1922" s="12"/>
      <c r="C1922" s="200"/>
      <c r="D1922" s="8"/>
      <c r="E1922" s="11" t="s">
        <v>33</v>
      </c>
      <c r="F1922" s="7"/>
      <c r="G1922" s="7">
        <f>TRUNC(SUM(G1918:G1921),2)</f>
        <v>14.25</v>
      </c>
      <c r="H1922" s="7"/>
      <c r="I1922" s="11"/>
    </row>
    <row r="1923" spans="1:9" ht="60.75">
      <c r="A1923" s="103" t="s">
        <v>135</v>
      </c>
      <c r="B1923" s="110" t="s">
        <v>147</v>
      </c>
      <c r="C1923" s="210" t="s">
        <v>974</v>
      </c>
      <c r="D1923" s="103" t="s">
        <v>149</v>
      </c>
      <c r="E1923" s="111">
        <f>E1916*11.7</f>
        <v>2890.29546</v>
      </c>
      <c r="F1923" s="111">
        <f>TRUNC(F1924,2)</f>
        <v>1.71</v>
      </c>
      <c r="G1923" s="111">
        <f>TRUNC(F1923*1.2882,2)</f>
        <v>2.2</v>
      </c>
      <c r="H1923" s="111">
        <f>TRUNC(F1923*E1923,2)</f>
        <v>4942.4</v>
      </c>
      <c r="I1923" s="111">
        <f>TRUNC(E1923*G1923,2)</f>
        <v>6358.65</v>
      </c>
    </row>
    <row r="1924" spans="1:9" ht="60">
      <c r="A1924" s="8"/>
      <c r="B1924" s="12" t="s">
        <v>147</v>
      </c>
      <c r="C1924" s="200" t="s">
        <v>148</v>
      </c>
      <c r="D1924" s="8" t="s">
        <v>149</v>
      </c>
      <c r="E1924" s="11">
        <v>1</v>
      </c>
      <c r="F1924" s="7">
        <f>G1926</f>
        <v>1.71</v>
      </c>
      <c r="G1924" s="7">
        <f>TRUNC(E1924*F1924,2)</f>
        <v>1.71</v>
      </c>
      <c r="H1924" s="7"/>
      <c r="I1924" s="11"/>
    </row>
    <row r="1925" spans="1:9" ht="15">
      <c r="A1925" s="8"/>
      <c r="B1925" s="12" t="s">
        <v>139</v>
      </c>
      <c r="C1925" s="200" t="s">
        <v>140</v>
      </c>
      <c r="D1925" s="8" t="s">
        <v>47</v>
      </c>
      <c r="E1925" s="11">
        <v>0.0083</v>
      </c>
      <c r="F1925" s="7">
        <v>206.2992</v>
      </c>
      <c r="G1925" s="7">
        <f>TRUNC(E1925*F1925,2)</f>
        <v>1.71</v>
      </c>
      <c r="H1925" s="7"/>
      <c r="I1925" s="11"/>
    </row>
    <row r="1926" spans="1:9" ht="15">
      <c r="A1926" s="8"/>
      <c r="B1926" s="12"/>
      <c r="C1926" s="200"/>
      <c r="D1926" s="8"/>
      <c r="E1926" s="11" t="s">
        <v>33</v>
      </c>
      <c r="F1926" s="7"/>
      <c r="G1926" s="7">
        <f>TRUNC(SUM(G1925:G1925),2)</f>
        <v>1.71</v>
      </c>
      <c r="H1926" s="7"/>
      <c r="I1926" s="11"/>
    </row>
    <row r="1927" spans="1:9" ht="15">
      <c r="A1927" s="103" t="s">
        <v>150</v>
      </c>
      <c r="B1927" s="110" t="s">
        <v>255</v>
      </c>
      <c r="C1927" s="210" t="s">
        <v>152</v>
      </c>
      <c r="D1927" s="103" t="s">
        <v>163</v>
      </c>
      <c r="E1927" s="111">
        <f>E1916</f>
        <v>247.03379999999999</v>
      </c>
      <c r="F1927" s="111">
        <f>TRUNC(F1928,2)</f>
        <v>30</v>
      </c>
      <c r="G1927" s="111">
        <f>TRUNC(F1927*1.2285,2)</f>
        <v>36.85</v>
      </c>
      <c r="H1927" s="111">
        <f>TRUNC(F1927*E1927,2)</f>
        <v>7411.01</v>
      </c>
      <c r="I1927" s="111">
        <f>TRUNC(E1927*G1927,2)</f>
        <v>9103.19</v>
      </c>
    </row>
    <row r="1928" spans="1:9" ht="15">
      <c r="A1928" s="8"/>
      <c r="B1928" s="12" t="s">
        <v>259</v>
      </c>
      <c r="C1928" s="200" t="s">
        <v>152</v>
      </c>
      <c r="D1928" s="8"/>
      <c r="E1928" s="11"/>
      <c r="F1928" s="7">
        <v>30</v>
      </c>
      <c r="G1928" s="7"/>
      <c r="H1928" s="7"/>
      <c r="I1928" s="11"/>
    </row>
    <row r="1929" spans="1:9" ht="15">
      <c r="A1929" s="8"/>
      <c r="B1929" s="12"/>
      <c r="C1929" s="200"/>
      <c r="D1929" s="8"/>
      <c r="E1929" s="11"/>
      <c r="F1929" s="7"/>
      <c r="G1929" s="7"/>
      <c r="H1929" s="7"/>
      <c r="I1929" s="11"/>
    </row>
    <row r="1930" spans="1:9" ht="60">
      <c r="A1930" s="103" t="s">
        <v>151</v>
      </c>
      <c r="B1930" s="110" t="s">
        <v>153</v>
      </c>
      <c r="C1930" s="210" t="s">
        <v>154</v>
      </c>
      <c r="D1930" s="103" t="s">
        <v>136</v>
      </c>
      <c r="E1930" s="111">
        <v>15</v>
      </c>
      <c r="F1930" s="111">
        <f>TRUNC(F1931,2)</f>
        <v>91.47</v>
      </c>
      <c r="G1930" s="111">
        <f>TRUNC(F1930*1.2882,2)</f>
        <v>117.83</v>
      </c>
      <c r="H1930" s="111">
        <f>TRUNC(F1930*E1930,2)</f>
        <v>1372.05</v>
      </c>
      <c r="I1930" s="111">
        <f>TRUNC(E1930*G1930,2)</f>
        <v>1767.45</v>
      </c>
    </row>
    <row r="1931" spans="1:9" ht="60">
      <c r="A1931" s="8"/>
      <c r="B1931" s="12" t="s">
        <v>153</v>
      </c>
      <c r="C1931" s="200" t="s">
        <v>154</v>
      </c>
      <c r="D1931" s="8" t="s">
        <v>136</v>
      </c>
      <c r="E1931" s="11">
        <v>1</v>
      </c>
      <c r="F1931" s="7">
        <f>G1935</f>
        <v>91.47</v>
      </c>
      <c r="G1931" s="7">
        <f>TRUNC(E1931*F1931,2)</f>
        <v>91.47</v>
      </c>
      <c r="H1931" s="7"/>
      <c r="I1931" s="11"/>
    </row>
    <row r="1932" spans="1:9" ht="30">
      <c r="A1932" s="8"/>
      <c r="B1932" s="12" t="s">
        <v>45</v>
      </c>
      <c r="C1932" s="200" t="s">
        <v>46</v>
      </c>
      <c r="D1932" s="8" t="s">
        <v>47</v>
      </c>
      <c r="E1932" s="11">
        <v>3.09</v>
      </c>
      <c r="F1932" s="7">
        <v>15.87</v>
      </c>
      <c r="G1932" s="7">
        <f>TRUNC(E1932*F1932,2)</f>
        <v>49.03</v>
      </c>
      <c r="H1932" s="7"/>
      <c r="I1932" s="11"/>
    </row>
    <row r="1933" spans="1:9" ht="15">
      <c r="A1933" s="8"/>
      <c r="B1933" s="12" t="s">
        <v>155</v>
      </c>
      <c r="C1933" s="200" t="s">
        <v>156</v>
      </c>
      <c r="D1933" s="8" t="s">
        <v>47</v>
      </c>
      <c r="E1933" s="11">
        <v>0.75</v>
      </c>
      <c r="F1933" s="7">
        <v>55.5485</v>
      </c>
      <c r="G1933" s="7">
        <f>TRUNC(E1933*F1933,2)</f>
        <v>41.66</v>
      </c>
      <c r="H1933" s="7"/>
      <c r="I1933" s="11"/>
    </row>
    <row r="1934" spans="1:9" ht="15">
      <c r="A1934" s="8"/>
      <c r="B1934" s="12" t="s">
        <v>157</v>
      </c>
      <c r="C1934" s="200" t="s">
        <v>158</v>
      </c>
      <c r="D1934" s="8" t="s">
        <v>47</v>
      </c>
      <c r="E1934" s="11">
        <v>0.004</v>
      </c>
      <c r="F1934" s="7">
        <v>195.9892</v>
      </c>
      <c r="G1934" s="7">
        <f>TRUNC(E1934*F1934,2)</f>
        <v>0.78</v>
      </c>
      <c r="H1934" s="7"/>
      <c r="I1934" s="11"/>
    </row>
    <row r="1935" spans="1:9" ht="15">
      <c r="A1935" s="8"/>
      <c r="B1935" s="12"/>
      <c r="C1935" s="200"/>
      <c r="D1935" s="8"/>
      <c r="E1935" s="11" t="s">
        <v>33</v>
      </c>
      <c r="F1935" s="7"/>
      <c r="G1935" s="7">
        <f>TRUNC(SUM(G1932:G1934),2)</f>
        <v>91.47</v>
      </c>
      <c r="H1935" s="7"/>
      <c r="I1935" s="11"/>
    </row>
    <row r="1936" spans="1:9" ht="60.75">
      <c r="A1936" s="103" t="s">
        <v>159</v>
      </c>
      <c r="B1936" s="110" t="s">
        <v>160</v>
      </c>
      <c r="C1936" s="210" t="s">
        <v>975</v>
      </c>
      <c r="D1936" s="103" t="s">
        <v>149</v>
      </c>
      <c r="E1936" s="111">
        <f>15*8.5</f>
        <v>127.5</v>
      </c>
      <c r="F1936" s="111">
        <f>TRUNC(F1937,2)</f>
        <v>1.48</v>
      </c>
      <c r="G1936" s="111">
        <f>TRUNC(F1936*1.2882,2)</f>
        <v>1.9</v>
      </c>
      <c r="H1936" s="111">
        <f>TRUNC(F1936*E1936,2)</f>
        <v>188.7</v>
      </c>
      <c r="I1936" s="111">
        <f>TRUNC(E1936*G1936,2)</f>
        <v>242.25</v>
      </c>
    </row>
    <row r="1937" spans="1:9" ht="60">
      <c r="A1937" s="8"/>
      <c r="B1937" s="12" t="s">
        <v>160</v>
      </c>
      <c r="C1937" s="200" t="s">
        <v>161</v>
      </c>
      <c r="D1937" s="8" t="s">
        <v>149</v>
      </c>
      <c r="E1937" s="11">
        <v>1</v>
      </c>
      <c r="F1937" s="7">
        <f>G1939</f>
        <v>1.48</v>
      </c>
      <c r="G1937" s="7">
        <f>TRUNC(E1937*F1937,2)</f>
        <v>1.48</v>
      </c>
      <c r="H1937" s="7"/>
      <c r="I1937" s="11"/>
    </row>
    <row r="1938" spans="1:9" ht="15">
      <c r="A1938" s="8"/>
      <c r="B1938" s="12" t="s">
        <v>157</v>
      </c>
      <c r="C1938" s="200" t="s">
        <v>158</v>
      </c>
      <c r="D1938" s="8" t="s">
        <v>47</v>
      </c>
      <c r="E1938" s="11">
        <v>0.0076</v>
      </c>
      <c r="F1938" s="7">
        <v>195.9892</v>
      </c>
      <c r="G1938" s="7">
        <f>TRUNC(E1938*F1938,2)</f>
        <v>1.48</v>
      </c>
      <c r="H1938" s="7"/>
      <c r="I1938" s="11"/>
    </row>
    <row r="1939" spans="1:9" ht="15">
      <c r="A1939" s="8"/>
      <c r="B1939" s="12"/>
      <c r="C1939" s="200"/>
      <c r="D1939" s="8"/>
      <c r="E1939" s="11" t="s">
        <v>33</v>
      </c>
      <c r="F1939" s="7"/>
      <c r="G1939" s="7">
        <f>TRUNC(SUM(G1938:G1938),2)</f>
        <v>1.48</v>
      </c>
      <c r="H1939" s="7"/>
      <c r="I1939" s="11"/>
    </row>
    <row r="1940" spans="1:9" s="203" customFormat="1" ht="15.75">
      <c r="A1940" s="263" t="s">
        <v>18</v>
      </c>
      <c r="B1940" s="264"/>
      <c r="C1940" s="265"/>
      <c r="D1940" s="263"/>
      <c r="E1940" s="266"/>
      <c r="F1940" s="267"/>
      <c r="G1940" s="482" t="s">
        <v>162</v>
      </c>
      <c r="H1940" s="483"/>
      <c r="I1940" s="267">
        <f>I1916+I1923+I1927+I1930+I1936</f>
        <v>22004.61</v>
      </c>
    </row>
    <row r="1941" spans="1:9" ht="15">
      <c r="A1941" s="18"/>
      <c r="B1941" s="19"/>
      <c r="C1941" s="20"/>
      <c r="D1941" s="21"/>
      <c r="E1941" s="20"/>
      <c r="F1941" s="20"/>
      <c r="G1941" s="20"/>
      <c r="H1941" s="20"/>
      <c r="I1941" s="22"/>
    </row>
    <row r="1942" spans="1:9" ht="15">
      <c r="A1942" s="18"/>
      <c r="B1942" s="19"/>
      <c r="C1942" s="20"/>
      <c r="D1942" s="21"/>
      <c r="E1942" s="20"/>
      <c r="F1942" s="20"/>
      <c r="G1942" s="20"/>
      <c r="H1942" s="20"/>
      <c r="I1942" s="22"/>
    </row>
    <row r="1943" spans="1:9" ht="15">
      <c r="A1943" s="18"/>
      <c r="B1943" s="19"/>
      <c r="C1943" s="20"/>
      <c r="D1943" s="21"/>
      <c r="E1943" s="20"/>
      <c r="F1943" s="20"/>
      <c r="G1943" s="20"/>
      <c r="H1943" s="20"/>
      <c r="I1943" s="22"/>
    </row>
    <row r="1944" spans="1:9" ht="15">
      <c r="A1944" s="18"/>
      <c r="B1944" s="19"/>
      <c r="C1944" s="20"/>
      <c r="D1944" s="21"/>
      <c r="E1944" s="20"/>
      <c r="F1944" s="20"/>
      <c r="G1944" s="20"/>
      <c r="H1944" s="20"/>
      <c r="I1944" s="22"/>
    </row>
    <row r="1945" spans="1:9" ht="15">
      <c r="A1945" s="18"/>
      <c r="B1945" s="19"/>
      <c r="C1945" s="20"/>
      <c r="D1945" s="21"/>
      <c r="E1945" s="20"/>
      <c r="F1945" s="20"/>
      <c r="G1945" s="20"/>
      <c r="H1945" s="20"/>
      <c r="I1945" s="22"/>
    </row>
    <row r="1946" spans="1:9" ht="15">
      <c r="A1946" s="18"/>
      <c r="B1946" s="19"/>
      <c r="C1946" s="20"/>
      <c r="D1946" s="21"/>
      <c r="E1946" s="20"/>
      <c r="F1946" s="20"/>
      <c r="G1946" s="20"/>
      <c r="H1946" s="20"/>
      <c r="I1946" s="22"/>
    </row>
    <row r="1947" spans="1:9" ht="15">
      <c r="A1947" s="18"/>
      <c r="B1947" s="19"/>
      <c r="C1947" s="20"/>
      <c r="D1947" s="21"/>
      <c r="E1947" s="20"/>
      <c r="F1947" s="20"/>
      <c r="G1947" s="20"/>
      <c r="H1947" s="20"/>
      <c r="I1947" s="22"/>
    </row>
    <row r="1948" spans="1:9" ht="15">
      <c r="A1948" s="18"/>
      <c r="B1948" s="19"/>
      <c r="C1948" s="20"/>
      <c r="D1948" s="21"/>
      <c r="E1948" s="20"/>
      <c r="F1948" s="20"/>
      <c r="G1948" s="20"/>
      <c r="H1948" s="20"/>
      <c r="I1948" s="22"/>
    </row>
    <row r="1949" spans="1:9" ht="15">
      <c r="A1949" s="18"/>
      <c r="B1949" s="19"/>
      <c r="C1949" s="20"/>
      <c r="D1949" s="21"/>
      <c r="E1949" s="20"/>
      <c r="F1949" s="20"/>
      <c r="G1949" s="20"/>
      <c r="H1949" s="20"/>
      <c r="I1949" s="22"/>
    </row>
    <row r="1950" spans="1:9" ht="15">
      <c r="A1950" s="18"/>
      <c r="B1950" s="19"/>
      <c r="C1950" s="20"/>
      <c r="D1950" s="21"/>
      <c r="E1950" s="20"/>
      <c r="F1950" s="20"/>
      <c r="G1950" s="20"/>
      <c r="H1950" s="20"/>
      <c r="I1950" s="22"/>
    </row>
    <row r="1951" spans="1:9" ht="15">
      <c r="A1951" s="18"/>
      <c r="B1951" s="19"/>
      <c r="C1951" s="20"/>
      <c r="D1951" s="21"/>
      <c r="E1951" s="20"/>
      <c r="F1951" s="20"/>
      <c r="G1951" s="20"/>
      <c r="H1951" s="20"/>
      <c r="I1951" s="22"/>
    </row>
    <row r="1952" spans="1:9" ht="15">
      <c r="A1952" s="18"/>
      <c r="B1952" s="19"/>
      <c r="C1952" s="20"/>
      <c r="D1952" s="21"/>
      <c r="E1952" s="20"/>
      <c r="F1952" s="20"/>
      <c r="G1952" s="20"/>
      <c r="H1952" s="20"/>
      <c r="I1952" s="22"/>
    </row>
    <row r="1953" spans="1:9" ht="15">
      <c r="A1953" s="18"/>
      <c r="B1953" s="19"/>
      <c r="C1953" s="20"/>
      <c r="D1953" s="21"/>
      <c r="E1953" s="20"/>
      <c r="F1953" s="20"/>
      <c r="G1953" s="20"/>
      <c r="H1953" s="20"/>
      <c r="I1953" s="22"/>
    </row>
    <row r="1954" spans="1:9" ht="15">
      <c r="A1954" s="18"/>
      <c r="B1954" s="19"/>
      <c r="C1954" s="20"/>
      <c r="D1954" s="21"/>
      <c r="E1954" s="20"/>
      <c r="F1954" s="20"/>
      <c r="G1954" s="20"/>
      <c r="H1954" s="20"/>
      <c r="I1954" s="22"/>
    </row>
    <row r="1955" spans="1:9" ht="15">
      <c r="A1955" s="18"/>
      <c r="B1955" s="19"/>
      <c r="C1955" s="20"/>
      <c r="D1955" s="21"/>
      <c r="E1955" s="20"/>
      <c r="F1955" s="20"/>
      <c r="G1955" s="20"/>
      <c r="H1955" s="20"/>
      <c r="I1955" s="22"/>
    </row>
    <row r="1956" spans="1:9" ht="15">
      <c r="A1956" s="18"/>
      <c r="B1956" s="19"/>
      <c r="C1956" s="20"/>
      <c r="D1956" s="21"/>
      <c r="E1956" s="20"/>
      <c r="F1956" s="20"/>
      <c r="G1956" s="20"/>
      <c r="H1956" s="20"/>
      <c r="I1956" s="22"/>
    </row>
    <row r="1957" spans="1:9" ht="15">
      <c r="A1957" s="18"/>
      <c r="B1957" s="19"/>
      <c r="C1957" s="20"/>
      <c r="D1957" s="21"/>
      <c r="E1957" s="20"/>
      <c r="F1957" s="20"/>
      <c r="G1957" s="20"/>
      <c r="H1957" s="20"/>
      <c r="I1957" s="22"/>
    </row>
    <row r="1958" spans="1:9" ht="15">
      <c r="A1958" s="18"/>
      <c r="B1958" s="19"/>
      <c r="C1958" s="20"/>
      <c r="D1958" s="21"/>
      <c r="E1958" s="20"/>
      <c r="F1958" s="20"/>
      <c r="G1958" s="20"/>
      <c r="H1958" s="20"/>
      <c r="I1958" s="22"/>
    </row>
    <row r="1959" spans="1:9" ht="15">
      <c r="A1959" s="18"/>
      <c r="B1959" s="19"/>
      <c r="C1959" s="20"/>
      <c r="D1959" s="21"/>
      <c r="E1959" s="20"/>
      <c r="F1959" s="20"/>
      <c r="G1959" s="20"/>
      <c r="H1959" s="20"/>
      <c r="I1959" s="22"/>
    </row>
    <row r="1960" spans="1:9" ht="15">
      <c r="A1960" s="18"/>
      <c r="B1960" s="19"/>
      <c r="C1960" s="20"/>
      <c r="D1960" s="21"/>
      <c r="E1960" s="20"/>
      <c r="F1960" s="20"/>
      <c r="G1960" s="20"/>
      <c r="H1960" s="20"/>
      <c r="I1960" s="22"/>
    </row>
    <row r="1961" spans="1:9" ht="15">
      <c r="A1961" s="18"/>
      <c r="B1961" s="19"/>
      <c r="C1961" s="20"/>
      <c r="D1961" s="21"/>
      <c r="E1961" s="20"/>
      <c r="F1961" s="20"/>
      <c r="G1961" s="20"/>
      <c r="H1961" s="20"/>
      <c r="I1961" s="22"/>
    </row>
    <row r="1962" spans="1:9" ht="15">
      <c r="A1962" s="18"/>
      <c r="B1962" s="19"/>
      <c r="C1962" s="20"/>
      <c r="D1962" s="21"/>
      <c r="E1962" s="20"/>
      <c r="F1962" s="20"/>
      <c r="G1962" s="20"/>
      <c r="H1962" s="20"/>
      <c r="I1962" s="22"/>
    </row>
    <row r="1963" spans="1:9" ht="15">
      <c r="A1963" s="18"/>
      <c r="B1963" s="19"/>
      <c r="C1963" s="20"/>
      <c r="D1963" s="21"/>
      <c r="E1963" s="20"/>
      <c r="F1963" s="20"/>
      <c r="G1963" s="20"/>
      <c r="H1963" s="20"/>
      <c r="I1963" s="22"/>
    </row>
    <row r="1964" spans="1:9" ht="15">
      <c r="A1964" s="18"/>
      <c r="B1964" s="19"/>
      <c r="C1964" s="20"/>
      <c r="D1964" s="21"/>
      <c r="E1964" s="20"/>
      <c r="F1964" s="20"/>
      <c r="G1964" s="20"/>
      <c r="H1964" s="20"/>
      <c r="I1964" s="22"/>
    </row>
    <row r="1965" spans="1:9" ht="15">
      <c r="A1965" s="18"/>
      <c r="B1965" s="19"/>
      <c r="C1965" s="20"/>
      <c r="D1965" s="21"/>
      <c r="E1965" s="20"/>
      <c r="F1965" s="20"/>
      <c r="G1965" s="20"/>
      <c r="H1965" s="20"/>
      <c r="I1965" s="22"/>
    </row>
    <row r="1966" spans="1:9" ht="15">
      <c r="A1966" s="18"/>
      <c r="B1966" s="19"/>
      <c r="C1966" s="20"/>
      <c r="D1966" s="21"/>
      <c r="E1966" s="20"/>
      <c r="F1966" s="20"/>
      <c r="G1966" s="20"/>
      <c r="H1966" s="20"/>
      <c r="I1966" s="22"/>
    </row>
    <row r="1967" spans="1:9" ht="15">
      <c r="A1967" s="18"/>
      <c r="B1967" s="19"/>
      <c r="C1967" s="20"/>
      <c r="D1967" s="21"/>
      <c r="E1967" s="20"/>
      <c r="F1967" s="20"/>
      <c r="G1967" s="20"/>
      <c r="H1967" s="20"/>
      <c r="I1967" s="22"/>
    </row>
    <row r="1968" spans="1:9" ht="15">
      <c r="A1968" s="18"/>
      <c r="B1968" s="19"/>
      <c r="C1968" s="20"/>
      <c r="D1968" s="21"/>
      <c r="E1968" s="20"/>
      <c r="F1968" s="20"/>
      <c r="G1968" s="20"/>
      <c r="H1968" s="20"/>
      <c r="I1968" s="22"/>
    </row>
    <row r="1969" spans="1:9" ht="15">
      <c r="A1969" s="18"/>
      <c r="B1969" s="19"/>
      <c r="C1969" s="20"/>
      <c r="D1969" s="21"/>
      <c r="E1969" s="20"/>
      <c r="F1969" s="20"/>
      <c r="G1969" s="20"/>
      <c r="H1969" s="20"/>
      <c r="I1969" s="22"/>
    </row>
    <row r="1970" spans="1:9" ht="15">
      <c r="A1970" s="18"/>
      <c r="B1970" s="19"/>
      <c r="C1970" s="20"/>
      <c r="D1970" s="21"/>
      <c r="E1970" s="20"/>
      <c r="F1970" s="20"/>
      <c r="G1970" s="20"/>
      <c r="H1970" s="20"/>
      <c r="I1970" s="22"/>
    </row>
    <row r="1971" spans="1:9" ht="15">
      <c r="A1971" s="18"/>
      <c r="B1971" s="19"/>
      <c r="C1971" s="20"/>
      <c r="D1971" s="21"/>
      <c r="E1971" s="20"/>
      <c r="F1971" s="20"/>
      <c r="G1971" s="20"/>
      <c r="H1971" s="20"/>
      <c r="I1971" s="22"/>
    </row>
    <row r="1972" spans="1:9" ht="15">
      <c r="A1972" s="18"/>
      <c r="B1972" s="19"/>
      <c r="C1972" s="20"/>
      <c r="D1972" s="21"/>
      <c r="E1972" s="20"/>
      <c r="F1972" s="20"/>
      <c r="G1972" s="20"/>
      <c r="H1972" s="20"/>
      <c r="I1972" s="22"/>
    </row>
    <row r="1973" spans="1:9" ht="15">
      <c r="A1973" s="18"/>
      <c r="B1973" s="19"/>
      <c r="C1973" s="20"/>
      <c r="D1973" s="21"/>
      <c r="E1973" s="20"/>
      <c r="F1973" s="20"/>
      <c r="G1973" s="20"/>
      <c r="H1973" s="20"/>
      <c r="I1973" s="22"/>
    </row>
    <row r="1974" spans="1:9" ht="15">
      <c r="A1974" s="18"/>
      <c r="B1974" s="19"/>
      <c r="C1974" s="20"/>
      <c r="D1974" s="21"/>
      <c r="E1974" s="20"/>
      <c r="F1974" s="20"/>
      <c r="G1974" s="20"/>
      <c r="H1974" s="20"/>
      <c r="I1974" s="22"/>
    </row>
    <row r="1975" spans="1:9" ht="15">
      <c r="A1975" s="18"/>
      <c r="B1975" s="19"/>
      <c r="C1975" s="20"/>
      <c r="D1975" s="21"/>
      <c r="E1975" s="20"/>
      <c r="F1975" s="20"/>
      <c r="G1975" s="20"/>
      <c r="H1975" s="20"/>
      <c r="I1975" s="22"/>
    </row>
    <row r="1976" spans="1:9" ht="15">
      <c r="A1976" s="18"/>
      <c r="B1976" s="19"/>
      <c r="C1976" s="20"/>
      <c r="D1976" s="21"/>
      <c r="E1976" s="20"/>
      <c r="F1976" s="20"/>
      <c r="G1976" s="20"/>
      <c r="H1976" s="20"/>
      <c r="I1976" s="22"/>
    </row>
    <row r="1977" spans="1:9" ht="15">
      <c r="A1977" s="18"/>
      <c r="B1977" s="19"/>
      <c r="C1977" s="20"/>
      <c r="D1977" s="21"/>
      <c r="E1977" s="20"/>
      <c r="F1977" s="20"/>
      <c r="G1977" s="20"/>
      <c r="H1977" s="20"/>
      <c r="I1977" s="22"/>
    </row>
    <row r="1978" spans="1:9" ht="15">
      <c r="A1978" s="18"/>
      <c r="B1978" s="19"/>
      <c r="C1978" s="20"/>
      <c r="D1978" s="21"/>
      <c r="E1978" s="20"/>
      <c r="F1978" s="20"/>
      <c r="G1978" s="20"/>
      <c r="H1978" s="20"/>
      <c r="I1978" s="22"/>
    </row>
    <row r="1979" spans="1:9" ht="15">
      <c r="A1979" s="18"/>
      <c r="B1979" s="19"/>
      <c r="C1979" s="20"/>
      <c r="D1979" s="21"/>
      <c r="E1979" s="20"/>
      <c r="F1979" s="20"/>
      <c r="G1979" s="20"/>
      <c r="H1979" s="20"/>
      <c r="I1979" s="22"/>
    </row>
    <row r="1980" spans="1:9" ht="15">
      <c r="A1980" s="18"/>
      <c r="B1980" s="19"/>
      <c r="C1980" s="20"/>
      <c r="D1980" s="21"/>
      <c r="E1980" s="20"/>
      <c r="F1980" s="20"/>
      <c r="G1980" s="20"/>
      <c r="H1980" s="20"/>
      <c r="I1980" s="22"/>
    </row>
    <row r="1981" spans="1:9" ht="15">
      <c r="A1981" s="18"/>
      <c r="B1981" s="19"/>
      <c r="C1981" s="20"/>
      <c r="D1981" s="21"/>
      <c r="E1981" s="20"/>
      <c r="F1981" s="20"/>
      <c r="G1981" s="20"/>
      <c r="H1981" s="20"/>
      <c r="I1981" s="22"/>
    </row>
    <row r="1982" spans="1:9" ht="15">
      <c r="A1982" s="18"/>
      <c r="B1982" s="19"/>
      <c r="C1982" s="20"/>
      <c r="D1982" s="21"/>
      <c r="E1982" s="20"/>
      <c r="F1982" s="20"/>
      <c r="G1982" s="20"/>
      <c r="H1982" s="20"/>
      <c r="I1982" s="22"/>
    </row>
    <row r="1983" spans="1:9" ht="15">
      <c r="A1983" s="18"/>
      <c r="B1983" s="19"/>
      <c r="C1983" s="20"/>
      <c r="D1983" s="21"/>
      <c r="E1983" s="20"/>
      <c r="F1983" s="20"/>
      <c r="G1983" s="20"/>
      <c r="H1983" s="20"/>
      <c r="I1983" s="22"/>
    </row>
    <row r="1984" spans="1:9" ht="15">
      <c r="A1984" s="18"/>
      <c r="B1984" s="19"/>
      <c r="C1984" s="20"/>
      <c r="D1984" s="21"/>
      <c r="E1984" s="20"/>
      <c r="F1984" s="20"/>
      <c r="G1984" s="20"/>
      <c r="H1984" s="20"/>
      <c r="I1984" s="22"/>
    </row>
    <row r="1985" spans="1:9" ht="15">
      <c r="A1985" s="18"/>
      <c r="B1985" s="19"/>
      <c r="C1985" s="20"/>
      <c r="D1985" s="21"/>
      <c r="E1985" s="20"/>
      <c r="F1985" s="20"/>
      <c r="G1985" s="20"/>
      <c r="H1985" s="20"/>
      <c r="I1985" s="22"/>
    </row>
    <row r="1986" spans="1:9" ht="15">
      <c r="A1986" s="18"/>
      <c r="B1986" s="19"/>
      <c r="C1986" s="20"/>
      <c r="D1986" s="21"/>
      <c r="E1986" s="20"/>
      <c r="F1986" s="20"/>
      <c r="G1986" s="20"/>
      <c r="H1986" s="20"/>
      <c r="I1986" s="22"/>
    </row>
    <row r="1987" spans="1:9" ht="15">
      <c r="A1987" s="18"/>
      <c r="B1987" s="19"/>
      <c r="C1987" s="20"/>
      <c r="D1987" s="21"/>
      <c r="E1987" s="20"/>
      <c r="F1987" s="20"/>
      <c r="G1987" s="20"/>
      <c r="H1987" s="20"/>
      <c r="I1987" s="22"/>
    </row>
    <row r="1988" spans="1:9" ht="15">
      <c r="A1988" s="18"/>
      <c r="B1988" s="19"/>
      <c r="C1988" s="20"/>
      <c r="D1988" s="21"/>
      <c r="E1988" s="20"/>
      <c r="F1988" s="20"/>
      <c r="G1988" s="20"/>
      <c r="H1988" s="20"/>
      <c r="I1988" s="22"/>
    </row>
    <row r="1989" spans="1:9" ht="15">
      <c r="A1989" s="18"/>
      <c r="B1989" s="19"/>
      <c r="C1989" s="20"/>
      <c r="D1989" s="21"/>
      <c r="E1989" s="20"/>
      <c r="F1989" s="20"/>
      <c r="G1989" s="20"/>
      <c r="H1989" s="20"/>
      <c r="I1989" s="22"/>
    </row>
    <row r="1990" spans="1:9" ht="15">
      <c r="A1990" s="18"/>
      <c r="B1990" s="19"/>
      <c r="C1990" s="20"/>
      <c r="D1990" s="21"/>
      <c r="E1990" s="20"/>
      <c r="F1990" s="20"/>
      <c r="G1990" s="20"/>
      <c r="H1990" s="20"/>
      <c r="I1990" s="22"/>
    </row>
    <row r="1991" spans="1:9" ht="15">
      <c r="A1991" s="18"/>
      <c r="B1991" s="19"/>
      <c r="C1991" s="20"/>
      <c r="D1991" s="21"/>
      <c r="E1991" s="20"/>
      <c r="F1991" s="20"/>
      <c r="G1991" s="20"/>
      <c r="H1991" s="20"/>
      <c r="I1991" s="22"/>
    </row>
    <row r="1992" spans="1:9" ht="15">
      <c r="A1992" s="18"/>
      <c r="B1992" s="19"/>
      <c r="C1992" s="20"/>
      <c r="D1992" s="21"/>
      <c r="E1992" s="20"/>
      <c r="F1992" s="20"/>
      <c r="G1992" s="20"/>
      <c r="H1992" s="20"/>
      <c r="I1992" s="22"/>
    </row>
    <row r="1993" spans="1:9" ht="15">
      <c r="A1993" s="18"/>
      <c r="B1993" s="19"/>
      <c r="C1993" s="20"/>
      <c r="D1993" s="21"/>
      <c r="E1993" s="20"/>
      <c r="F1993" s="20"/>
      <c r="G1993" s="20"/>
      <c r="H1993" s="20"/>
      <c r="I1993" s="22"/>
    </row>
    <row r="1994" spans="1:9" ht="15">
      <c r="A1994" s="18"/>
      <c r="B1994" s="19"/>
      <c r="C1994" s="20"/>
      <c r="D1994" s="21"/>
      <c r="E1994" s="20"/>
      <c r="F1994" s="20"/>
      <c r="G1994" s="20"/>
      <c r="H1994" s="20"/>
      <c r="I1994" s="22"/>
    </row>
    <row r="1995" spans="1:9" ht="15">
      <c r="A1995" s="18"/>
      <c r="B1995" s="19"/>
      <c r="C1995" s="20"/>
      <c r="D1995" s="21"/>
      <c r="E1995" s="20"/>
      <c r="F1995" s="20"/>
      <c r="G1995" s="20"/>
      <c r="H1995" s="20"/>
      <c r="I1995" s="22"/>
    </row>
    <row r="1996" spans="1:9" ht="15">
      <c r="A1996" s="18"/>
      <c r="B1996" s="19"/>
      <c r="C1996" s="20"/>
      <c r="D1996" s="21"/>
      <c r="E1996" s="20"/>
      <c r="F1996" s="20"/>
      <c r="G1996" s="20"/>
      <c r="H1996" s="20"/>
      <c r="I1996" s="22"/>
    </row>
    <row r="1997" spans="1:9" ht="15">
      <c r="A1997" s="18"/>
      <c r="B1997" s="19"/>
      <c r="C1997" s="20"/>
      <c r="D1997" s="21"/>
      <c r="E1997" s="20"/>
      <c r="F1997" s="20"/>
      <c r="G1997" s="20"/>
      <c r="H1997" s="20"/>
      <c r="I1997" s="22"/>
    </row>
    <row r="1998" spans="1:9" ht="15">
      <c r="A1998" s="18"/>
      <c r="B1998" s="19"/>
      <c r="C1998" s="20"/>
      <c r="D1998" s="21"/>
      <c r="E1998" s="20"/>
      <c r="F1998" s="20"/>
      <c r="G1998" s="20"/>
      <c r="H1998" s="20"/>
      <c r="I1998" s="22"/>
    </row>
    <row r="1999" spans="1:9" ht="15">
      <c r="A1999" s="18"/>
      <c r="B1999" s="19"/>
      <c r="C1999" s="20"/>
      <c r="D1999" s="21"/>
      <c r="E1999" s="20"/>
      <c r="F1999" s="20"/>
      <c r="G1999" s="20"/>
      <c r="H1999" s="20"/>
      <c r="I1999" s="22"/>
    </row>
    <row r="2000" spans="1:9" ht="15">
      <c r="A2000" s="18"/>
      <c r="B2000" s="19"/>
      <c r="C2000" s="20"/>
      <c r="D2000" s="21"/>
      <c r="E2000" s="20"/>
      <c r="F2000" s="20"/>
      <c r="G2000" s="20"/>
      <c r="H2000" s="20"/>
      <c r="I2000" s="22"/>
    </row>
    <row r="2001" spans="1:9" ht="15">
      <c r="A2001" s="18"/>
      <c r="B2001" s="19"/>
      <c r="C2001" s="20"/>
      <c r="D2001" s="21"/>
      <c r="E2001" s="20"/>
      <c r="F2001" s="20"/>
      <c r="G2001" s="20"/>
      <c r="H2001" s="20"/>
      <c r="I2001" s="22"/>
    </row>
    <row r="2002" spans="1:9" ht="15">
      <c r="A2002" s="18"/>
      <c r="B2002" s="19"/>
      <c r="C2002" s="20"/>
      <c r="D2002" s="21"/>
      <c r="E2002" s="20"/>
      <c r="F2002" s="20"/>
      <c r="G2002" s="20"/>
      <c r="H2002" s="20"/>
      <c r="I2002" s="22"/>
    </row>
    <row r="2003" spans="1:9" ht="15">
      <c r="A2003" s="18"/>
      <c r="B2003" s="19"/>
      <c r="C2003" s="20"/>
      <c r="D2003" s="21"/>
      <c r="E2003" s="20"/>
      <c r="F2003" s="20"/>
      <c r="G2003" s="20"/>
      <c r="H2003" s="20"/>
      <c r="I2003" s="22"/>
    </row>
    <row r="2004" spans="1:9" ht="15">
      <c r="A2004" s="18"/>
      <c r="B2004" s="19"/>
      <c r="C2004" s="20"/>
      <c r="D2004" s="21"/>
      <c r="E2004" s="20"/>
      <c r="F2004" s="20"/>
      <c r="G2004" s="20"/>
      <c r="H2004" s="20"/>
      <c r="I2004" s="22"/>
    </row>
    <row r="2005" spans="1:9" ht="15">
      <c r="A2005" s="18"/>
      <c r="B2005" s="19"/>
      <c r="C2005" s="20"/>
      <c r="D2005" s="21"/>
      <c r="E2005" s="20"/>
      <c r="F2005" s="20"/>
      <c r="G2005" s="20"/>
      <c r="H2005" s="20"/>
      <c r="I2005" s="22"/>
    </row>
    <row r="2006" spans="1:9" ht="15">
      <c r="A2006" s="18"/>
      <c r="B2006" s="19"/>
      <c r="C2006" s="20"/>
      <c r="D2006" s="21"/>
      <c r="E2006" s="20"/>
      <c r="F2006" s="20"/>
      <c r="G2006" s="20"/>
      <c r="H2006" s="20"/>
      <c r="I2006" s="22"/>
    </row>
    <row r="2007" spans="1:9" ht="15">
      <c r="A2007" s="18"/>
      <c r="B2007" s="19"/>
      <c r="C2007" s="20"/>
      <c r="D2007" s="21"/>
      <c r="E2007" s="20"/>
      <c r="F2007" s="20"/>
      <c r="G2007" s="20"/>
      <c r="H2007" s="20"/>
      <c r="I2007" s="22"/>
    </row>
    <row r="2008" spans="1:9" ht="15">
      <c r="A2008" s="18"/>
      <c r="B2008" s="19"/>
      <c r="C2008" s="20"/>
      <c r="D2008" s="21"/>
      <c r="E2008" s="20"/>
      <c r="F2008" s="20"/>
      <c r="G2008" s="20"/>
      <c r="H2008" s="20"/>
      <c r="I2008" s="22"/>
    </row>
    <row r="2009" spans="1:9" ht="15">
      <c r="A2009" s="18"/>
      <c r="B2009" s="19"/>
      <c r="C2009" s="20"/>
      <c r="D2009" s="21"/>
      <c r="E2009" s="20"/>
      <c r="F2009" s="20"/>
      <c r="G2009" s="20"/>
      <c r="H2009" s="20"/>
      <c r="I2009" s="22"/>
    </row>
    <row r="2010" spans="1:9" ht="15">
      <c r="A2010" s="18"/>
      <c r="B2010" s="19"/>
      <c r="C2010" s="20"/>
      <c r="D2010" s="21"/>
      <c r="E2010" s="20"/>
      <c r="F2010" s="20"/>
      <c r="G2010" s="20"/>
      <c r="H2010" s="20"/>
      <c r="I2010" s="22"/>
    </row>
    <row r="2011" spans="1:9" ht="15">
      <c r="A2011" s="18"/>
      <c r="B2011" s="19"/>
      <c r="C2011" s="20"/>
      <c r="D2011" s="21"/>
      <c r="E2011" s="20"/>
      <c r="F2011" s="20"/>
      <c r="G2011" s="20"/>
      <c r="H2011" s="20"/>
      <c r="I2011" s="22"/>
    </row>
    <row r="2012" spans="1:9" ht="15">
      <c r="A2012" s="18"/>
      <c r="B2012" s="19"/>
      <c r="C2012" s="20"/>
      <c r="D2012" s="21"/>
      <c r="E2012" s="20"/>
      <c r="F2012" s="20"/>
      <c r="G2012" s="20"/>
      <c r="H2012" s="20"/>
      <c r="I2012" s="22"/>
    </row>
    <row r="2013" spans="1:9" ht="15">
      <c r="A2013" s="18"/>
      <c r="B2013" s="19"/>
      <c r="C2013" s="20"/>
      <c r="D2013" s="21"/>
      <c r="E2013" s="20"/>
      <c r="F2013" s="20"/>
      <c r="G2013" s="20"/>
      <c r="H2013" s="20"/>
      <c r="I2013" s="22"/>
    </row>
    <row r="2014" spans="1:9" ht="15">
      <c r="A2014" s="18"/>
      <c r="B2014" s="19"/>
      <c r="C2014" s="20"/>
      <c r="D2014" s="21"/>
      <c r="E2014" s="20"/>
      <c r="F2014" s="20"/>
      <c r="G2014" s="20"/>
      <c r="H2014" s="20"/>
      <c r="I2014" s="22"/>
    </row>
    <row r="2015" spans="1:9" ht="15">
      <c r="A2015" s="18"/>
      <c r="B2015" s="19"/>
      <c r="C2015" s="20"/>
      <c r="D2015" s="21"/>
      <c r="E2015" s="20"/>
      <c r="F2015" s="20"/>
      <c r="G2015" s="20"/>
      <c r="H2015" s="20"/>
      <c r="I2015" s="22"/>
    </row>
    <row r="2016" spans="1:9" ht="15">
      <c r="A2016" s="18"/>
      <c r="B2016" s="19"/>
      <c r="C2016" s="20"/>
      <c r="D2016" s="21"/>
      <c r="E2016" s="20"/>
      <c r="F2016" s="20"/>
      <c r="G2016" s="20"/>
      <c r="H2016" s="20"/>
      <c r="I2016" s="22"/>
    </row>
    <row r="2017" spans="1:9" ht="15">
      <c r="A2017" s="18"/>
      <c r="B2017" s="19"/>
      <c r="C2017" s="20"/>
      <c r="D2017" s="21"/>
      <c r="E2017" s="20"/>
      <c r="F2017" s="20"/>
      <c r="G2017" s="20"/>
      <c r="H2017" s="20"/>
      <c r="I2017" s="22"/>
    </row>
    <row r="2018" spans="1:9" ht="15">
      <c r="A2018" s="18"/>
      <c r="B2018" s="19"/>
      <c r="C2018" s="20"/>
      <c r="D2018" s="21"/>
      <c r="E2018" s="20"/>
      <c r="F2018" s="20"/>
      <c r="G2018" s="20"/>
      <c r="H2018" s="20"/>
      <c r="I2018" s="22"/>
    </row>
    <row r="2019" spans="1:9" ht="15">
      <c r="A2019" s="18"/>
      <c r="B2019" s="19"/>
      <c r="C2019" s="20"/>
      <c r="D2019" s="21"/>
      <c r="E2019" s="20"/>
      <c r="F2019" s="20"/>
      <c r="G2019" s="20"/>
      <c r="H2019" s="20"/>
      <c r="I2019" s="22"/>
    </row>
    <row r="2020" spans="1:9" ht="15">
      <c r="A2020" s="18"/>
      <c r="B2020" s="19"/>
      <c r="C2020" s="20"/>
      <c r="D2020" s="21"/>
      <c r="E2020" s="20"/>
      <c r="F2020" s="20"/>
      <c r="G2020" s="20"/>
      <c r="H2020" s="20"/>
      <c r="I2020" s="22"/>
    </row>
    <row r="2021" spans="1:9" ht="15">
      <c r="A2021" s="18"/>
      <c r="B2021" s="19"/>
      <c r="C2021" s="20"/>
      <c r="D2021" s="21"/>
      <c r="E2021" s="20"/>
      <c r="F2021" s="20"/>
      <c r="G2021" s="20"/>
      <c r="H2021" s="20"/>
      <c r="I2021" s="22"/>
    </row>
    <row r="2022" spans="1:9" ht="15">
      <c r="A2022" s="18"/>
      <c r="B2022" s="19"/>
      <c r="C2022" s="20"/>
      <c r="D2022" s="21"/>
      <c r="E2022" s="20"/>
      <c r="F2022" s="20"/>
      <c r="G2022" s="20"/>
      <c r="H2022" s="20"/>
      <c r="I2022" s="22"/>
    </row>
    <row r="2023" spans="1:9" ht="15">
      <c r="A2023" s="18"/>
      <c r="B2023" s="19"/>
      <c r="C2023" s="20"/>
      <c r="D2023" s="21"/>
      <c r="E2023" s="20"/>
      <c r="F2023" s="20"/>
      <c r="G2023" s="20"/>
      <c r="H2023" s="20"/>
      <c r="I2023" s="22"/>
    </row>
    <row r="2024" spans="1:9" ht="15">
      <c r="A2024" s="18"/>
      <c r="B2024" s="19"/>
      <c r="C2024" s="20"/>
      <c r="D2024" s="21"/>
      <c r="E2024" s="20"/>
      <c r="F2024" s="20"/>
      <c r="G2024" s="20"/>
      <c r="H2024" s="20"/>
      <c r="I2024" s="22"/>
    </row>
    <row r="2025" spans="1:9" ht="15">
      <c r="A2025" s="18"/>
      <c r="B2025" s="19"/>
      <c r="C2025" s="20"/>
      <c r="D2025" s="21"/>
      <c r="E2025" s="20"/>
      <c r="F2025" s="20"/>
      <c r="G2025" s="20"/>
      <c r="H2025" s="20"/>
      <c r="I2025" s="22"/>
    </row>
    <row r="2026" spans="1:9" ht="15">
      <c r="A2026" s="18"/>
      <c r="B2026" s="19"/>
      <c r="C2026" s="20"/>
      <c r="D2026" s="21"/>
      <c r="E2026" s="20"/>
      <c r="F2026" s="20"/>
      <c r="G2026" s="20"/>
      <c r="H2026" s="20"/>
      <c r="I2026" s="22"/>
    </row>
    <row r="2027" spans="1:9" ht="15">
      <c r="A2027" s="18"/>
      <c r="B2027" s="19"/>
      <c r="C2027" s="20"/>
      <c r="D2027" s="21"/>
      <c r="E2027" s="20"/>
      <c r="F2027" s="20"/>
      <c r="G2027" s="20"/>
      <c r="H2027" s="20"/>
      <c r="I2027" s="22"/>
    </row>
    <row r="2028" spans="1:9" ht="15">
      <c r="A2028" s="18"/>
      <c r="B2028" s="19"/>
      <c r="C2028" s="20"/>
      <c r="D2028" s="21"/>
      <c r="E2028" s="20"/>
      <c r="F2028" s="20"/>
      <c r="G2028" s="20"/>
      <c r="H2028" s="20"/>
      <c r="I2028" s="22"/>
    </row>
    <row r="2029" spans="1:9" ht="15">
      <c r="A2029" s="18"/>
      <c r="B2029" s="19"/>
      <c r="C2029" s="20"/>
      <c r="D2029" s="21"/>
      <c r="E2029" s="20"/>
      <c r="F2029" s="20"/>
      <c r="G2029" s="20"/>
      <c r="H2029" s="20"/>
      <c r="I2029" s="22"/>
    </row>
    <row r="2030" spans="1:9" ht="15">
      <c r="A2030" s="18"/>
      <c r="B2030" s="19"/>
      <c r="C2030" s="20"/>
      <c r="D2030" s="21"/>
      <c r="E2030" s="20"/>
      <c r="F2030" s="20"/>
      <c r="G2030" s="20"/>
      <c r="H2030" s="20"/>
      <c r="I2030" s="22"/>
    </row>
    <row r="2031" spans="1:9" ht="15">
      <c r="A2031" s="18"/>
      <c r="B2031" s="19"/>
      <c r="C2031" s="20"/>
      <c r="D2031" s="21"/>
      <c r="E2031" s="20"/>
      <c r="F2031" s="20"/>
      <c r="G2031" s="20"/>
      <c r="H2031" s="20"/>
      <c r="I2031" s="22"/>
    </row>
    <row r="2032" spans="1:9" ht="15">
      <c r="A2032" s="18"/>
      <c r="B2032" s="19"/>
      <c r="C2032" s="20"/>
      <c r="D2032" s="21"/>
      <c r="E2032" s="20"/>
      <c r="F2032" s="20"/>
      <c r="G2032" s="20"/>
      <c r="H2032" s="20"/>
      <c r="I2032" s="22"/>
    </row>
    <row r="2033" spans="1:9" ht="15">
      <c r="A2033" s="18"/>
      <c r="B2033" s="19"/>
      <c r="C2033" s="20"/>
      <c r="D2033" s="21"/>
      <c r="E2033" s="20"/>
      <c r="F2033" s="20"/>
      <c r="G2033" s="20"/>
      <c r="H2033" s="20"/>
      <c r="I2033" s="22"/>
    </row>
    <row r="2034" spans="1:9" ht="15">
      <c r="A2034" s="18"/>
      <c r="B2034" s="19"/>
      <c r="C2034" s="20"/>
      <c r="D2034" s="21"/>
      <c r="E2034" s="20"/>
      <c r="F2034" s="20"/>
      <c r="G2034" s="20"/>
      <c r="H2034" s="20"/>
      <c r="I2034" s="22"/>
    </row>
    <row r="2035" spans="1:9" ht="15">
      <c r="A2035" s="18"/>
      <c r="B2035" s="19"/>
      <c r="C2035" s="20"/>
      <c r="D2035" s="21"/>
      <c r="E2035" s="20"/>
      <c r="F2035" s="20"/>
      <c r="G2035" s="20"/>
      <c r="H2035" s="20"/>
      <c r="I2035" s="22"/>
    </row>
    <row r="2036" spans="1:9" ht="15">
      <c r="A2036" s="18"/>
      <c r="B2036" s="19"/>
      <c r="C2036" s="20"/>
      <c r="D2036" s="21"/>
      <c r="E2036" s="20"/>
      <c r="F2036" s="20"/>
      <c r="G2036" s="20"/>
      <c r="H2036" s="20"/>
      <c r="I2036" s="22"/>
    </row>
    <row r="2037" spans="1:9" ht="15">
      <c r="A2037" s="18"/>
      <c r="B2037" s="19"/>
      <c r="C2037" s="20"/>
      <c r="D2037" s="21"/>
      <c r="E2037" s="20"/>
      <c r="F2037" s="20"/>
      <c r="G2037" s="20"/>
      <c r="H2037" s="20"/>
      <c r="I2037" s="22"/>
    </row>
    <row r="2038" spans="1:9" ht="15">
      <c r="A2038" s="18"/>
      <c r="B2038" s="19"/>
      <c r="C2038" s="20"/>
      <c r="D2038" s="21"/>
      <c r="E2038" s="20"/>
      <c r="F2038" s="20"/>
      <c r="G2038" s="20"/>
      <c r="H2038" s="20"/>
      <c r="I2038" s="22"/>
    </row>
    <row r="2039" spans="1:9" ht="15">
      <c r="A2039" s="18"/>
      <c r="B2039" s="19"/>
      <c r="C2039" s="20"/>
      <c r="D2039" s="21"/>
      <c r="E2039" s="20"/>
      <c r="F2039" s="20"/>
      <c r="G2039" s="20"/>
      <c r="H2039" s="20"/>
      <c r="I2039" s="22"/>
    </row>
    <row r="2040" spans="1:9" ht="15">
      <c r="A2040" s="18"/>
      <c r="B2040" s="19"/>
      <c r="C2040" s="20"/>
      <c r="D2040" s="21"/>
      <c r="E2040" s="20"/>
      <c r="F2040" s="20"/>
      <c r="G2040" s="20"/>
      <c r="H2040" s="20"/>
      <c r="I2040" s="22"/>
    </row>
    <row r="2041" spans="1:9" ht="15">
      <c r="A2041" s="18"/>
      <c r="B2041" s="19"/>
      <c r="C2041" s="20"/>
      <c r="D2041" s="21"/>
      <c r="E2041" s="20"/>
      <c r="F2041" s="20"/>
      <c r="G2041" s="20"/>
      <c r="H2041" s="20"/>
      <c r="I2041" s="22"/>
    </row>
    <row r="2042" spans="1:9" ht="15">
      <c r="A2042" s="18"/>
      <c r="B2042" s="19"/>
      <c r="C2042" s="20"/>
      <c r="D2042" s="21"/>
      <c r="E2042" s="20"/>
      <c r="F2042" s="20"/>
      <c r="G2042" s="20"/>
      <c r="H2042" s="20"/>
      <c r="I2042" s="22"/>
    </row>
    <row r="2043" spans="1:9" ht="15">
      <c r="A2043" s="18"/>
      <c r="B2043" s="19"/>
      <c r="C2043" s="20"/>
      <c r="D2043" s="21"/>
      <c r="E2043" s="20"/>
      <c r="F2043" s="20"/>
      <c r="G2043" s="20"/>
      <c r="H2043" s="20"/>
      <c r="I2043" s="22"/>
    </row>
    <row r="2044" spans="1:9" ht="15">
      <c r="A2044" s="18"/>
      <c r="B2044" s="19"/>
      <c r="C2044" s="20"/>
      <c r="D2044" s="21"/>
      <c r="E2044" s="20"/>
      <c r="F2044" s="20"/>
      <c r="G2044" s="20"/>
      <c r="H2044" s="20"/>
      <c r="I2044" s="22"/>
    </row>
    <row r="2045" spans="1:9" ht="15">
      <c r="A2045" s="18"/>
      <c r="B2045" s="19"/>
      <c r="C2045" s="20"/>
      <c r="D2045" s="21"/>
      <c r="E2045" s="20"/>
      <c r="F2045" s="20"/>
      <c r="G2045" s="20"/>
      <c r="H2045" s="20"/>
      <c r="I2045" s="22"/>
    </row>
    <row r="2046" spans="1:9" ht="15">
      <c r="A2046" s="18"/>
      <c r="B2046" s="19"/>
      <c r="C2046" s="20"/>
      <c r="D2046" s="21"/>
      <c r="E2046" s="20"/>
      <c r="F2046" s="20"/>
      <c r="G2046" s="20"/>
      <c r="H2046" s="20"/>
      <c r="I2046" s="22"/>
    </row>
    <row r="2047" spans="1:9" ht="15">
      <c r="A2047" s="18"/>
      <c r="B2047" s="19"/>
      <c r="C2047" s="20"/>
      <c r="D2047" s="21"/>
      <c r="E2047" s="20"/>
      <c r="F2047" s="20"/>
      <c r="G2047" s="20"/>
      <c r="H2047" s="20"/>
      <c r="I2047" s="22"/>
    </row>
    <row r="2048" spans="1:9" ht="15">
      <c r="A2048" s="18"/>
      <c r="B2048" s="19"/>
      <c r="C2048" s="20"/>
      <c r="D2048" s="21"/>
      <c r="E2048" s="20"/>
      <c r="F2048" s="20"/>
      <c r="G2048" s="20"/>
      <c r="H2048" s="20"/>
      <c r="I2048" s="22"/>
    </row>
    <row r="2049" spans="1:9" ht="15">
      <c r="A2049" s="18"/>
      <c r="B2049" s="19"/>
      <c r="C2049" s="20"/>
      <c r="D2049" s="21"/>
      <c r="E2049" s="20"/>
      <c r="F2049" s="20"/>
      <c r="G2049" s="20"/>
      <c r="H2049" s="20"/>
      <c r="I2049" s="22"/>
    </row>
    <row r="2050" spans="1:9" ht="15">
      <c r="A2050" s="18"/>
      <c r="B2050" s="19"/>
      <c r="C2050" s="20"/>
      <c r="D2050" s="21"/>
      <c r="E2050" s="20"/>
      <c r="F2050" s="20"/>
      <c r="G2050" s="20"/>
      <c r="H2050" s="20"/>
      <c r="I2050" s="22"/>
    </row>
    <row r="2051" spans="1:9" ht="15">
      <c r="A2051" s="18"/>
      <c r="B2051" s="19"/>
      <c r="C2051" s="20"/>
      <c r="D2051" s="21"/>
      <c r="E2051" s="20"/>
      <c r="F2051" s="20"/>
      <c r="G2051" s="20"/>
      <c r="H2051" s="20"/>
      <c r="I2051" s="22"/>
    </row>
    <row r="2052" spans="1:9" ht="15">
      <c r="A2052" s="18"/>
      <c r="B2052" s="19"/>
      <c r="C2052" s="20"/>
      <c r="D2052" s="21"/>
      <c r="E2052" s="20"/>
      <c r="F2052" s="20"/>
      <c r="G2052" s="20"/>
      <c r="H2052" s="20"/>
      <c r="I2052" s="22"/>
    </row>
    <row r="2053" spans="1:9" ht="15">
      <c r="A2053" s="18"/>
      <c r="B2053" s="19"/>
      <c r="C2053" s="20"/>
      <c r="D2053" s="21"/>
      <c r="E2053" s="20"/>
      <c r="F2053" s="20"/>
      <c r="G2053" s="20"/>
      <c r="H2053" s="20"/>
      <c r="I2053" s="22"/>
    </row>
    <row r="2054" spans="1:9" ht="15">
      <c r="A2054" s="18"/>
      <c r="B2054" s="19"/>
      <c r="C2054" s="20"/>
      <c r="D2054" s="21"/>
      <c r="E2054" s="20"/>
      <c r="F2054" s="20"/>
      <c r="G2054" s="20"/>
      <c r="H2054" s="20"/>
      <c r="I2054" s="22"/>
    </row>
    <row r="2055" spans="1:9" ht="15">
      <c r="A2055" s="18"/>
      <c r="B2055" s="19"/>
      <c r="C2055" s="20"/>
      <c r="D2055" s="21"/>
      <c r="E2055" s="20"/>
      <c r="F2055" s="20"/>
      <c r="G2055" s="20"/>
      <c r="H2055" s="20"/>
      <c r="I2055" s="22"/>
    </row>
    <row r="2056" spans="1:9" ht="15">
      <c r="A2056" s="18"/>
      <c r="B2056" s="19"/>
      <c r="C2056" s="20"/>
      <c r="D2056" s="21"/>
      <c r="E2056" s="20"/>
      <c r="F2056" s="20"/>
      <c r="G2056" s="20"/>
      <c r="H2056" s="20"/>
      <c r="I2056" s="22"/>
    </row>
    <row r="2057" spans="1:9" ht="15">
      <c r="A2057" s="18"/>
      <c r="B2057" s="19"/>
      <c r="C2057" s="20"/>
      <c r="D2057" s="21"/>
      <c r="E2057" s="20"/>
      <c r="F2057" s="20"/>
      <c r="G2057" s="20"/>
      <c r="H2057" s="20"/>
      <c r="I2057" s="22"/>
    </row>
    <row r="2058" spans="1:9" ht="15">
      <c r="A2058" s="18"/>
      <c r="B2058" s="19"/>
      <c r="C2058" s="20"/>
      <c r="D2058" s="21"/>
      <c r="E2058" s="20"/>
      <c r="F2058" s="20"/>
      <c r="G2058" s="20"/>
      <c r="H2058" s="20"/>
      <c r="I2058" s="22"/>
    </row>
    <row r="2059" spans="1:9" ht="15">
      <c r="A2059" s="18"/>
      <c r="B2059" s="19"/>
      <c r="C2059" s="20"/>
      <c r="D2059" s="21"/>
      <c r="E2059" s="20"/>
      <c r="F2059" s="20"/>
      <c r="G2059" s="20"/>
      <c r="H2059" s="20"/>
      <c r="I2059" s="22"/>
    </row>
    <row r="2060" spans="1:9" ht="15">
      <c r="A2060" s="18"/>
      <c r="B2060" s="19"/>
      <c r="C2060" s="20"/>
      <c r="D2060" s="21"/>
      <c r="E2060" s="20"/>
      <c r="F2060" s="20"/>
      <c r="G2060" s="20"/>
      <c r="H2060" s="20"/>
      <c r="I2060" s="22"/>
    </row>
    <row r="2061" spans="1:9" ht="15">
      <c r="A2061" s="18"/>
      <c r="B2061" s="19"/>
      <c r="C2061" s="20"/>
      <c r="D2061" s="21"/>
      <c r="E2061" s="20"/>
      <c r="F2061" s="20"/>
      <c r="G2061" s="20"/>
      <c r="H2061" s="20"/>
      <c r="I2061" s="22"/>
    </row>
    <row r="2062" spans="1:9" ht="15">
      <c r="A2062" s="18"/>
      <c r="B2062" s="19"/>
      <c r="C2062" s="20"/>
      <c r="D2062" s="21"/>
      <c r="E2062" s="20"/>
      <c r="F2062" s="20"/>
      <c r="G2062" s="20"/>
      <c r="H2062" s="20"/>
      <c r="I2062" s="22"/>
    </row>
    <row r="2063" spans="1:9" ht="15">
      <c r="A2063" s="18"/>
      <c r="B2063" s="19"/>
      <c r="C2063" s="20"/>
      <c r="D2063" s="21"/>
      <c r="E2063" s="20"/>
      <c r="F2063" s="20"/>
      <c r="G2063" s="20"/>
      <c r="H2063" s="20"/>
      <c r="I2063" s="22"/>
    </row>
    <row r="2064" spans="1:9" ht="15">
      <c r="A2064" s="18"/>
      <c r="B2064" s="19"/>
      <c r="C2064" s="20"/>
      <c r="D2064" s="21"/>
      <c r="E2064" s="20"/>
      <c r="F2064" s="20"/>
      <c r="G2064" s="20"/>
      <c r="H2064" s="20"/>
      <c r="I2064" s="22"/>
    </row>
    <row r="2065" spans="1:9" ht="15">
      <c r="A2065" s="18"/>
      <c r="B2065" s="19"/>
      <c r="C2065" s="20"/>
      <c r="D2065" s="21"/>
      <c r="E2065" s="20"/>
      <c r="F2065" s="20"/>
      <c r="G2065" s="20"/>
      <c r="H2065" s="20"/>
      <c r="I2065" s="22"/>
    </row>
    <row r="2066" spans="1:9" ht="15">
      <c r="A2066" s="18"/>
      <c r="B2066" s="19"/>
      <c r="C2066" s="20"/>
      <c r="D2066" s="21"/>
      <c r="E2066" s="20"/>
      <c r="F2066" s="20"/>
      <c r="G2066" s="20"/>
      <c r="H2066" s="20"/>
      <c r="I2066" s="22"/>
    </row>
    <row r="2067" spans="1:9" ht="15">
      <c r="A2067" s="18"/>
      <c r="B2067" s="19"/>
      <c r="C2067" s="20"/>
      <c r="D2067" s="21"/>
      <c r="E2067" s="20"/>
      <c r="F2067" s="20"/>
      <c r="G2067" s="20"/>
      <c r="H2067" s="20"/>
      <c r="I2067" s="22"/>
    </row>
    <row r="2068" spans="1:9" ht="15">
      <c r="A2068" s="18"/>
      <c r="B2068" s="19"/>
      <c r="C2068" s="20"/>
      <c r="D2068" s="21"/>
      <c r="E2068" s="20"/>
      <c r="F2068" s="20"/>
      <c r="G2068" s="20"/>
      <c r="H2068" s="20"/>
      <c r="I2068" s="22"/>
    </row>
    <row r="2069" spans="1:9" ht="15">
      <c r="A2069" s="18"/>
      <c r="B2069" s="19"/>
      <c r="C2069" s="20"/>
      <c r="D2069" s="21"/>
      <c r="E2069" s="20"/>
      <c r="F2069" s="20"/>
      <c r="G2069" s="20"/>
      <c r="H2069" s="20"/>
      <c r="I2069" s="22"/>
    </row>
    <row r="2070" spans="1:9" ht="15">
      <c r="A2070" s="18"/>
      <c r="B2070" s="19"/>
      <c r="C2070" s="20"/>
      <c r="D2070" s="21"/>
      <c r="E2070" s="20"/>
      <c r="F2070" s="20"/>
      <c r="G2070" s="20"/>
      <c r="H2070" s="20"/>
      <c r="I2070" s="22"/>
    </row>
    <row r="2071" spans="1:9" ht="15">
      <c r="A2071" s="18"/>
      <c r="B2071" s="19"/>
      <c r="C2071" s="20"/>
      <c r="D2071" s="21"/>
      <c r="E2071" s="20"/>
      <c r="F2071" s="20"/>
      <c r="G2071" s="20"/>
      <c r="H2071" s="20"/>
      <c r="I2071" s="22"/>
    </row>
    <row r="2072" spans="1:9" ht="15">
      <c r="A2072" s="18"/>
      <c r="B2072" s="19"/>
      <c r="C2072" s="20"/>
      <c r="D2072" s="21"/>
      <c r="E2072" s="20"/>
      <c r="F2072" s="20"/>
      <c r="G2072" s="20"/>
      <c r="H2072" s="20"/>
      <c r="I2072" s="22"/>
    </row>
    <row r="2073" spans="1:9" ht="15">
      <c r="A2073" s="18"/>
      <c r="B2073" s="19"/>
      <c r="C2073" s="20"/>
      <c r="D2073" s="21"/>
      <c r="E2073" s="20"/>
      <c r="F2073" s="20"/>
      <c r="G2073" s="20"/>
      <c r="H2073" s="20"/>
      <c r="I2073" s="22"/>
    </row>
    <row r="2074" spans="1:9" ht="15">
      <c r="A2074" s="18"/>
      <c r="B2074" s="19"/>
      <c r="C2074" s="20"/>
      <c r="D2074" s="21"/>
      <c r="E2074" s="20"/>
      <c r="F2074" s="20"/>
      <c r="G2074" s="20"/>
      <c r="H2074" s="20"/>
      <c r="I2074" s="22"/>
    </row>
    <row r="2075" spans="1:9" ht="15">
      <c r="A2075" s="18"/>
      <c r="B2075" s="19"/>
      <c r="C2075" s="20"/>
      <c r="D2075" s="21"/>
      <c r="E2075" s="20"/>
      <c r="F2075" s="20"/>
      <c r="G2075" s="20"/>
      <c r="H2075" s="20"/>
      <c r="I2075" s="22"/>
    </row>
    <row r="2076" spans="1:9" ht="15">
      <c r="A2076" s="18"/>
      <c r="B2076" s="19"/>
      <c r="C2076" s="20"/>
      <c r="D2076" s="21"/>
      <c r="E2076" s="20"/>
      <c r="F2076" s="20"/>
      <c r="G2076" s="20"/>
      <c r="H2076" s="20"/>
      <c r="I2076" s="22"/>
    </row>
    <row r="2077" spans="1:9" ht="15">
      <c r="A2077" s="18"/>
      <c r="B2077" s="19"/>
      <c r="C2077" s="20"/>
      <c r="D2077" s="21"/>
      <c r="E2077" s="20"/>
      <c r="F2077" s="20"/>
      <c r="G2077" s="20"/>
      <c r="H2077" s="20"/>
      <c r="I2077" s="22"/>
    </row>
    <row r="2078" spans="1:9" ht="15">
      <c r="A2078" s="18"/>
      <c r="B2078" s="19"/>
      <c r="C2078" s="20"/>
      <c r="D2078" s="21"/>
      <c r="E2078" s="20"/>
      <c r="F2078" s="20"/>
      <c r="G2078" s="20"/>
      <c r="H2078" s="20"/>
      <c r="I2078" s="22"/>
    </row>
    <row r="2079" spans="1:9" ht="15">
      <c r="A2079" s="18"/>
      <c r="B2079" s="19"/>
      <c r="C2079" s="20"/>
      <c r="D2079" s="21"/>
      <c r="E2079" s="20"/>
      <c r="F2079" s="20"/>
      <c r="G2079" s="20"/>
      <c r="H2079" s="20"/>
      <c r="I2079" s="22"/>
    </row>
    <row r="2080" spans="1:9" ht="15">
      <c r="A2080" s="18"/>
      <c r="B2080" s="19"/>
      <c r="C2080" s="20"/>
      <c r="D2080" s="21"/>
      <c r="E2080" s="20"/>
      <c r="F2080" s="20"/>
      <c r="G2080" s="20"/>
      <c r="H2080" s="20"/>
      <c r="I2080" s="22"/>
    </row>
    <row r="2081" spans="1:9" ht="15">
      <c r="A2081" s="18"/>
      <c r="B2081" s="19"/>
      <c r="C2081" s="20"/>
      <c r="D2081" s="21"/>
      <c r="E2081" s="20"/>
      <c r="F2081" s="20"/>
      <c r="G2081" s="20"/>
      <c r="H2081" s="20"/>
      <c r="I2081" s="22"/>
    </row>
    <row r="2082" spans="1:9" ht="15">
      <c r="A2082" s="18"/>
      <c r="B2082" s="19"/>
      <c r="C2082" s="20"/>
      <c r="D2082" s="21"/>
      <c r="E2082" s="20"/>
      <c r="F2082" s="20"/>
      <c r="G2082" s="20"/>
      <c r="H2082" s="20"/>
      <c r="I2082" s="22"/>
    </row>
    <row r="2083" spans="1:9" ht="15">
      <c r="A2083" s="18"/>
      <c r="B2083" s="19"/>
      <c r="C2083" s="20"/>
      <c r="D2083" s="21"/>
      <c r="E2083" s="20"/>
      <c r="F2083" s="20"/>
      <c r="G2083" s="20"/>
      <c r="H2083" s="20"/>
      <c r="I2083" s="22"/>
    </row>
    <row r="2084" spans="1:9" ht="15">
      <c r="A2084" s="18"/>
      <c r="B2084" s="19"/>
      <c r="C2084" s="20"/>
      <c r="D2084" s="21"/>
      <c r="E2084" s="20"/>
      <c r="F2084" s="20"/>
      <c r="G2084" s="20"/>
      <c r="H2084" s="20"/>
      <c r="I2084" s="22"/>
    </row>
    <row r="2085" spans="1:9" ht="15">
      <c r="A2085" s="18"/>
      <c r="B2085" s="19"/>
      <c r="C2085" s="20"/>
      <c r="D2085" s="21"/>
      <c r="E2085" s="20"/>
      <c r="F2085" s="20"/>
      <c r="G2085" s="20"/>
      <c r="H2085" s="20"/>
      <c r="I2085" s="22"/>
    </row>
    <row r="2086" spans="1:9" ht="15">
      <c r="A2086" s="18"/>
      <c r="B2086" s="19"/>
      <c r="C2086" s="20"/>
      <c r="D2086" s="21"/>
      <c r="E2086" s="20"/>
      <c r="F2086" s="20"/>
      <c r="G2086" s="20"/>
      <c r="H2086" s="20"/>
      <c r="I2086" s="22"/>
    </row>
    <row r="2087" spans="1:9" ht="15">
      <c r="A2087" s="18"/>
      <c r="B2087" s="19"/>
      <c r="C2087" s="20"/>
      <c r="D2087" s="21"/>
      <c r="E2087" s="20"/>
      <c r="F2087" s="20"/>
      <c r="G2087" s="20"/>
      <c r="H2087" s="20"/>
      <c r="I2087" s="22"/>
    </row>
    <row r="2088" spans="1:9" ht="15">
      <c r="A2088" s="18"/>
      <c r="B2088" s="19"/>
      <c r="C2088" s="20"/>
      <c r="D2088" s="21"/>
      <c r="E2088" s="20"/>
      <c r="F2088" s="20"/>
      <c r="G2088" s="20"/>
      <c r="H2088" s="20"/>
      <c r="I2088" s="22"/>
    </row>
    <row r="2089" spans="1:9" ht="15">
      <c r="A2089" s="18"/>
      <c r="B2089" s="19"/>
      <c r="C2089" s="20"/>
      <c r="D2089" s="21"/>
      <c r="E2089" s="20"/>
      <c r="F2089" s="20"/>
      <c r="G2089" s="20"/>
      <c r="H2089" s="20"/>
      <c r="I2089" s="22"/>
    </row>
    <row r="2090" spans="1:9" ht="15">
      <c r="A2090" s="18"/>
      <c r="B2090" s="19"/>
      <c r="C2090" s="20"/>
      <c r="D2090" s="21"/>
      <c r="E2090" s="20"/>
      <c r="F2090" s="20"/>
      <c r="G2090" s="20"/>
      <c r="H2090" s="20"/>
      <c r="I2090" s="22"/>
    </row>
    <row r="2091" spans="1:9" ht="15">
      <c r="A2091" s="18"/>
      <c r="B2091" s="19"/>
      <c r="C2091" s="20"/>
      <c r="D2091" s="21"/>
      <c r="E2091" s="20"/>
      <c r="F2091" s="20"/>
      <c r="G2091" s="20"/>
      <c r="H2091" s="20"/>
      <c r="I2091" s="22"/>
    </row>
    <row r="2092" spans="1:9" ht="15">
      <c r="A2092" s="18"/>
      <c r="B2092" s="19"/>
      <c r="C2092" s="20"/>
      <c r="D2092" s="21"/>
      <c r="E2092" s="20"/>
      <c r="F2092" s="20"/>
      <c r="G2092" s="20"/>
      <c r="H2092" s="20"/>
      <c r="I2092" s="22"/>
    </row>
    <row r="2093" spans="1:9" ht="15">
      <c r="A2093" s="18"/>
      <c r="B2093" s="19"/>
      <c r="C2093" s="20"/>
      <c r="D2093" s="21"/>
      <c r="E2093" s="20"/>
      <c r="F2093" s="20"/>
      <c r="G2093" s="20"/>
      <c r="H2093" s="20"/>
      <c r="I2093" s="22"/>
    </row>
    <row r="2094" spans="1:9" ht="15">
      <c r="A2094" s="18"/>
      <c r="B2094" s="19"/>
      <c r="C2094" s="20"/>
      <c r="D2094" s="21"/>
      <c r="E2094" s="20"/>
      <c r="F2094" s="20"/>
      <c r="G2094" s="20"/>
      <c r="H2094" s="20"/>
      <c r="I2094" s="22"/>
    </row>
    <row r="2095" spans="1:9" ht="15">
      <c r="A2095" s="18"/>
      <c r="B2095" s="19"/>
      <c r="C2095" s="20"/>
      <c r="D2095" s="21"/>
      <c r="E2095" s="20"/>
      <c r="F2095" s="20"/>
      <c r="G2095" s="20"/>
      <c r="H2095" s="20"/>
      <c r="I2095" s="22"/>
    </row>
    <row r="2096" spans="1:9" ht="15">
      <c r="A2096" s="18"/>
      <c r="B2096" s="19"/>
      <c r="C2096" s="20"/>
      <c r="D2096" s="21"/>
      <c r="E2096" s="20"/>
      <c r="F2096" s="20"/>
      <c r="G2096" s="20"/>
      <c r="H2096" s="20"/>
      <c r="I2096" s="22"/>
    </row>
    <row r="2097" spans="1:9" ht="15">
      <c r="A2097" s="18"/>
      <c r="B2097" s="19"/>
      <c r="C2097" s="20"/>
      <c r="D2097" s="21"/>
      <c r="E2097" s="20"/>
      <c r="F2097" s="20"/>
      <c r="G2097" s="20"/>
      <c r="H2097" s="20"/>
      <c r="I2097" s="22"/>
    </row>
    <row r="2098" spans="1:9" ht="15">
      <c r="A2098" s="18"/>
      <c r="B2098" s="19"/>
      <c r="C2098" s="20"/>
      <c r="D2098" s="21"/>
      <c r="E2098" s="20"/>
      <c r="F2098" s="20"/>
      <c r="G2098" s="20"/>
      <c r="H2098" s="20"/>
      <c r="I2098" s="22"/>
    </row>
    <row r="2099" spans="1:9" ht="15">
      <c r="A2099" s="18"/>
      <c r="B2099" s="19"/>
      <c r="C2099" s="20"/>
      <c r="D2099" s="21"/>
      <c r="E2099" s="20"/>
      <c r="F2099" s="20"/>
      <c r="G2099" s="20"/>
      <c r="H2099" s="20"/>
      <c r="I2099" s="22"/>
    </row>
    <row r="2100" spans="1:9" ht="15">
      <c r="A2100" s="18"/>
      <c r="B2100" s="19"/>
      <c r="C2100" s="20"/>
      <c r="D2100" s="21"/>
      <c r="E2100" s="20"/>
      <c r="F2100" s="20"/>
      <c r="G2100" s="20"/>
      <c r="H2100" s="20"/>
      <c r="I2100" s="22"/>
    </row>
    <row r="2101" spans="1:9" ht="15">
      <c r="A2101" s="18"/>
      <c r="B2101" s="19"/>
      <c r="C2101" s="20"/>
      <c r="D2101" s="21"/>
      <c r="E2101" s="20"/>
      <c r="F2101" s="20"/>
      <c r="G2101" s="20"/>
      <c r="H2101" s="20"/>
      <c r="I2101" s="22"/>
    </row>
    <row r="2102" spans="1:9" ht="15">
      <c r="A2102" s="18"/>
      <c r="B2102" s="19"/>
      <c r="C2102" s="20"/>
      <c r="D2102" s="21"/>
      <c r="E2102" s="20"/>
      <c r="F2102" s="20"/>
      <c r="G2102" s="20"/>
      <c r="H2102" s="20"/>
      <c r="I2102" s="22"/>
    </row>
    <row r="2103" spans="1:9" ht="15">
      <c r="A2103" s="18"/>
      <c r="B2103" s="19"/>
      <c r="C2103" s="20"/>
      <c r="D2103" s="21"/>
      <c r="E2103" s="20"/>
      <c r="F2103" s="20"/>
      <c r="G2103" s="20"/>
      <c r="H2103" s="20"/>
      <c r="I2103" s="22"/>
    </row>
    <row r="2104" spans="1:9" ht="15">
      <c r="A2104" s="18"/>
      <c r="B2104" s="19"/>
      <c r="C2104" s="20"/>
      <c r="D2104" s="21"/>
      <c r="E2104" s="20"/>
      <c r="F2104" s="20"/>
      <c r="G2104" s="20"/>
      <c r="H2104" s="20"/>
      <c r="I2104" s="22"/>
    </row>
    <row r="2105" spans="1:9" ht="15">
      <c r="A2105" s="18"/>
      <c r="B2105" s="19"/>
      <c r="C2105" s="20"/>
      <c r="D2105" s="21"/>
      <c r="E2105" s="20"/>
      <c r="F2105" s="20"/>
      <c r="G2105" s="20"/>
      <c r="H2105" s="20"/>
      <c r="I2105" s="22"/>
    </row>
    <row r="2106" spans="1:9" ht="15">
      <c r="A2106" s="18"/>
      <c r="B2106" s="19"/>
      <c r="C2106" s="20"/>
      <c r="D2106" s="21"/>
      <c r="E2106" s="20"/>
      <c r="F2106" s="20"/>
      <c r="G2106" s="20"/>
      <c r="H2106" s="20"/>
      <c r="I2106" s="22"/>
    </row>
    <row r="2107" spans="1:9" ht="15">
      <c r="A2107" s="18"/>
      <c r="B2107" s="19"/>
      <c r="C2107" s="20"/>
      <c r="D2107" s="21"/>
      <c r="E2107" s="20"/>
      <c r="F2107" s="20"/>
      <c r="G2107" s="20"/>
      <c r="H2107" s="20"/>
      <c r="I2107" s="22"/>
    </row>
    <row r="2108" spans="1:9" ht="15">
      <c r="A2108" s="18"/>
      <c r="B2108" s="19"/>
      <c r="C2108" s="20"/>
      <c r="D2108" s="21"/>
      <c r="E2108" s="20"/>
      <c r="F2108" s="20"/>
      <c r="G2108" s="20"/>
      <c r="H2108" s="20"/>
      <c r="I2108" s="22"/>
    </row>
    <row r="2109" spans="1:9" ht="15">
      <c r="A2109" s="18"/>
      <c r="B2109" s="19"/>
      <c r="C2109" s="20"/>
      <c r="D2109" s="21"/>
      <c r="E2109" s="20"/>
      <c r="F2109" s="20"/>
      <c r="G2109" s="20"/>
      <c r="H2109" s="20"/>
      <c r="I2109" s="22"/>
    </row>
    <row r="2110" spans="1:9" ht="15">
      <c r="A2110" s="18"/>
      <c r="B2110" s="19"/>
      <c r="C2110" s="20"/>
      <c r="D2110" s="21"/>
      <c r="E2110" s="20"/>
      <c r="F2110" s="20"/>
      <c r="G2110" s="20"/>
      <c r="H2110" s="20"/>
      <c r="I2110" s="22"/>
    </row>
    <row r="2111" spans="1:9" ht="15">
      <c r="A2111" s="18"/>
      <c r="B2111" s="19"/>
      <c r="C2111" s="20"/>
      <c r="D2111" s="21"/>
      <c r="E2111" s="20"/>
      <c r="F2111" s="20"/>
      <c r="G2111" s="20"/>
      <c r="H2111" s="20"/>
      <c r="I2111" s="22"/>
    </row>
    <row r="2112" spans="1:9" ht="15">
      <c r="A2112" s="18"/>
      <c r="B2112" s="19"/>
      <c r="C2112" s="20"/>
      <c r="D2112" s="21"/>
      <c r="E2112" s="20"/>
      <c r="F2112" s="20"/>
      <c r="G2112" s="20"/>
      <c r="H2112" s="20"/>
      <c r="I2112" s="22"/>
    </row>
    <row r="2113" spans="1:9" ht="15">
      <c r="A2113" s="18"/>
      <c r="B2113" s="19"/>
      <c r="C2113" s="20"/>
      <c r="D2113" s="21"/>
      <c r="E2113" s="20"/>
      <c r="F2113" s="20"/>
      <c r="G2113" s="20"/>
      <c r="H2113" s="20"/>
      <c r="I2113" s="22"/>
    </row>
    <row r="2114" spans="1:9" ht="15">
      <c r="A2114" s="18"/>
      <c r="B2114" s="19"/>
      <c r="C2114" s="20"/>
      <c r="D2114" s="21"/>
      <c r="E2114" s="20"/>
      <c r="F2114" s="20"/>
      <c r="G2114" s="20"/>
      <c r="H2114" s="20"/>
      <c r="I2114" s="22"/>
    </row>
    <row r="2115" spans="1:9" ht="15">
      <c r="A2115" s="18"/>
      <c r="B2115" s="19"/>
      <c r="C2115" s="20"/>
      <c r="D2115" s="21"/>
      <c r="E2115" s="20"/>
      <c r="F2115" s="20"/>
      <c r="G2115" s="20"/>
      <c r="H2115" s="20"/>
      <c r="I2115" s="22"/>
    </row>
    <row r="2116" spans="1:9" ht="15">
      <c r="A2116" s="18"/>
      <c r="B2116" s="19"/>
      <c r="C2116" s="20"/>
      <c r="D2116" s="21"/>
      <c r="E2116" s="20"/>
      <c r="F2116" s="20"/>
      <c r="G2116" s="20"/>
      <c r="H2116" s="20"/>
      <c r="I2116" s="22"/>
    </row>
    <row r="2117" spans="1:9" ht="15">
      <c r="A2117" s="18"/>
      <c r="B2117" s="19"/>
      <c r="C2117" s="20"/>
      <c r="D2117" s="21"/>
      <c r="E2117" s="20"/>
      <c r="F2117" s="20"/>
      <c r="G2117" s="20"/>
      <c r="H2117" s="20"/>
      <c r="I2117" s="22"/>
    </row>
    <row r="2118" spans="1:9" ht="15">
      <c r="A2118" s="18"/>
      <c r="B2118" s="19"/>
      <c r="C2118" s="20"/>
      <c r="D2118" s="21"/>
      <c r="E2118" s="20"/>
      <c r="F2118" s="20"/>
      <c r="G2118" s="20"/>
      <c r="H2118" s="20"/>
      <c r="I2118" s="22"/>
    </row>
    <row r="2119" spans="1:9" ht="15">
      <c r="A2119" s="18"/>
      <c r="B2119" s="19"/>
      <c r="C2119" s="20"/>
      <c r="D2119" s="21"/>
      <c r="E2119" s="20"/>
      <c r="F2119" s="20"/>
      <c r="G2119" s="20"/>
      <c r="H2119" s="20"/>
      <c r="I2119" s="22"/>
    </row>
    <row r="2120" spans="1:9" ht="15">
      <c r="A2120" s="18"/>
      <c r="B2120" s="19"/>
      <c r="C2120" s="20"/>
      <c r="D2120" s="21"/>
      <c r="E2120" s="20"/>
      <c r="F2120" s="20"/>
      <c r="G2120" s="20"/>
      <c r="H2120" s="20"/>
      <c r="I2120" s="22"/>
    </row>
    <row r="2121" spans="1:9" ht="15">
      <c r="A2121" s="18"/>
      <c r="B2121" s="19"/>
      <c r="C2121" s="20"/>
      <c r="D2121" s="21"/>
      <c r="E2121" s="20"/>
      <c r="F2121" s="20"/>
      <c r="G2121" s="20"/>
      <c r="H2121" s="20"/>
      <c r="I2121" s="22"/>
    </row>
    <row r="2122" spans="1:9" ht="15">
      <c r="A2122" s="18"/>
      <c r="B2122" s="19"/>
      <c r="C2122" s="20"/>
      <c r="D2122" s="21"/>
      <c r="E2122" s="20"/>
      <c r="F2122" s="20"/>
      <c r="G2122" s="20"/>
      <c r="H2122" s="20"/>
      <c r="I2122" s="22"/>
    </row>
    <row r="2123" spans="1:9" ht="15">
      <c r="A2123" s="18"/>
      <c r="B2123" s="19"/>
      <c r="C2123" s="20"/>
      <c r="D2123" s="21"/>
      <c r="E2123" s="20"/>
      <c r="F2123" s="20"/>
      <c r="G2123" s="20"/>
      <c r="H2123" s="20"/>
      <c r="I2123" s="22"/>
    </row>
    <row r="2124" spans="1:9" ht="15">
      <c r="A2124" s="18"/>
      <c r="B2124" s="19"/>
      <c r="C2124" s="20"/>
      <c r="D2124" s="21"/>
      <c r="E2124" s="20"/>
      <c r="F2124" s="20"/>
      <c r="G2124" s="20"/>
      <c r="H2124" s="20"/>
      <c r="I2124" s="22"/>
    </row>
    <row r="2125" spans="1:9" ht="15">
      <c r="A2125" s="18"/>
      <c r="B2125" s="19"/>
      <c r="C2125" s="20"/>
      <c r="D2125" s="21"/>
      <c r="E2125" s="20"/>
      <c r="F2125" s="20"/>
      <c r="G2125" s="20"/>
      <c r="H2125" s="20"/>
      <c r="I2125" s="22"/>
    </row>
    <row r="2126" spans="1:9" ht="15">
      <c r="A2126" s="18"/>
      <c r="B2126" s="19"/>
      <c r="C2126" s="20"/>
      <c r="D2126" s="21"/>
      <c r="E2126" s="20"/>
      <c r="F2126" s="20"/>
      <c r="G2126" s="20"/>
      <c r="H2126" s="20"/>
      <c r="I2126" s="22"/>
    </row>
    <row r="2127" spans="1:9" ht="15">
      <c r="A2127" s="18"/>
      <c r="B2127" s="19"/>
      <c r="C2127" s="20"/>
      <c r="D2127" s="21"/>
      <c r="E2127" s="20"/>
      <c r="F2127" s="20"/>
      <c r="G2127" s="20"/>
      <c r="H2127" s="20"/>
      <c r="I2127" s="22"/>
    </row>
    <row r="2128" spans="1:9" ht="15">
      <c r="A2128" s="18"/>
      <c r="B2128" s="19"/>
      <c r="C2128" s="20"/>
      <c r="D2128" s="21"/>
      <c r="E2128" s="20"/>
      <c r="F2128" s="20"/>
      <c r="G2128" s="20"/>
      <c r="H2128" s="20"/>
      <c r="I2128" s="22"/>
    </row>
    <row r="2129" spans="1:9" ht="15">
      <c r="A2129" s="18"/>
      <c r="B2129" s="19"/>
      <c r="C2129" s="20"/>
      <c r="D2129" s="21"/>
      <c r="E2129" s="20"/>
      <c r="F2129" s="20"/>
      <c r="G2129" s="20"/>
      <c r="H2129" s="20"/>
      <c r="I2129" s="22"/>
    </row>
    <row r="2130" spans="1:9" ht="15">
      <c r="A2130" s="18"/>
      <c r="B2130" s="19"/>
      <c r="C2130" s="20"/>
      <c r="D2130" s="21"/>
      <c r="E2130" s="20"/>
      <c r="F2130" s="20"/>
      <c r="G2130" s="20"/>
      <c r="H2130" s="20"/>
      <c r="I2130" s="22"/>
    </row>
    <row r="2131" spans="1:9" ht="15">
      <c r="A2131" s="18"/>
      <c r="B2131" s="19"/>
      <c r="C2131" s="20"/>
      <c r="D2131" s="21"/>
      <c r="E2131" s="20"/>
      <c r="F2131" s="20"/>
      <c r="G2131" s="20"/>
      <c r="H2131" s="20"/>
      <c r="I2131" s="22"/>
    </row>
    <row r="2132" spans="1:9" ht="15">
      <c r="A2132" s="18"/>
      <c r="B2132" s="19"/>
      <c r="C2132" s="20"/>
      <c r="D2132" s="21"/>
      <c r="E2132" s="20"/>
      <c r="F2132" s="20"/>
      <c r="G2132" s="20"/>
      <c r="H2132" s="20"/>
      <c r="I2132" s="22"/>
    </row>
    <row r="2133" spans="1:9" ht="15">
      <c r="A2133" s="18"/>
      <c r="B2133" s="19"/>
      <c r="C2133" s="20"/>
      <c r="D2133" s="21"/>
      <c r="E2133" s="20"/>
      <c r="F2133" s="20"/>
      <c r="G2133" s="20"/>
      <c r="H2133" s="20"/>
      <c r="I2133" s="22"/>
    </row>
    <row r="2134" spans="1:9" ht="15">
      <c r="A2134" s="18"/>
      <c r="B2134" s="19"/>
      <c r="C2134" s="20"/>
      <c r="D2134" s="21"/>
      <c r="E2134" s="20"/>
      <c r="F2134" s="20"/>
      <c r="G2134" s="20"/>
      <c r="H2134" s="20"/>
      <c r="I2134" s="22"/>
    </row>
    <row r="2135" spans="1:9" ht="15">
      <c r="A2135" s="18"/>
      <c r="B2135" s="19"/>
      <c r="C2135" s="20"/>
      <c r="D2135" s="21"/>
      <c r="E2135" s="20"/>
      <c r="F2135" s="20"/>
      <c r="G2135" s="20"/>
      <c r="H2135" s="20"/>
      <c r="I2135" s="22"/>
    </row>
    <row r="2136" spans="1:9" ht="15">
      <c r="A2136" s="18"/>
      <c r="B2136" s="19"/>
      <c r="C2136" s="20"/>
      <c r="D2136" s="21"/>
      <c r="E2136" s="20"/>
      <c r="F2136" s="20"/>
      <c r="G2136" s="20"/>
      <c r="H2136" s="20"/>
      <c r="I2136" s="22"/>
    </row>
    <row r="2137" spans="1:9" ht="15">
      <c r="A2137" s="18"/>
      <c r="B2137" s="19"/>
      <c r="C2137" s="20"/>
      <c r="D2137" s="21"/>
      <c r="E2137" s="20"/>
      <c r="F2137" s="20"/>
      <c r="G2137" s="20"/>
      <c r="H2137" s="20"/>
      <c r="I2137" s="22"/>
    </row>
    <row r="2138" spans="1:9" ht="15">
      <c r="A2138" s="18"/>
      <c r="B2138" s="19"/>
      <c r="C2138" s="20"/>
      <c r="D2138" s="21"/>
      <c r="E2138" s="20"/>
      <c r="F2138" s="20"/>
      <c r="G2138" s="20"/>
      <c r="H2138" s="20"/>
      <c r="I2138" s="22"/>
    </row>
    <row r="2139" spans="1:9" ht="15">
      <c r="A2139" s="18"/>
      <c r="B2139" s="19"/>
      <c r="C2139" s="20"/>
      <c r="D2139" s="21"/>
      <c r="E2139" s="20"/>
      <c r="F2139" s="20"/>
      <c r="G2139" s="20"/>
      <c r="H2139" s="20"/>
      <c r="I2139" s="22"/>
    </row>
    <row r="2140" spans="1:9" ht="15">
      <c r="A2140" s="18"/>
      <c r="B2140" s="19"/>
      <c r="C2140" s="20"/>
      <c r="D2140" s="21"/>
      <c r="E2140" s="20"/>
      <c r="F2140" s="20"/>
      <c r="G2140" s="20"/>
      <c r="H2140" s="20"/>
      <c r="I2140" s="22"/>
    </row>
  </sheetData>
  <sheetProtection/>
  <mergeCells count="40">
    <mergeCell ref="C1915:I1915"/>
    <mergeCell ref="G1940:H1940"/>
    <mergeCell ref="C1785:I1785"/>
    <mergeCell ref="G1840:H1840"/>
    <mergeCell ref="C1841:I1841"/>
    <mergeCell ref="G1896:H1896"/>
    <mergeCell ref="C1897:I1897"/>
    <mergeCell ref="G943:H943"/>
    <mergeCell ref="C944:I944"/>
    <mergeCell ref="G1461:H1461"/>
    <mergeCell ref="C1462:I1462"/>
    <mergeCell ref="G1784:H1784"/>
    <mergeCell ref="G1914:H1914"/>
    <mergeCell ref="G104:H104"/>
    <mergeCell ref="G845:H845"/>
    <mergeCell ref="C846:I846"/>
    <mergeCell ref="G615:H615"/>
    <mergeCell ref="C616:I616"/>
    <mergeCell ref="G726:H726"/>
    <mergeCell ref="C727:I727"/>
    <mergeCell ref="C1:E1"/>
    <mergeCell ref="C2:E2"/>
    <mergeCell ref="C3:E3"/>
    <mergeCell ref="F3:I3"/>
    <mergeCell ref="C4:E4"/>
    <mergeCell ref="F4:I4"/>
    <mergeCell ref="F8:I8"/>
    <mergeCell ref="A9:I9"/>
    <mergeCell ref="A10:A11"/>
    <mergeCell ref="B10:B11"/>
    <mergeCell ref="C10:C11"/>
    <mergeCell ref="D10:D11"/>
    <mergeCell ref="E10:E11"/>
    <mergeCell ref="F10:I10"/>
    <mergeCell ref="C5:E5"/>
    <mergeCell ref="F5:I5"/>
    <mergeCell ref="C6:E6"/>
    <mergeCell ref="F6:I6"/>
    <mergeCell ref="C7:E7"/>
    <mergeCell ref="F7:I7"/>
  </mergeCells>
  <printOptions horizontalCentered="1"/>
  <pageMargins left="0.984251968503937" right="0.984251968503937" top="0.7874015748031497" bottom="0.7874015748031497" header="0.5118110236220472" footer="0.5118110236220472"/>
  <pageSetup fitToHeight="1000" horizontalDpi="600" verticalDpi="600" orientation="portrait" paperSize="9" scale="31" r:id="rId2"/>
  <headerFooter alignWithMargins="0">
    <oddFooter>&amp;C&amp;A&amp;RPágina &amp;P</oddFooter>
  </headerFooter>
  <rowBreaks count="2" manualBreakCount="2">
    <brk id="1637" max="8" man="1"/>
    <brk id="1676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6"/>
  <sheetViews>
    <sheetView view="pageBreakPreview" zoomScale="70" zoomScaleNormal="75" zoomScaleSheetLayoutView="70" zoomScalePageLayoutView="0" workbookViewId="0" topLeftCell="A1">
      <selection activeCell="H220" sqref="H220:I220"/>
    </sheetView>
  </sheetViews>
  <sheetFormatPr defaultColWidth="94.7109375" defaultRowHeight="15"/>
  <cols>
    <col min="1" max="1" width="6.8515625" style="389" customWidth="1"/>
    <col min="2" max="2" width="26.28125" style="390" customWidth="1"/>
    <col min="3" max="3" width="109.140625" style="391" customWidth="1"/>
    <col min="4" max="4" width="10.57421875" style="392" customWidth="1"/>
    <col min="5" max="5" width="24.00390625" style="391" customWidth="1"/>
    <col min="6" max="6" width="24.57421875" style="391" bestFit="1" customWidth="1"/>
    <col min="7" max="7" width="22.421875" style="391" customWidth="1"/>
    <col min="8" max="8" width="17.421875" style="391" bestFit="1" customWidth="1"/>
    <col min="9" max="9" width="17.57421875" style="393" bestFit="1" customWidth="1"/>
    <col min="10" max="10" width="21.8515625" style="336" customWidth="1"/>
    <col min="11" max="253" width="9.140625" style="336" customWidth="1"/>
    <col min="254" max="254" width="6.8515625" style="336" customWidth="1"/>
    <col min="255" max="255" width="26.28125" style="336" customWidth="1"/>
    <col min="256" max="16384" width="94.7109375" style="336" customWidth="1"/>
  </cols>
  <sheetData>
    <row r="1" spans="1:9" ht="15.75">
      <c r="A1" s="330"/>
      <c r="B1" s="331"/>
      <c r="C1" s="486" t="s">
        <v>0</v>
      </c>
      <c r="D1" s="486"/>
      <c r="E1" s="487"/>
      <c r="F1" s="332"/>
      <c r="G1" s="333"/>
      <c r="H1" s="334"/>
      <c r="I1" s="335"/>
    </row>
    <row r="2" spans="1:9" ht="15.75">
      <c r="A2" s="337"/>
      <c r="B2" s="338"/>
      <c r="C2" s="488" t="s">
        <v>1</v>
      </c>
      <c r="D2" s="488"/>
      <c r="E2" s="489"/>
      <c r="F2" s="339"/>
      <c r="G2" s="340"/>
      <c r="H2" s="341"/>
      <c r="I2" s="342"/>
    </row>
    <row r="3" spans="1:9" ht="15.75">
      <c r="A3" s="337"/>
      <c r="B3" s="338"/>
      <c r="C3" s="488" t="s">
        <v>2</v>
      </c>
      <c r="D3" s="488"/>
      <c r="E3" s="489"/>
      <c r="F3" s="490"/>
      <c r="G3" s="491"/>
      <c r="H3" s="491"/>
      <c r="I3" s="492"/>
    </row>
    <row r="4" spans="1:9" ht="39.75" customHeight="1">
      <c r="A4" s="337"/>
      <c r="B4" s="338"/>
      <c r="C4" s="493" t="s">
        <v>282</v>
      </c>
      <c r="D4" s="493"/>
      <c r="E4" s="494"/>
      <c r="F4" s="495" t="s">
        <v>1629</v>
      </c>
      <c r="G4" s="496"/>
      <c r="H4" s="496"/>
      <c r="I4" s="497"/>
    </row>
    <row r="5" spans="1:9" ht="23.25" customHeight="1">
      <c r="A5" s="337"/>
      <c r="B5" s="338"/>
      <c r="C5" s="493" t="s">
        <v>1005</v>
      </c>
      <c r="D5" s="493"/>
      <c r="E5" s="494"/>
      <c r="F5" s="498" t="s">
        <v>283</v>
      </c>
      <c r="G5" s="499"/>
      <c r="H5" s="499"/>
      <c r="I5" s="500"/>
    </row>
    <row r="6" spans="1:9" ht="15.75">
      <c r="A6" s="337"/>
      <c r="B6" s="338"/>
      <c r="C6" s="488" t="s">
        <v>280</v>
      </c>
      <c r="D6" s="488"/>
      <c r="E6" s="489"/>
      <c r="F6" s="501" t="s">
        <v>284</v>
      </c>
      <c r="G6" s="502"/>
      <c r="H6" s="502"/>
      <c r="I6" s="503"/>
    </row>
    <row r="7" spans="1:9" ht="15.75">
      <c r="A7" s="337"/>
      <c r="B7" s="338"/>
      <c r="C7" s="504"/>
      <c r="D7" s="504"/>
      <c r="E7" s="505"/>
      <c r="F7" s="501" t="s">
        <v>41</v>
      </c>
      <c r="G7" s="502"/>
      <c r="H7" s="502"/>
      <c r="I7" s="503"/>
    </row>
    <row r="8" spans="1:9" ht="15.75">
      <c r="A8" s="343"/>
      <c r="B8" s="344"/>
      <c r="C8" s="345"/>
      <c r="D8" s="346"/>
      <c r="E8" s="347"/>
      <c r="F8" s="506" t="s">
        <v>3</v>
      </c>
      <c r="G8" s="507"/>
      <c r="H8" s="507"/>
      <c r="I8" s="508"/>
    </row>
    <row r="9" spans="1:9" ht="18" customHeight="1">
      <c r="A9" s="509" t="s">
        <v>1479</v>
      </c>
      <c r="B9" s="510"/>
      <c r="C9" s="510"/>
      <c r="D9" s="510"/>
      <c r="E9" s="510"/>
      <c r="F9" s="510"/>
      <c r="G9" s="510"/>
      <c r="H9" s="510"/>
      <c r="I9" s="510"/>
    </row>
    <row r="10" spans="1:9" ht="15.75">
      <c r="A10" s="511" t="s">
        <v>4</v>
      </c>
      <c r="B10" s="512" t="s">
        <v>5</v>
      </c>
      <c r="C10" s="513" t="s">
        <v>6</v>
      </c>
      <c r="D10" s="511" t="s">
        <v>7</v>
      </c>
      <c r="E10" s="514" t="s">
        <v>8</v>
      </c>
      <c r="F10" s="515" t="s">
        <v>9</v>
      </c>
      <c r="G10" s="515"/>
      <c r="H10" s="515"/>
      <c r="I10" s="515"/>
    </row>
    <row r="11" spans="1:9" ht="15.75">
      <c r="A11" s="511"/>
      <c r="B11" s="512"/>
      <c r="C11" s="513"/>
      <c r="D11" s="511"/>
      <c r="E11" s="514"/>
      <c r="F11" s="350" t="s">
        <v>10</v>
      </c>
      <c r="G11" s="350" t="s">
        <v>11</v>
      </c>
      <c r="H11" s="350" t="s">
        <v>12</v>
      </c>
      <c r="I11" s="349" t="s">
        <v>13</v>
      </c>
    </row>
    <row r="12" spans="1:9" ht="14.25" customHeight="1">
      <c r="A12" s="348" t="s">
        <v>14</v>
      </c>
      <c r="B12" s="367"/>
      <c r="C12" s="351" t="s">
        <v>15</v>
      </c>
      <c r="D12" s="351"/>
      <c r="E12" s="351"/>
      <c r="F12" s="351"/>
      <c r="G12" s="351"/>
      <c r="H12" s="351"/>
      <c r="I12" s="351"/>
    </row>
    <row r="13" spans="1:9" ht="30">
      <c r="A13" s="352" t="s">
        <v>16</v>
      </c>
      <c r="B13" s="353" t="s">
        <v>246</v>
      </c>
      <c r="C13" s="354" t="s">
        <v>281</v>
      </c>
      <c r="D13" s="355" t="s">
        <v>17</v>
      </c>
      <c r="E13" s="356">
        <v>6</v>
      </c>
      <c r="F13" s="357">
        <f>TRUNC('MEMÓRIA DESONERADA'!F13,2)</f>
        <v>122.69</v>
      </c>
      <c r="G13" s="357">
        <f aca="true" t="shared" si="0" ref="G13:G25">TRUNC(F13*1.2882,2)</f>
        <v>158.04</v>
      </c>
      <c r="H13" s="357">
        <f aca="true" t="shared" si="1" ref="H13:H25">TRUNC(F13*E13,2)</f>
        <v>736.14</v>
      </c>
      <c r="I13" s="358">
        <f aca="true" t="shared" si="2" ref="I13:I25">TRUNC(E13*G13,2)</f>
        <v>948.24</v>
      </c>
    </row>
    <row r="14" spans="1:9" ht="15">
      <c r="A14" s="352" t="s">
        <v>53</v>
      </c>
      <c r="B14" s="353" t="s">
        <v>361</v>
      </c>
      <c r="C14" s="354" t="s">
        <v>362</v>
      </c>
      <c r="D14" s="355" t="s">
        <v>7</v>
      </c>
      <c r="E14" s="356">
        <v>31</v>
      </c>
      <c r="F14" s="357">
        <f>TRUNC('MEMÓRIA DESONERADA'!F18,2)</f>
        <v>23.12</v>
      </c>
      <c r="G14" s="357">
        <f t="shared" si="0"/>
        <v>29.78</v>
      </c>
      <c r="H14" s="357">
        <f t="shared" si="1"/>
        <v>716.72</v>
      </c>
      <c r="I14" s="358">
        <f t="shared" si="2"/>
        <v>923.18</v>
      </c>
    </row>
    <row r="15" spans="1:10" ht="30">
      <c r="A15" s="352" t="s">
        <v>54</v>
      </c>
      <c r="B15" s="353" t="s">
        <v>365</v>
      </c>
      <c r="C15" s="354" t="s">
        <v>366</v>
      </c>
      <c r="D15" s="355" t="s">
        <v>17</v>
      </c>
      <c r="E15" s="356">
        <v>24.89</v>
      </c>
      <c r="F15" s="357">
        <f>TRUNC('MEMÓRIA DESONERADA'!F23,2)</f>
        <v>15.96</v>
      </c>
      <c r="G15" s="357">
        <f t="shared" si="0"/>
        <v>20.55</v>
      </c>
      <c r="H15" s="357">
        <f t="shared" si="1"/>
        <v>397.24</v>
      </c>
      <c r="I15" s="358">
        <f t="shared" si="2"/>
        <v>511.48</v>
      </c>
      <c r="J15" s="336">
        <f>24.89*0.05*2*1.25</f>
        <v>3.1112500000000005</v>
      </c>
    </row>
    <row r="16" spans="1:10" ht="30">
      <c r="A16" s="352" t="s">
        <v>55</v>
      </c>
      <c r="B16" s="353" t="s">
        <v>367</v>
      </c>
      <c r="C16" s="354" t="s">
        <v>368</v>
      </c>
      <c r="D16" s="355" t="s">
        <v>17</v>
      </c>
      <c r="E16" s="356">
        <v>96.38</v>
      </c>
      <c r="F16" s="357">
        <f>TRUNC('MEMÓRIA DESONERADA'!F28,2)</f>
        <v>24.51</v>
      </c>
      <c r="G16" s="357">
        <f t="shared" si="0"/>
        <v>31.57</v>
      </c>
      <c r="H16" s="357">
        <f t="shared" si="1"/>
        <v>2362.27</v>
      </c>
      <c r="I16" s="358">
        <f t="shared" si="2"/>
        <v>3042.71</v>
      </c>
      <c r="J16" s="336">
        <f>96.38*0.1*2*1.3</f>
        <v>25.0588</v>
      </c>
    </row>
    <row r="17" spans="1:10" ht="45">
      <c r="A17" s="359" t="s">
        <v>56</v>
      </c>
      <c r="B17" s="360" t="s">
        <v>369</v>
      </c>
      <c r="C17" s="361" t="s">
        <v>370</v>
      </c>
      <c r="D17" s="362" t="s">
        <v>48</v>
      </c>
      <c r="E17" s="358">
        <f>19.66*3.33*0.2</f>
        <v>13.09356</v>
      </c>
      <c r="F17" s="357">
        <f>TRUNC('MEMÓRIA DESONERADA'!F32,2)</f>
        <v>172.75</v>
      </c>
      <c r="G17" s="357">
        <f t="shared" si="0"/>
        <v>222.53</v>
      </c>
      <c r="H17" s="357">
        <f t="shared" si="1"/>
        <v>2261.91</v>
      </c>
      <c r="I17" s="358">
        <f t="shared" si="2"/>
        <v>2913.7</v>
      </c>
      <c r="J17" s="336">
        <f>13.09*2.2*1.3</f>
        <v>37.437400000000004</v>
      </c>
    </row>
    <row r="18" spans="1:10" ht="30">
      <c r="A18" s="352" t="s">
        <v>57</v>
      </c>
      <c r="B18" s="353" t="s">
        <v>375</v>
      </c>
      <c r="C18" s="354" t="s">
        <v>376</v>
      </c>
      <c r="D18" s="355" t="s">
        <v>48</v>
      </c>
      <c r="E18" s="356">
        <v>39.54</v>
      </c>
      <c r="F18" s="357">
        <f>TRUNC('MEMÓRIA DESONERADA'!F37,2)</f>
        <v>336.94</v>
      </c>
      <c r="G18" s="357">
        <f t="shared" si="0"/>
        <v>434.04</v>
      </c>
      <c r="H18" s="357">
        <f t="shared" si="1"/>
        <v>13322.6</v>
      </c>
      <c r="I18" s="358">
        <f t="shared" si="2"/>
        <v>17161.94</v>
      </c>
      <c r="J18" s="336">
        <f>39.54*2.4*1.3</f>
        <v>123.3648</v>
      </c>
    </row>
    <row r="19" spans="1:10" ht="30">
      <c r="A19" s="352" t="s">
        <v>60</v>
      </c>
      <c r="B19" s="353" t="s">
        <v>383</v>
      </c>
      <c r="C19" s="354" t="s">
        <v>384</v>
      </c>
      <c r="D19" s="355" t="s">
        <v>48</v>
      </c>
      <c r="E19" s="356">
        <v>38.52</v>
      </c>
      <c r="F19" s="357">
        <f>TRUNC('MEMÓRIA DESONERADA'!F45,2)</f>
        <v>83.73</v>
      </c>
      <c r="G19" s="357">
        <f t="shared" si="0"/>
        <v>107.86</v>
      </c>
      <c r="H19" s="357">
        <f t="shared" si="1"/>
        <v>3225.27</v>
      </c>
      <c r="I19" s="358">
        <f t="shared" si="2"/>
        <v>4154.76</v>
      </c>
      <c r="J19" s="336">
        <f>38.52*1.8*1.3</f>
        <v>90.13680000000002</v>
      </c>
    </row>
    <row r="20" spans="1:10" ht="45">
      <c r="A20" s="352" t="s">
        <v>61</v>
      </c>
      <c r="B20" s="353" t="s">
        <v>1091</v>
      </c>
      <c r="C20" s="354" t="s">
        <v>1090</v>
      </c>
      <c r="D20" s="355" t="s">
        <v>17</v>
      </c>
      <c r="E20" s="356">
        <v>84.89</v>
      </c>
      <c r="F20" s="357">
        <f>TRUNC('MEMÓRIA DESONERADA'!F50,2)</f>
        <v>27.78</v>
      </c>
      <c r="G20" s="357">
        <f t="shared" si="0"/>
        <v>35.78</v>
      </c>
      <c r="H20" s="357">
        <f t="shared" si="1"/>
        <v>2358.24</v>
      </c>
      <c r="I20" s="358">
        <f t="shared" si="2"/>
        <v>3037.36</v>
      </c>
      <c r="J20" s="336">
        <f>84.89*0.05*1.8*1.3</f>
        <v>9.932130000000003</v>
      </c>
    </row>
    <row r="21" spans="1:10" ht="30">
      <c r="A21" s="352" t="s">
        <v>64</v>
      </c>
      <c r="B21" s="353" t="s">
        <v>1094</v>
      </c>
      <c r="C21" s="354" t="s">
        <v>1095</v>
      </c>
      <c r="D21" s="355" t="s">
        <v>17</v>
      </c>
      <c r="E21" s="356">
        <v>24.89</v>
      </c>
      <c r="F21" s="357">
        <f>TRUNC('MEMÓRIA DESONERADA'!F57,2)</f>
        <v>14.18</v>
      </c>
      <c r="G21" s="357">
        <f t="shared" si="0"/>
        <v>18.26</v>
      </c>
      <c r="H21" s="357">
        <f t="shared" si="1"/>
        <v>352.94</v>
      </c>
      <c r="I21" s="358">
        <f t="shared" si="2"/>
        <v>454.49</v>
      </c>
      <c r="J21" s="336">
        <f>24.89*0.05*1.8*1.3</f>
        <v>2.9121300000000008</v>
      </c>
    </row>
    <row r="22" spans="1:9" ht="45">
      <c r="A22" s="352" t="s">
        <v>65</v>
      </c>
      <c r="B22" s="353" t="s">
        <v>1184</v>
      </c>
      <c r="C22" s="354" t="s">
        <v>1185</v>
      </c>
      <c r="D22" s="355" t="s">
        <v>17</v>
      </c>
      <c r="E22" s="356">
        <f>24.5*2</f>
        <v>49</v>
      </c>
      <c r="F22" s="357">
        <f>TRUNC('MEMÓRIA DESONERADA'!F64,2)</f>
        <v>35.62</v>
      </c>
      <c r="G22" s="357">
        <f t="shared" si="0"/>
        <v>45.88</v>
      </c>
      <c r="H22" s="357">
        <f t="shared" si="1"/>
        <v>1745.38</v>
      </c>
      <c r="I22" s="358">
        <f t="shared" si="2"/>
        <v>2248.12</v>
      </c>
    </row>
    <row r="23" spans="1:9" ht="45">
      <c r="A23" s="359" t="s">
        <v>66</v>
      </c>
      <c r="B23" s="360" t="s">
        <v>1188</v>
      </c>
      <c r="C23" s="361" t="s">
        <v>1189</v>
      </c>
      <c r="D23" s="362" t="s">
        <v>7</v>
      </c>
      <c r="E23" s="358">
        <v>1</v>
      </c>
      <c r="F23" s="357">
        <f>TRUNC('MEMÓRIA DESONERADA'!F72,2)</f>
        <v>5235.42</v>
      </c>
      <c r="G23" s="357">
        <f t="shared" si="0"/>
        <v>6744.26</v>
      </c>
      <c r="H23" s="357">
        <f t="shared" si="1"/>
        <v>5235.42</v>
      </c>
      <c r="I23" s="358">
        <f t="shared" si="2"/>
        <v>6744.26</v>
      </c>
    </row>
    <row r="24" spans="1:9" ht="45">
      <c r="A24" s="359" t="s">
        <v>67</v>
      </c>
      <c r="B24" s="360" t="s">
        <v>1204</v>
      </c>
      <c r="C24" s="361" t="s">
        <v>1205</v>
      </c>
      <c r="D24" s="362" t="s">
        <v>23</v>
      </c>
      <c r="E24" s="358">
        <v>80</v>
      </c>
      <c r="F24" s="357">
        <f>TRUNC('MEMÓRIA DESONERADA'!F83,2)</f>
        <v>112.75</v>
      </c>
      <c r="G24" s="357">
        <f t="shared" si="0"/>
        <v>145.24</v>
      </c>
      <c r="H24" s="357">
        <f t="shared" si="1"/>
        <v>9020</v>
      </c>
      <c r="I24" s="358">
        <f t="shared" si="2"/>
        <v>11619.2</v>
      </c>
    </row>
    <row r="25" spans="1:9" ht="30">
      <c r="A25" s="363" t="s">
        <v>68</v>
      </c>
      <c r="B25" s="360" t="s">
        <v>1210</v>
      </c>
      <c r="C25" s="361" t="s">
        <v>1211</v>
      </c>
      <c r="D25" s="362" t="s">
        <v>7</v>
      </c>
      <c r="E25" s="358">
        <v>1</v>
      </c>
      <c r="F25" s="357">
        <f>TRUNC('MEMÓRIA DESONERADA'!F88,2)</f>
        <v>6863.8</v>
      </c>
      <c r="G25" s="357">
        <f t="shared" si="0"/>
        <v>8841.94</v>
      </c>
      <c r="H25" s="357">
        <f t="shared" si="1"/>
        <v>6863.8</v>
      </c>
      <c r="I25" s="358">
        <f t="shared" si="2"/>
        <v>8841.94</v>
      </c>
    </row>
    <row r="26" spans="1:9" ht="45">
      <c r="A26" s="359" t="s">
        <v>1546</v>
      </c>
      <c r="B26" s="360" t="s">
        <v>1547</v>
      </c>
      <c r="C26" s="361" t="s">
        <v>1548</v>
      </c>
      <c r="D26" s="362" t="s">
        <v>17</v>
      </c>
      <c r="E26" s="358">
        <v>355.26</v>
      </c>
      <c r="F26" s="357">
        <f>TRUNC('MEMÓRIA DESONERADA'!F99,2)</f>
        <v>14.21</v>
      </c>
      <c r="G26" s="357">
        <f>TRUNC(F26*1.2882,2)</f>
        <v>18.3</v>
      </c>
      <c r="H26" s="357">
        <f>TRUNC(F26*E26,2)</f>
        <v>5048.24</v>
      </c>
      <c r="I26" s="358">
        <f>TRUNC(E26*G26,2)</f>
        <v>6501.25</v>
      </c>
    </row>
    <row r="27" spans="1:9" s="366" customFormat="1" ht="15.75">
      <c r="A27" s="348" t="s">
        <v>18</v>
      </c>
      <c r="B27" s="364"/>
      <c r="C27" s="224"/>
      <c r="D27" s="348"/>
      <c r="E27" s="93"/>
      <c r="F27" s="365"/>
      <c r="G27" s="396" t="s">
        <v>74</v>
      </c>
      <c r="H27" s="365">
        <f>SUM(H13:H26)</f>
        <v>53646.17</v>
      </c>
      <c r="I27" s="365">
        <f>SUM(I13:I26)</f>
        <v>69102.63</v>
      </c>
    </row>
    <row r="28" spans="1:9" ht="14.25" customHeight="1">
      <c r="A28" s="348" t="s">
        <v>19</v>
      </c>
      <c r="B28" s="367"/>
      <c r="C28" s="394" t="s">
        <v>73</v>
      </c>
      <c r="D28" s="351"/>
      <c r="E28" s="351"/>
      <c r="F28" s="351"/>
      <c r="G28" s="351"/>
      <c r="H28" s="351"/>
      <c r="I28" s="351"/>
    </row>
    <row r="29" spans="1:9" ht="45">
      <c r="A29" s="352" t="s">
        <v>75</v>
      </c>
      <c r="B29" s="353" t="s">
        <v>826</v>
      </c>
      <c r="C29" s="386" t="s">
        <v>827</v>
      </c>
      <c r="D29" s="387" t="s">
        <v>17</v>
      </c>
      <c r="E29" s="387">
        <v>369.7</v>
      </c>
      <c r="F29" s="357">
        <f>TRUNC('MEMÓRIA DESONERADA'!F107,2)</f>
        <v>72.22</v>
      </c>
      <c r="G29" s="357">
        <f aca="true" t="shared" si="3" ref="G29:G34">TRUNC(F29*1.2882,2)</f>
        <v>93.03</v>
      </c>
      <c r="H29" s="357">
        <f aca="true" t="shared" si="4" ref="H29:H34">TRUNC(F29*E29,2)</f>
        <v>26699.73</v>
      </c>
      <c r="I29" s="358">
        <f aca="true" t="shared" si="5" ref="I29:I34">TRUNC(E29*G29,2)</f>
        <v>34393.19</v>
      </c>
    </row>
    <row r="30" spans="1:9" ht="45">
      <c r="A30" s="359" t="s">
        <v>245</v>
      </c>
      <c r="B30" s="360" t="s">
        <v>838</v>
      </c>
      <c r="C30" s="386" t="s">
        <v>839</v>
      </c>
      <c r="D30" s="362" t="s">
        <v>48</v>
      </c>
      <c r="E30" s="358">
        <v>25.67</v>
      </c>
      <c r="F30" s="357">
        <f>TRUNC('MEMÓRIA DESONERADA'!F117,2)</f>
        <v>614.09</v>
      </c>
      <c r="G30" s="357">
        <f t="shared" si="3"/>
        <v>791.07</v>
      </c>
      <c r="H30" s="357">
        <f t="shared" si="4"/>
        <v>15763.69</v>
      </c>
      <c r="I30" s="358">
        <f t="shared" si="5"/>
        <v>20306.76</v>
      </c>
    </row>
    <row r="31" spans="1:9" ht="30">
      <c r="A31" s="359" t="s">
        <v>850</v>
      </c>
      <c r="B31" s="360" t="s">
        <v>851</v>
      </c>
      <c r="C31" s="361" t="s">
        <v>852</v>
      </c>
      <c r="D31" s="362" t="s">
        <v>17</v>
      </c>
      <c r="E31" s="358">
        <v>25.34</v>
      </c>
      <c r="F31" s="357">
        <f>TRUNC('MEMÓRIA DESONERADA'!F125,2)</f>
        <v>126.42</v>
      </c>
      <c r="G31" s="357">
        <f t="shared" si="3"/>
        <v>162.85</v>
      </c>
      <c r="H31" s="357">
        <f t="shared" si="4"/>
        <v>3203.48</v>
      </c>
      <c r="I31" s="358">
        <f t="shared" si="5"/>
        <v>4126.61</v>
      </c>
    </row>
    <row r="32" spans="1:9" ht="30">
      <c r="A32" s="352" t="s">
        <v>859</v>
      </c>
      <c r="B32" s="353" t="s">
        <v>860</v>
      </c>
      <c r="C32" s="386" t="s">
        <v>861</v>
      </c>
      <c r="D32" s="387" t="s">
        <v>44</v>
      </c>
      <c r="E32" s="387">
        <v>527</v>
      </c>
      <c r="F32" s="357">
        <f>TRUNC('MEMÓRIA DESONERADA'!F131,2)</f>
        <v>16.23</v>
      </c>
      <c r="G32" s="357">
        <f t="shared" si="3"/>
        <v>20.9</v>
      </c>
      <c r="H32" s="357">
        <f t="shared" si="4"/>
        <v>8553.21</v>
      </c>
      <c r="I32" s="358">
        <f t="shared" si="5"/>
        <v>11014.3</v>
      </c>
    </row>
    <row r="33" spans="1:9" ht="60">
      <c r="A33" s="359" t="s">
        <v>882</v>
      </c>
      <c r="B33" s="367" t="s">
        <v>870</v>
      </c>
      <c r="C33" s="223" t="s">
        <v>871</v>
      </c>
      <c r="D33" s="359" t="s">
        <v>44</v>
      </c>
      <c r="E33" s="89">
        <v>1252</v>
      </c>
      <c r="F33" s="357">
        <f>TRUNC('MEMÓRIA DESONERADA'!F139,2)</f>
        <v>7.84</v>
      </c>
      <c r="G33" s="357">
        <f t="shared" si="3"/>
        <v>10.09</v>
      </c>
      <c r="H33" s="357">
        <f t="shared" si="4"/>
        <v>9815.68</v>
      </c>
      <c r="I33" s="358">
        <f t="shared" si="5"/>
        <v>12632.68</v>
      </c>
    </row>
    <row r="34" spans="1:9" ht="30">
      <c r="A34" s="359" t="s">
        <v>883</v>
      </c>
      <c r="B34" s="367" t="s">
        <v>878</v>
      </c>
      <c r="C34" s="223" t="s">
        <v>879</v>
      </c>
      <c r="D34" s="359" t="s">
        <v>44</v>
      </c>
      <c r="E34" s="89">
        <v>1252</v>
      </c>
      <c r="F34" s="357">
        <f>TRUNC('MEMÓRIA DESONERADA'!F146,2)</f>
        <v>4.08</v>
      </c>
      <c r="G34" s="357">
        <f t="shared" si="3"/>
        <v>5.25</v>
      </c>
      <c r="H34" s="357">
        <f t="shared" si="4"/>
        <v>5108.16</v>
      </c>
      <c r="I34" s="358">
        <f t="shared" si="5"/>
        <v>6573</v>
      </c>
    </row>
    <row r="35" spans="1:9" ht="14.25" customHeight="1">
      <c r="A35" s="348" t="s">
        <v>943</v>
      </c>
      <c r="B35" s="367"/>
      <c r="C35" s="394" t="s">
        <v>884</v>
      </c>
      <c r="D35" s="395"/>
      <c r="E35" s="395"/>
      <c r="F35" s="395"/>
      <c r="G35" s="395"/>
      <c r="H35" s="395"/>
      <c r="I35" s="395"/>
    </row>
    <row r="36" spans="1:9" ht="45">
      <c r="A36" s="352" t="s">
        <v>1330</v>
      </c>
      <c r="B36" s="353" t="s">
        <v>826</v>
      </c>
      <c r="C36" s="386" t="s">
        <v>827</v>
      </c>
      <c r="D36" s="387" t="s">
        <v>17</v>
      </c>
      <c r="E36" s="387">
        <v>47.28</v>
      </c>
      <c r="F36" s="357">
        <f>TRUNC('MEMÓRIA DESONERADA'!F152,2)</f>
        <v>72.22</v>
      </c>
      <c r="G36" s="357">
        <f aca="true" t="shared" si="6" ref="G36:G42">TRUNC(F36*1.2882,2)</f>
        <v>93.03</v>
      </c>
      <c r="H36" s="357">
        <f aca="true" t="shared" si="7" ref="H36:H42">TRUNC(F36*E36,2)</f>
        <v>3414.56</v>
      </c>
      <c r="I36" s="358">
        <f aca="true" t="shared" si="8" ref="I36:I42">TRUNC(E36*G36,2)</f>
        <v>4398.45</v>
      </c>
    </row>
    <row r="37" spans="1:9" ht="45">
      <c r="A37" s="359" t="s">
        <v>1331</v>
      </c>
      <c r="B37" s="360" t="s">
        <v>838</v>
      </c>
      <c r="C37" s="386" t="s">
        <v>839</v>
      </c>
      <c r="D37" s="362" t="s">
        <v>48</v>
      </c>
      <c r="E37" s="358">
        <v>10.84</v>
      </c>
      <c r="F37" s="357">
        <f>TRUNC('MEMÓRIA DESONERADA'!F162,2)</f>
        <v>614.09</v>
      </c>
      <c r="G37" s="357">
        <f t="shared" si="6"/>
        <v>791.07</v>
      </c>
      <c r="H37" s="357">
        <f t="shared" si="7"/>
        <v>6656.73</v>
      </c>
      <c r="I37" s="358">
        <f t="shared" si="8"/>
        <v>8575.19</v>
      </c>
    </row>
    <row r="38" spans="1:9" ht="30">
      <c r="A38" s="352" t="s">
        <v>1332</v>
      </c>
      <c r="B38" s="353" t="s">
        <v>860</v>
      </c>
      <c r="C38" s="386" t="s">
        <v>861</v>
      </c>
      <c r="D38" s="387" t="s">
        <v>44</v>
      </c>
      <c r="E38" s="387">
        <v>28.41</v>
      </c>
      <c r="F38" s="357">
        <f>TRUNC('MEMÓRIA DESONERADA'!F170,2)</f>
        <v>16.23</v>
      </c>
      <c r="G38" s="357">
        <f t="shared" si="6"/>
        <v>20.9</v>
      </c>
      <c r="H38" s="357">
        <f t="shared" si="7"/>
        <v>461.09</v>
      </c>
      <c r="I38" s="358">
        <f t="shared" si="8"/>
        <v>593.76</v>
      </c>
    </row>
    <row r="39" spans="1:9" ht="60">
      <c r="A39" s="359" t="s">
        <v>1333</v>
      </c>
      <c r="B39" s="367" t="s">
        <v>870</v>
      </c>
      <c r="C39" s="223" t="s">
        <v>871</v>
      </c>
      <c r="D39" s="359" t="s">
        <v>44</v>
      </c>
      <c r="E39" s="89">
        <v>615.43</v>
      </c>
      <c r="F39" s="357">
        <f>TRUNC('MEMÓRIA DESONERADA'!F178,2)</f>
        <v>7.84</v>
      </c>
      <c r="G39" s="357">
        <f t="shared" si="6"/>
        <v>10.09</v>
      </c>
      <c r="H39" s="357">
        <f t="shared" si="7"/>
        <v>4824.97</v>
      </c>
      <c r="I39" s="358">
        <f t="shared" si="8"/>
        <v>6209.68</v>
      </c>
    </row>
    <row r="40" spans="1:9" ht="30">
      <c r="A40" s="359" t="s">
        <v>1334</v>
      </c>
      <c r="B40" s="367" t="s">
        <v>878</v>
      </c>
      <c r="C40" s="223" t="s">
        <v>879</v>
      </c>
      <c r="D40" s="359" t="s">
        <v>44</v>
      </c>
      <c r="E40" s="89">
        <v>615.43</v>
      </c>
      <c r="F40" s="357">
        <f>TRUNC('MEMÓRIA DESONERADA'!F185,2)</f>
        <v>4.08</v>
      </c>
      <c r="G40" s="357">
        <f t="shared" si="6"/>
        <v>5.25</v>
      </c>
      <c r="H40" s="357">
        <f t="shared" si="7"/>
        <v>2510.95</v>
      </c>
      <c r="I40" s="358">
        <f t="shared" si="8"/>
        <v>3231</v>
      </c>
    </row>
    <row r="41" spans="1:9" ht="30">
      <c r="A41" s="359" t="s">
        <v>1335</v>
      </c>
      <c r="B41" s="367" t="s">
        <v>1098</v>
      </c>
      <c r="C41" s="223" t="s">
        <v>1099</v>
      </c>
      <c r="D41" s="359" t="s">
        <v>17</v>
      </c>
      <c r="E41" s="89">
        <v>210.5</v>
      </c>
      <c r="F41" s="357">
        <f>TRUNC('MEMÓRIA DESONERADA'!F190,2)</f>
        <v>196.57</v>
      </c>
      <c r="G41" s="357">
        <f t="shared" si="6"/>
        <v>253.22</v>
      </c>
      <c r="H41" s="357">
        <f t="shared" si="7"/>
        <v>41377.98</v>
      </c>
      <c r="I41" s="358">
        <f t="shared" si="8"/>
        <v>53302.81</v>
      </c>
    </row>
    <row r="42" spans="1:9" ht="30">
      <c r="A42" s="359" t="s">
        <v>1336</v>
      </c>
      <c r="B42" s="367" t="s">
        <v>1112</v>
      </c>
      <c r="C42" s="223" t="s">
        <v>1113</v>
      </c>
      <c r="D42" s="359" t="s">
        <v>17</v>
      </c>
      <c r="E42" s="89">
        <v>210.5</v>
      </c>
      <c r="F42" s="357">
        <f>TRUNC('MEMÓRIA DESONERADA'!F201,2)</f>
        <v>193.14</v>
      </c>
      <c r="G42" s="357">
        <f t="shared" si="6"/>
        <v>248.8</v>
      </c>
      <c r="H42" s="357">
        <f t="shared" si="7"/>
        <v>40655.97</v>
      </c>
      <c r="I42" s="358">
        <f t="shared" si="8"/>
        <v>52372.4</v>
      </c>
    </row>
    <row r="43" spans="1:9" s="374" customFormat="1" ht="15.75">
      <c r="A43" s="368" t="s">
        <v>943</v>
      </c>
      <c r="B43" s="369"/>
      <c r="C43" s="368" t="s">
        <v>982</v>
      </c>
      <c r="D43" s="370"/>
      <c r="E43" s="371"/>
      <c r="F43" s="372"/>
      <c r="G43" s="373"/>
      <c r="H43" s="373"/>
      <c r="I43" s="373"/>
    </row>
    <row r="44" spans="1:13" s="379" customFormat="1" ht="30">
      <c r="A44" s="375" t="s">
        <v>1337</v>
      </c>
      <c r="B44" s="375" t="s">
        <v>904</v>
      </c>
      <c r="C44" s="376" t="s">
        <v>885</v>
      </c>
      <c r="D44" s="375" t="s">
        <v>48</v>
      </c>
      <c r="E44" s="375">
        <v>190.13</v>
      </c>
      <c r="F44" s="377">
        <f>TRUNC('MEMÓRIA DESONERADA'!F211,2)</f>
        <v>6.82</v>
      </c>
      <c r="G44" s="377">
        <f aca="true" t="shared" si="9" ref="G44:G49">TRUNC(F44*1.2247,2)</f>
        <v>8.35</v>
      </c>
      <c r="H44" s="377">
        <f aca="true" t="shared" si="10" ref="H44:H49">E44*F44</f>
        <v>1296.6866</v>
      </c>
      <c r="I44" s="377">
        <f aca="true" t="shared" si="11" ref="I44:I49">TRUNC((E44*G44),2)</f>
        <v>1587.58</v>
      </c>
      <c r="J44" s="378">
        <f>E44*1.3</f>
        <v>247.169</v>
      </c>
      <c r="K44" s="378"/>
      <c r="L44" s="378"/>
      <c r="M44" s="378"/>
    </row>
    <row r="45" spans="1:13" s="379" customFormat="1" ht="30">
      <c r="A45" s="375" t="s">
        <v>1338</v>
      </c>
      <c r="B45" s="375" t="s">
        <v>976</v>
      </c>
      <c r="C45" s="376" t="s">
        <v>977</v>
      </c>
      <c r="D45" s="375" t="s">
        <v>23</v>
      </c>
      <c r="E45" s="380">
        <v>22</v>
      </c>
      <c r="F45" s="377">
        <f>TRUNC('MEMÓRIA DESONERADA'!F217,2)</f>
        <v>154.05</v>
      </c>
      <c r="G45" s="377">
        <f t="shared" si="9"/>
        <v>188.66</v>
      </c>
      <c r="H45" s="377">
        <f t="shared" si="10"/>
        <v>3389.1000000000004</v>
      </c>
      <c r="I45" s="377">
        <f t="shared" si="11"/>
        <v>4150.52</v>
      </c>
      <c r="J45" s="378">
        <f>E45*3.1416*0.15*0.15</f>
        <v>1.555092</v>
      </c>
      <c r="K45" s="378"/>
      <c r="L45" s="378"/>
      <c r="M45" s="378"/>
    </row>
    <row r="46" spans="1:13" s="383" customFormat="1" ht="45">
      <c r="A46" s="380" t="s">
        <v>1340</v>
      </c>
      <c r="B46" s="380" t="s">
        <v>1126</v>
      </c>
      <c r="C46" s="382" t="s">
        <v>1136</v>
      </c>
      <c r="D46" s="380" t="s">
        <v>17</v>
      </c>
      <c r="E46" s="380">
        <v>78</v>
      </c>
      <c r="F46" s="377">
        <f>TRUNC('MEMÓRIA DESONERADA'!F225,2)</f>
        <v>158.32</v>
      </c>
      <c r="G46" s="377">
        <f t="shared" si="9"/>
        <v>193.89</v>
      </c>
      <c r="H46" s="377">
        <f t="shared" si="10"/>
        <v>12348.96</v>
      </c>
      <c r="I46" s="377">
        <f t="shared" si="11"/>
        <v>15123.42</v>
      </c>
      <c r="J46" s="378"/>
      <c r="K46" s="378"/>
      <c r="L46" s="378"/>
      <c r="M46" s="378"/>
    </row>
    <row r="47" spans="1:13" s="383" customFormat="1" ht="45">
      <c r="A47" s="380" t="s">
        <v>1341</v>
      </c>
      <c r="B47" s="380" t="s">
        <v>1126</v>
      </c>
      <c r="C47" s="382" t="s">
        <v>1139</v>
      </c>
      <c r="D47" s="380" t="s">
        <v>17</v>
      </c>
      <c r="E47" s="380">
        <v>19.5</v>
      </c>
      <c r="F47" s="377">
        <f>TRUNC('MEMÓRIA DESONERADA'!F237,2)</f>
        <v>105.55</v>
      </c>
      <c r="G47" s="377">
        <f t="shared" si="9"/>
        <v>129.26</v>
      </c>
      <c r="H47" s="377">
        <f t="shared" si="10"/>
        <v>2058.225</v>
      </c>
      <c r="I47" s="377">
        <f t="shared" si="11"/>
        <v>2520.57</v>
      </c>
      <c r="J47" s="378"/>
      <c r="K47" s="378"/>
      <c r="L47" s="378"/>
      <c r="M47" s="378"/>
    </row>
    <row r="48" spans="1:13" s="383" customFormat="1" ht="15">
      <c r="A48" s="380" t="s">
        <v>1342</v>
      </c>
      <c r="B48" s="380" t="s">
        <v>1146</v>
      </c>
      <c r="C48" s="382" t="s">
        <v>1145</v>
      </c>
      <c r="D48" s="380" t="s">
        <v>17</v>
      </c>
      <c r="E48" s="380">
        <v>19.5</v>
      </c>
      <c r="F48" s="377">
        <f>TRUNC('MEMÓRIA DESONERADA'!F249,2)</f>
        <v>19.61</v>
      </c>
      <c r="G48" s="377">
        <f t="shared" si="9"/>
        <v>24.01</v>
      </c>
      <c r="H48" s="377">
        <f t="shared" si="10"/>
        <v>382.395</v>
      </c>
      <c r="I48" s="377">
        <f t="shared" si="11"/>
        <v>468.19</v>
      </c>
      <c r="J48" s="378"/>
      <c r="K48" s="378"/>
      <c r="L48" s="378"/>
      <c r="M48" s="378"/>
    </row>
    <row r="49" spans="1:13" s="383" customFormat="1" ht="45">
      <c r="A49" s="380" t="s">
        <v>1343</v>
      </c>
      <c r="B49" s="380" t="s">
        <v>1126</v>
      </c>
      <c r="C49" s="382" t="s">
        <v>1140</v>
      </c>
      <c r="D49" s="380" t="s">
        <v>17</v>
      </c>
      <c r="E49" s="380">
        <v>19.5</v>
      </c>
      <c r="F49" s="377">
        <f>TRUNC('MEMÓRIA DESONERADA'!F254,2)</f>
        <v>84.44</v>
      </c>
      <c r="G49" s="377">
        <f t="shared" si="9"/>
        <v>103.41</v>
      </c>
      <c r="H49" s="377">
        <f t="shared" si="10"/>
        <v>1646.58</v>
      </c>
      <c r="I49" s="377">
        <f t="shared" si="11"/>
        <v>2016.49</v>
      </c>
      <c r="J49" s="378"/>
      <c r="K49" s="378"/>
      <c r="L49" s="378"/>
      <c r="M49" s="378"/>
    </row>
    <row r="50" spans="1:9" ht="30">
      <c r="A50" s="359" t="s">
        <v>1344</v>
      </c>
      <c r="B50" s="367" t="s">
        <v>1112</v>
      </c>
      <c r="C50" s="223" t="s">
        <v>1113</v>
      </c>
      <c r="D50" s="359" t="s">
        <v>17</v>
      </c>
      <c r="E50" s="89">
        <v>78</v>
      </c>
      <c r="F50" s="357">
        <f>TRUNC('MEMÓRIA DESONERADA'!F266,2)</f>
        <v>193.14</v>
      </c>
      <c r="G50" s="357">
        <f>TRUNC(F50*1.2882,2)</f>
        <v>248.8</v>
      </c>
      <c r="H50" s="357">
        <f>TRUNC(F50*E50,2)</f>
        <v>15064.92</v>
      </c>
      <c r="I50" s="358">
        <f>TRUNC(E50*G50,2)</f>
        <v>19406.4</v>
      </c>
    </row>
    <row r="51" spans="1:13" s="383" customFormat="1" ht="90">
      <c r="A51" s="380" t="s">
        <v>1345</v>
      </c>
      <c r="B51" s="381" t="s">
        <v>887</v>
      </c>
      <c r="C51" s="382" t="s">
        <v>888</v>
      </c>
      <c r="D51" s="380" t="s">
        <v>48</v>
      </c>
      <c r="E51" s="380">
        <v>117</v>
      </c>
      <c r="F51" s="377">
        <f>TRUNC('MEMÓRIA DESONERADA'!F275,2)</f>
        <v>260.16</v>
      </c>
      <c r="G51" s="377">
        <f>TRUNC(F51*1.2247,2)</f>
        <v>318.61</v>
      </c>
      <c r="H51" s="377">
        <f>E51*F51</f>
        <v>30438.72</v>
      </c>
      <c r="I51" s="377">
        <f>TRUNC((E51*G51),2)</f>
        <v>37277.37</v>
      </c>
      <c r="J51" s="378"/>
      <c r="K51" s="378"/>
      <c r="L51" s="378"/>
      <c r="M51" s="378"/>
    </row>
    <row r="52" spans="1:13" s="379" customFormat="1" ht="30">
      <c r="A52" s="375" t="s">
        <v>1346</v>
      </c>
      <c r="B52" s="375" t="s">
        <v>955</v>
      </c>
      <c r="C52" s="376" t="s">
        <v>890</v>
      </c>
      <c r="D52" s="375" t="s">
        <v>23</v>
      </c>
      <c r="E52" s="380">
        <v>117</v>
      </c>
      <c r="F52" s="377">
        <f>TRUNC('MEMÓRIA DESONERADA'!F278,2)</f>
        <v>18.31</v>
      </c>
      <c r="G52" s="377">
        <f>TRUNC(F52*1.2247,2)</f>
        <v>22.42</v>
      </c>
      <c r="H52" s="377">
        <f>E52*F52</f>
        <v>2142.27</v>
      </c>
      <c r="I52" s="377">
        <f>TRUNC((E52*G52),2)</f>
        <v>2623.14</v>
      </c>
      <c r="J52" s="378"/>
      <c r="K52" s="378"/>
      <c r="L52" s="378"/>
      <c r="M52" s="378"/>
    </row>
    <row r="53" spans="1:13" s="379" customFormat="1" ht="30">
      <c r="A53" s="375" t="s">
        <v>1347</v>
      </c>
      <c r="B53" s="375" t="s">
        <v>1147</v>
      </c>
      <c r="C53" s="376" t="s">
        <v>1148</v>
      </c>
      <c r="D53" s="375" t="s">
        <v>48</v>
      </c>
      <c r="E53" s="380">
        <v>73.13</v>
      </c>
      <c r="F53" s="377">
        <f>TRUNC('MEMÓRIA DESONERADA'!F284,2)</f>
        <v>43.68</v>
      </c>
      <c r="G53" s="377">
        <f>TRUNC(F53*1.2247,2)</f>
        <v>53.49</v>
      </c>
      <c r="H53" s="377">
        <f>E53*F53</f>
        <v>3194.3183999999997</v>
      </c>
      <c r="I53" s="377">
        <f>TRUNC((E53*G53),2)</f>
        <v>3911.72</v>
      </c>
      <c r="J53" s="378"/>
      <c r="K53" s="378"/>
      <c r="L53" s="378"/>
      <c r="M53" s="378"/>
    </row>
    <row r="54" spans="1:13" s="379" customFormat="1" ht="90">
      <c r="A54" s="375" t="s">
        <v>1348</v>
      </c>
      <c r="B54" s="375" t="s">
        <v>962</v>
      </c>
      <c r="C54" s="376" t="s">
        <v>893</v>
      </c>
      <c r="D54" s="375" t="s">
        <v>17</v>
      </c>
      <c r="E54" s="380">
        <v>58.5</v>
      </c>
      <c r="F54" s="377">
        <f>TRUNC('MEMÓRIA DESONERADA'!F292,2)</f>
        <v>143.92</v>
      </c>
      <c r="G54" s="377">
        <f>TRUNC(F54*1.2247,2)</f>
        <v>176.25</v>
      </c>
      <c r="H54" s="377">
        <f>E54*F54</f>
        <v>8419.32</v>
      </c>
      <c r="I54" s="377">
        <f>TRUNC((E54*G54),2)</f>
        <v>10310.62</v>
      </c>
      <c r="J54" s="378"/>
      <c r="K54" s="378"/>
      <c r="L54" s="378"/>
      <c r="M54" s="378"/>
    </row>
    <row r="55" spans="1:13" s="379" customFormat="1" ht="30">
      <c r="A55" s="375" t="s">
        <v>1349</v>
      </c>
      <c r="B55" s="375" t="s">
        <v>963</v>
      </c>
      <c r="C55" s="376" t="s">
        <v>900</v>
      </c>
      <c r="D55" s="375" t="s">
        <v>23</v>
      </c>
      <c r="E55" s="380">
        <v>55.8</v>
      </c>
      <c r="F55" s="377">
        <f>TRUNC('MEMÓRIA DESONERADA'!F304,2)</f>
        <v>43.3</v>
      </c>
      <c r="G55" s="377">
        <f>TRUNC(F55*1.2247,2)</f>
        <v>53.02</v>
      </c>
      <c r="H55" s="377">
        <f>E55*F55</f>
        <v>2416.14</v>
      </c>
      <c r="I55" s="377">
        <f>TRUNC((E55*G55),2)</f>
        <v>2958.51</v>
      </c>
      <c r="J55" s="378"/>
      <c r="K55" s="378"/>
      <c r="L55" s="378"/>
      <c r="M55" s="378"/>
    </row>
    <row r="56" spans="1:9" s="374" customFormat="1" ht="15.75">
      <c r="A56" s="368" t="s">
        <v>943</v>
      </c>
      <c r="B56" s="369"/>
      <c r="C56" s="368" t="s">
        <v>983</v>
      </c>
      <c r="D56" s="370"/>
      <c r="E56" s="371"/>
      <c r="F56" s="372"/>
      <c r="G56" s="373"/>
      <c r="H56" s="373"/>
      <c r="I56" s="373"/>
    </row>
    <row r="57" spans="1:9" ht="45">
      <c r="A57" s="359" t="s">
        <v>1350</v>
      </c>
      <c r="B57" s="367" t="s">
        <v>984</v>
      </c>
      <c r="C57" s="223" t="s">
        <v>985</v>
      </c>
      <c r="D57" s="359" t="s">
        <v>17</v>
      </c>
      <c r="E57" s="89">
        <v>136.42</v>
      </c>
      <c r="F57" s="357">
        <f>TRUNC('MEMÓRIA DESONERADA'!F314,2)</f>
        <v>78.87</v>
      </c>
      <c r="G57" s="357">
        <f>TRUNC(F57*1.2882,2)</f>
        <v>101.6</v>
      </c>
      <c r="H57" s="357">
        <f>TRUNC(F57*E57,2)</f>
        <v>10759.44</v>
      </c>
      <c r="I57" s="358">
        <f>TRUNC(E57*G57,2)</f>
        <v>13860.27</v>
      </c>
    </row>
    <row r="58" spans="1:9" ht="75">
      <c r="A58" s="359" t="s">
        <v>1351</v>
      </c>
      <c r="B58" s="367" t="s">
        <v>990</v>
      </c>
      <c r="C58" s="223" t="s">
        <v>991</v>
      </c>
      <c r="D58" s="359" t="s">
        <v>23</v>
      </c>
      <c r="E58" s="89">
        <v>105.9</v>
      </c>
      <c r="F58" s="357">
        <f>TRUNC('MEMÓRIA DESONERADA'!F321,2)</f>
        <v>30.8</v>
      </c>
      <c r="G58" s="357">
        <f>TRUNC(F58*1.2882,2)</f>
        <v>39.67</v>
      </c>
      <c r="H58" s="357">
        <f>TRUNC(F58*E58,2)</f>
        <v>3261.72</v>
      </c>
      <c r="I58" s="358">
        <f>TRUNC(E58*G58,2)</f>
        <v>4201.05</v>
      </c>
    </row>
    <row r="59" spans="1:9" ht="45">
      <c r="A59" s="359" t="s">
        <v>1352</v>
      </c>
      <c r="B59" s="367" t="s">
        <v>1001</v>
      </c>
      <c r="C59" s="223" t="s">
        <v>1004</v>
      </c>
      <c r="D59" s="359" t="s">
        <v>17</v>
      </c>
      <c r="E59" s="89">
        <v>18.77</v>
      </c>
      <c r="F59" s="357">
        <f>TRUNC('MEMÓRIA DESONERADA'!F328,2)</f>
        <v>158.13</v>
      </c>
      <c r="G59" s="357">
        <f>TRUNC(F59*1.2882,2)</f>
        <v>203.7</v>
      </c>
      <c r="H59" s="357">
        <f>TRUNC(F59*E59,2)</f>
        <v>2968.1</v>
      </c>
      <c r="I59" s="358">
        <f>TRUNC(E59*G59,2)</f>
        <v>3823.44</v>
      </c>
    </row>
    <row r="60" spans="1:13" s="379" customFormat="1" ht="60">
      <c r="A60" s="375" t="s">
        <v>1353</v>
      </c>
      <c r="B60" s="375" t="s">
        <v>910</v>
      </c>
      <c r="C60" s="376" t="s">
        <v>994</v>
      </c>
      <c r="D60" s="375" t="s">
        <v>44</v>
      </c>
      <c r="E60" s="380">
        <v>2104.42</v>
      </c>
      <c r="F60" s="377">
        <f>TRUNC('MEMÓRIA DESONERADA'!F335,2)</f>
        <v>7.84</v>
      </c>
      <c r="G60" s="377">
        <f>TRUNC(F60*1.2247,2)</f>
        <v>9.6</v>
      </c>
      <c r="H60" s="377">
        <f>E60*F60</f>
        <v>16498.6528</v>
      </c>
      <c r="I60" s="377">
        <f>TRUNC((E60*G60),2)</f>
        <v>20202.43</v>
      </c>
      <c r="J60" s="378"/>
      <c r="K60" s="378"/>
      <c r="L60" s="378"/>
      <c r="M60" s="378"/>
    </row>
    <row r="61" spans="1:13" s="379" customFormat="1" ht="30">
      <c r="A61" s="375" t="s">
        <v>1354</v>
      </c>
      <c r="B61" s="375" t="s">
        <v>909</v>
      </c>
      <c r="C61" s="376" t="s">
        <v>995</v>
      </c>
      <c r="D61" s="375" t="s">
        <v>44</v>
      </c>
      <c r="E61" s="380">
        <v>2104.42</v>
      </c>
      <c r="F61" s="377">
        <f>TRUNC('MEMÓRIA DESONERADA'!F342,2)</f>
        <v>4.08</v>
      </c>
      <c r="G61" s="377">
        <f>TRUNC(F61*1.2247,2)</f>
        <v>4.99</v>
      </c>
      <c r="H61" s="377">
        <f>E61*F61</f>
        <v>8586.0336</v>
      </c>
      <c r="I61" s="377">
        <f>TRUNC((E61*G61),2)</f>
        <v>10501.05</v>
      </c>
      <c r="J61" s="378"/>
      <c r="K61" s="378"/>
      <c r="L61" s="378"/>
      <c r="M61" s="378"/>
    </row>
    <row r="62" spans="1:13" s="379" customFormat="1" ht="45">
      <c r="A62" s="375" t="s">
        <v>1355</v>
      </c>
      <c r="B62" s="375" t="s">
        <v>1122</v>
      </c>
      <c r="C62" s="376" t="s">
        <v>1123</v>
      </c>
      <c r="D62" s="375" t="s">
        <v>48</v>
      </c>
      <c r="E62" s="380">
        <v>20.09</v>
      </c>
      <c r="F62" s="377">
        <f>TRUNC('MEMÓRIA DESONERADA'!F347,2)</f>
        <v>642.73</v>
      </c>
      <c r="G62" s="377">
        <f>TRUNC(F62*1.2247,2)</f>
        <v>787.15</v>
      </c>
      <c r="H62" s="377">
        <f>E62*F62</f>
        <v>12912.4457</v>
      </c>
      <c r="I62" s="377">
        <f>TRUNC((E62*G62),2)</f>
        <v>15813.84</v>
      </c>
      <c r="J62" s="378"/>
      <c r="K62" s="378"/>
      <c r="L62" s="378"/>
      <c r="M62" s="378"/>
    </row>
    <row r="63" spans="1:13" s="379" customFormat="1" ht="45">
      <c r="A63" s="375" t="s">
        <v>1356</v>
      </c>
      <c r="B63" s="375" t="s">
        <v>911</v>
      </c>
      <c r="C63" s="376" t="s">
        <v>996</v>
      </c>
      <c r="D63" s="375" t="s">
        <v>17</v>
      </c>
      <c r="E63" s="380">
        <f>112.96+119.7</f>
        <v>232.66</v>
      </c>
      <c r="F63" s="377">
        <f>TRUNC('MEMÓRIA DESONERADA'!F353,2)</f>
        <v>35.41</v>
      </c>
      <c r="G63" s="377">
        <f>TRUNC(F63*1.2247,2)</f>
        <v>43.36</v>
      </c>
      <c r="H63" s="377">
        <f>E63*F63</f>
        <v>8238.4906</v>
      </c>
      <c r="I63" s="377">
        <f>TRUNC((E63*G63),2)</f>
        <v>10088.13</v>
      </c>
      <c r="J63" s="378"/>
      <c r="K63" s="378"/>
      <c r="L63" s="378"/>
      <c r="M63" s="378"/>
    </row>
    <row r="64" spans="1:9" ht="45">
      <c r="A64" s="359" t="s">
        <v>1357</v>
      </c>
      <c r="B64" s="367" t="s">
        <v>997</v>
      </c>
      <c r="C64" s="223" t="s">
        <v>998</v>
      </c>
      <c r="D64" s="359" t="s">
        <v>17</v>
      </c>
      <c r="E64" s="89">
        <v>307.12</v>
      </c>
      <c r="F64" s="89">
        <f>TRUNC('MEMÓRIA DESONERADA'!F362,2)</f>
        <v>31.97</v>
      </c>
      <c r="G64" s="89">
        <f>TRUNC(F64*1.2882,2)</f>
        <v>41.18</v>
      </c>
      <c r="H64" s="89">
        <f>TRUNC(F64*E64,2)</f>
        <v>9818.62</v>
      </c>
      <c r="I64" s="89">
        <f>TRUNC(E64*G64,2)</f>
        <v>12647.2</v>
      </c>
    </row>
    <row r="65" spans="1:10" ht="30">
      <c r="A65" s="359" t="s">
        <v>1358</v>
      </c>
      <c r="B65" s="367" t="s">
        <v>1159</v>
      </c>
      <c r="C65" s="223" t="s">
        <v>1160</v>
      </c>
      <c r="D65" s="359" t="s">
        <v>48</v>
      </c>
      <c r="E65" s="89">
        <v>10.84</v>
      </c>
      <c r="F65" s="89">
        <f>TRUNC('MEMÓRIA DESONERADA'!F369,2)</f>
        <v>55.57</v>
      </c>
      <c r="G65" s="89">
        <f>TRUNC(F65*1.2882,2)</f>
        <v>71.58</v>
      </c>
      <c r="H65" s="89">
        <f>TRUNC(F65*E65,2)</f>
        <v>602.37</v>
      </c>
      <c r="I65" s="89">
        <f>TRUNC(E65*G65,2)</f>
        <v>775.92</v>
      </c>
      <c r="J65" s="378">
        <f>E65*1.3</f>
        <v>14.092</v>
      </c>
    </row>
    <row r="66" spans="1:10" ht="30">
      <c r="A66" s="359" t="s">
        <v>1359</v>
      </c>
      <c r="B66" s="367" t="s">
        <v>1162</v>
      </c>
      <c r="C66" s="223" t="s">
        <v>1161</v>
      </c>
      <c r="D66" s="359" t="s">
        <v>23</v>
      </c>
      <c r="E66" s="89">
        <f>36*4</f>
        <v>144</v>
      </c>
      <c r="F66" s="89">
        <f>TRUNC('MEMÓRIA DESONERADA'!F373,2)</f>
        <v>205.4</v>
      </c>
      <c r="G66" s="89">
        <f>TRUNC(F66*1.2882,2)</f>
        <v>264.59</v>
      </c>
      <c r="H66" s="89">
        <f>TRUNC(F66*E66,2)</f>
        <v>29577.6</v>
      </c>
      <c r="I66" s="89">
        <f>TRUNC(E66*G66,2)</f>
        <v>38100.96</v>
      </c>
      <c r="J66" s="378">
        <f>E66*3.1416*0.15*0.15</f>
        <v>10.178783999999998</v>
      </c>
    </row>
    <row r="67" spans="1:13" s="379" customFormat="1" ht="30">
      <c r="A67" s="375" t="s">
        <v>1360</v>
      </c>
      <c r="B67" s="375" t="s">
        <v>955</v>
      </c>
      <c r="C67" s="376" t="s">
        <v>890</v>
      </c>
      <c r="D67" s="375" t="s">
        <v>23</v>
      </c>
      <c r="E67" s="380">
        <v>64.57</v>
      </c>
      <c r="F67" s="377">
        <f>TRUNC('MEMÓRIA DESONERADA'!F381,2)</f>
        <v>18.31</v>
      </c>
      <c r="G67" s="377">
        <f>TRUNC(F67*1.2247,2)</f>
        <v>22.42</v>
      </c>
      <c r="H67" s="377">
        <f>E67*F67</f>
        <v>1182.2767</v>
      </c>
      <c r="I67" s="377">
        <f>TRUNC((E67*G67),2)</f>
        <v>1447.65</v>
      </c>
      <c r="J67" s="378"/>
      <c r="K67" s="378"/>
      <c r="L67" s="378"/>
      <c r="M67" s="378"/>
    </row>
    <row r="68" spans="1:9" ht="30">
      <c r="A68" s="359" t="s">
        <v>1361</v>
      </c>
      <c r="B68" s="360" t="s">
        <v>851</v>
      </c>
      <c r="C68" s="361" t="s">
        <v>852</v>
      </c>
      <c r="D68" s="362" t="s">
        <v>17</v>
      </c>
      <c r="E68" s="358">
        <v>35.51</v>
      </c>
      <c r="F68" s="357">
        <f>TRUNC('MEMÓRIA DESONERADA'!F387,2)</f>
        <v>126.42</v>
      </c>
      <c r="G68" s="357">
        <f>TRUNC(F68*1.2882,2)</f>
        <v>162.85</v>
      </c>
      <c r="H68" s="357">
        <f>TRUNC(F68*E68,2)</f>
        <v>4489.17</v>
      </c>
      <c r="I68" s="358">
        <f>TRUNC(E68*G68,2)</f>
        <v>5782.8</v>
      </c>
    </row>
    <row r="69" spans="1:13" s="379" customFormat="1" ht="30">
      <c r="A69" s="375" t="s">
        <v>1362</v>
      </c>
      <c r="B69" s="375" t="s">
        <v>963</v>
      </c>
      <c r="C69" s="376" t="s">
        <v>900</v>
      </c>
      <c r="D69" s="375" t="s">
        <v>23</v>
      </c>
      <c r="E69" s="380">
        <v>35.3</v>
      </c>
      <c r="F69" s="377">
        <f>TRUNC('MEMÓRIA DESONERADA'!F393,2)</f>
        <v>43.3</v>
      </c>
      <c r="G69" s="377">
        <f>TRUNC(F69*1.2247,2)</f>
        <v>53.02</v>
      </c>
      <c r="H69" s="377">
        <f>E69*F69</f>
        <v>1528.4899999999998</v>
      </c>
      <c r="I69" s="377">
        <f>TRUNC((E69*G69),2)</f>
        <v>1871.6</v>
      </c>
      <c r="J69" s="378"/>
      <c r="K69" s="378"/>
      <c r="L69" s="378"/>
      <c r="M69" s="378"/>
    </row>
    <row r="70" spans="1:9" s="374" customFormat="1" ht="15.75">
      <c r="A70" s="368" t="s">
        <v>943</v>
      </c>
      <c r="B70" s="369"/>
      <c r="C70" s="368" t="s">
        <v>1163</v>
      </c>
      <c r="D70" s="370"/>
      <c r="E70" s="371"/>
      <c r="F70" s="372"/>
      <c r="G70" s="373"/>
      <c r="H70" s="373"/>
      <c r="I70" s="373"/>
    </row>
    <row r="71" spans="1:9" ht="45">
      <c r="A71" s="359" t="s">
        <v>1363</v>
      </c>
      <c r="B71" s="367" t="s">
        <v>984</v>
      </c>
      <c r="C71" s="223" t="s">
        <v>985</v>
      </c>
      <c r="D71" s="359" t="s">
        <v>17</v>
      </c>
      <c r="E71" s="89">
        <v>61.96</v>
      </c>
      <c r="F71" s="357">
        <f>TRUNC('MEMÓRIA DESONERADA'!F403,2)</f>
        <v>78.87</v>
      </c>
      <c r="G71" s="357">
        <f>TRUNC(F71*1.2882,2)</f>
        <v>101.6</v>
      </c>
      <c r="H71" s="357">
        <f>TRUNC(F71*E71,2)</f>
        <v>4886.78</v>
      </c>
      <c r="I71" s="358">
        <f>TRUNC(E71*G71,2)</f>
        <v>6295.13</v>
      </c>
    </row>
    <row r="72" spans="1:9" ht="75">
      <c r="A72" s="359" t="s">
        <v>1364</v>
      </c>
      <c r="B72" s="367" t="s">
        <v>990</v>
      </c>
      <c r="C72" s="223" t="s">
        <v>991</v>
      </c>
      <c r="D72" s="359" t="s">
        <v>23</v>
      </c>
      <c r="E72" s="89">
        <v>7.5</v>
      </c>
      <c r="F72" s="357">
        <f>TRUNC('MEMÓRIA DESONERADA'!F410,2)</f>
        <v>30.8</v>
      </c>
      <c r="G72" s="357">
        <f>TRUNC(F72*1.2882,2)</f>
        <v>39.67</v>
      </c>
      <c r="H72" s="357">
        <f>TRUNC(F72*E72,2)</f>
        <v>231</v>
      </c>
      <c r="I72" s="358">
        <f>TRUNC(E72*G72,2)</f>
        <v>297.52</v>
      </c>
    </row>
    <row r="73" spans="1:13" s="379" customFormat="1" ht="60">
      <c r="A73" s="375" t="s">
        <v>1365</v>
      </c>
      <c r="B73" s="375" t="s">
        <v>910</v>
      </c>
      <c r="C73" s="376" t="s">
        <v>994</v>
      </c>
      <c r="D73" s="375" t="s">
        <v>44</v>
      </c>
      <c r="E73" s="380">
        <v>1399.46</v>
      </c>
      <c r="F73" s="377">
        <f>TRUNC('MEMÓRIA DESONERADA'!F417,2)</f>
        <v>7.84</v>
      </c>
      <c r="G73" s="377">
        <f>TRUNC(F73*1.2247,2)</f>
        <v>9.6</v>
      </c>
      <c r="H73" s="377">
        <f>E73*F73</f>
        <v>10971.7664</v>
      </c>
      <c r="I73" s="377">
        <f>TRUNC((E73*G73),2)</f>
        <v>13434.81</v>
      </c>
      <c r="J73" s="378"/>
      <c r="K73" s="378"/>
      <c r="L73" s="378"/>
      <c r="M73" s="378"/>
    </row>
    <row r="74" spans="1:13" s="379" customFormat="1" ht="30">
      <c r="A74" s="375" t="s">
        <v>1339</v>
      </c>
      <c r="B74" s="375" t="s">
        <v>909</v>
      </c>
      <c r="C74" s="376" t="s">
        <v>995</v>
      </c>
      <c r="D74" s="375" t="s">
        <v>44</v>
      </c>
      <c r="E74" s="380">
        <v>1399.46</v>
      </c>
      <c r="F74" s="377">
        <f>TRUNC('MEMÓRIA DESONERADA'!F424,2)</f>
        <v>4.08</v>
      </c>
      <c r="G74" s="377">
        <f>TRUNC(F74*1.2247,2)</f>
        <v>4.99</v>
      </c>
      <c r="H74" s="377">
        <f>E74*F74</f>
        <v>5709.7968</v>
      </c>
      <c r="I74" s="377">
        <f>TRUNC((E74*G74),2)</f>
        <v>6983.3</v>
      </c>
      <c r="J74" s="378"/>
      <c r="K74" s="378"/>
      <c r="L74" s="378"/>
      <c r="M74" s="378"/>
    </row>
    <row r="75" spans="1:13" s="379" customFormat="1" ht="45">
      <c r="A75" s="375" t="s">
        <v>1366</v>
      </c>
      <c r="B75" s="375" t="s">
        <v>1122</v>
      </c>
      <c r="C75" s="376" t="s">
        <v>1123</v>
      </c>
      <c r="D75" s="375" t="s">
        <v>48</v>
      </c>
      <c r="E75" s="380">
        <v>20.45</v>
      </c>
      <c r="F75" s="377">
        <f>TRUNC('MEMÓRIA DESONERADA'!F429,2)</f>
        <v>642.73</v>
      </c>
      <c r="G75" s="377">
        <f>TRUNC(F75*1.2247,2)</f>
        <v>787.15</v>
      </c>
      <c r="H75" s="377">
        <f>E75*F75</f>
        <v>13143.8285</v>
      </c>
      <c r="I75" s="377">
        <f>TRUNC((E75*G75),2)</f>
        <v>16097.21</v>
      </c>
      <c r="J75" s="378"/>
      <c r="K75" s="378"/>
      <c r="L75" s="378"/>
      <c r="M75" s="378"/>
    </row>
    <row r="76" spans="1:13" s="379" customFormat="1" ht="45">
      <c r="A76" s="375" t="s">
        <v>1367</v>
      </c>
      <c r="B76" s="375" t="s">
        <v>911</v>
      </c>
      <c r="C76" s="376" t="s">
        <v>996</v>
      </c>
      <c r="D76" s="375" t="s">
        <v>17</v>
      </c>
      <c r="E76" s="380">
        <v>168.14</v>
      </c>
      <c r="F76" s="377">
        <f>TRUNC('MEMÓRIA DESONERADA'!F435,2)</f>
        <v>35.41</v>
      </c>
      <c r="G76" s="377">
        <f>TRUNC(F76*1.2247,2)</f>
        <v>43.36</v>
      </c>
      <c r="H76" s="377">
        <f>E76*F76</f>
        <v>5953.8373999999985</v>
      </c>
      <c r="I76" s="377">
        <f>TRUNC((E76*G76),2)</f>
        <v>7290.55</v>
      </c>
      <c r="J76" s="378"/>
      <c r="K76" s="378"/>
      <c r="L76" s="378"/>
      <c r="M76" s="378"/>
    </row>
    <row r="77" spans="1:10" ht="30">
      <c r="A77" s="359" t="s">
        <v>1368</v>
      </c>
      <c r="B77" s="367" t="s">
        <v>1159</v>
      </c>
      <c r="C77" s="223" t="s">
        <v>1160</v>
      </c>
      <c r="D77" s="359" t="s">
        <v>48</v>
      </c>
      <c r="E77" s="89">
        <v>7.68</v>
      </c>
      <c r="F77" s="89">
        <f>TRUNC('MEMÓRIA DESONERADA'!F444,2)</f>
        <v>55.57</v>
      </c>
      <c r="G77" s="89">
        <f>TRUNC(F77*1.2882,2)</f>
        <v>71.58</v>
      </c>
      <c r="H77" s="89">
        <f>TRUNC(F77*E77,2)</f>
        <v>426.77</v>
      </c>
      <c r="I77" s="89">
        <f>TRUNC(E77*G77,2)</f>
        <v>549.73</v>
      </c>
      <c r="J77" s="378">
        <f>E77*1.3</f>
        <v>9.984</v>
      </c>
    </row>
    <row r="78" spans="1:13" s="379" customFormat="1" ht="30">
      <c r="A78" s="375" t="s">
        <v>1369</v>
      </c>
      <c r="B78" s="375" t="s">
        <v>955</v>
      </c>
      <c r="C78" s="376" t="s">
        <v>890</v>
      </c>
      <c r="D78" s="375" t="s">
        <v>23</v>
      </c>
      <c r="E78" s="380">
        <v>90.95</v>
      </c>
      <c r="F78" s="377">
        <f>TRUNC('MEMÓRIA DESONERADA'!F448,2)</f>
        <v>18.31</v>
      </c>
      <c r="G78" s="377">
        <f>TRUNC(F78*1.2247,2)</f>
        <v>22.42</v>
      </c>
      <c r="H78" s="377">
        <f>E78*F78</f>
        <v>1665.2945</v>
      </c>
      <c r="I78" s="377">
        <f>TRUNC((E78*G78),2)</f>
        <v>2039.09</v>
      </c>
      <c r="J78" s="378"/>
      <c r="K78" s="378"/>
      <c r="L78" s="378"/>
      <c r="M78" s="378"/>
    </row>
    <row r="79" spans="1:9" ht="30">
      <c r="A79" s="359" t="s">
        <v>1370</v>
      </c>
      <c r="B79" s="360" t="s">
        <v>851</v>
      </c>
      <c r="C79" s="361" t="s">
        <v>852</v>
      </c>
      <c r="D79" s="362" t="s">
        <v>17</v>
      </c>
      <c r="E79" s="358">
        <v>25.51</v>
      </c>
      <c r="F79" s="357">
        <f>TRUNC('MEMÓRIA DESONERADA'!F454,2)</f>
        <v>126.42</v>
      </c>
      <c r="G79" s="357">
        <f>TRUNC(F79*1.2882,2)</f>
        <v>162.85</v>
      </c>
      <c r="H79" s="357">
        <f>TRUNC(F79*E79,2)</f>
        <v>3224.97</v>
      </c>
      <c r="I79" s="358">
        <f>TRUNC(E79*G79,2)</f>
        <v>4154.3</v>
      </c>
    </row>
    <row r="80" spans="1:9" ht="45">
      <c r="A80" s="359" t="s">
        <v>1371</v>
      </c>
      <c r="B80" s="367" t="s">
        <v>997</v>
      </c>
      <c r="C80" s="223" t="s">
        <v>998</v>
      </c>
      <c r="D80" s="359" t="s">
        <v>17</v>
      </c>
      <c r="E80" s="89">
        <v>102.75</v>
      </c>
      <c r="F80" s="89">
        <f>TRUNC('MEMÓRIA DESONERADA'!F460,2)</f>
        <v>31.97</v>
      </c>
      <c r="G80" s="89">
        <f>TRUNC(F80*1.2882,2)</f>
        <v>41.18</v>
      </c>
      <c r="H80" s="89">
        <f>TRUNC(F80*E80,2)</f>
        <v>3284.91</v>
      </c>
      <c r="I80" s="89">
        <f>TRUNC(E80*G80,2)</f>
        <v>4231.24</v>
      </c>
    </row>
    <row r="81" spans="1:9" s="374" customFormat="1" ht="15.75">
      <c r="A81" s="368" t="s">
        <v>943</v>
      </c>
      <c r="B81" s="369"/>
      <c r="C81" s="368" t="s">
        <v>1164</v>
      </c>
      <c r="D81" s="370"/>
      <c r="E81" s="371"/>
      <c r="F81" s="372"/>
      <c r="G81" s="373"/>
      <c r="H81" s="373"/>
      <c r="I81" s="373"/>
    </row>
    <row r="82" spans="1:9" ht="45">
      <c r="A82" s="359" t="s">
        <v>1372</v>
      </c>
      <c r="B82" s="367" t="s">
        <v>984</v>
      </c>
      <c r="C82" s="223" t="s">
        <v>985</v>
      </c>
      <c r="D82" s="359" t="s">
        <v>17</v>
      </c>
      <c r="E82" s="89">
        <v>37.09</v>
      </c>
      <c r="F82" s="357">
        <f>TRUNC('MEMÓRIA DESONERADA'!F468,2)</f>
        <v>78.87</v>
      </c>
      <c r="G82" s="357">
        <f>TRUNC(F82*1.2882,2)</f>
        <v>101.6</v>
      </c>
      <c r="H82" s="357">
        <f>TRUNC(F82*E82,2)</f>
        <v>2925.28</v>
      </c>
      <c r="I82" s="358">
        <f>TRUNC(E82*G82,2)</f>
        <v>3768.34</v>
      </c>
    </row>
    <row r="83" spans="1:9" ht="75">
      <c r="A83" s="359" t="s">
        <v>1373</v>
      </c>
      <c r="B83" s="367" t="s">
        <v>990</v>
      </c>
      <c r="C83" s="223" t="s">
        <v>991</v>
      </c>
      <c r="D83" s="359" t="s">
        <v>23</v>
      </c>
      <c r="E83" s="89">
        <v>16.72</v>
      </c>
      <c r="F83" s="357">
        <f>TRUNC('MEMÓRIA DESONERADA'!F475,2)</f>
        <v>30.8</v>
      </c>
      <c r="G83" s="357">
        <f>TRUNC(F83*1.2882,2)</f>
        <v>39.67</v>
      </c>
      <c r="H83" s="357">
        <f>TRUNC(F83*E83,2)</f>
        <v>514.97</v>
      </c>
      <c r="I83" s="358">
        <f>TRUNC(E83*G83,2)</f>
        <v>663.28</v>
      </c>
    </row>
    <row r="84" spans="1:13" s="379" customFormat="1" ht="60">
      <c r="A84" s="375" t="s">
        <v>1374</v>
      </c>
      <c r="B84" s="375" t="s">
        <v>910</v>
      </c>
      <c r="C84" s="376" t="s">
        <v>994</v>
      </c>
      <c r="D84" s="375" t="s">
        <v>44</v>
      </c>
      <c r="E84" s="380">
        <v>1074.24</v>
      </c>
      <c r="F84" s="377">
        <f>TRUNC('MEMÓRIA DESONERADA'!F482,2)</f>
        <v>7.84</v>
      </c>
      <c r="G84" s="377">
        <f>TRUNC(F84*1.2247,2)</f>
        <v>9.6</v>
      </c>
      <c r="H84" s="377">
        <f>E84*F84</f>
        <v>8422.0416</v>
      </c>
      <c r="I84" s="377">
        <f>TRUNC((E84*G84),2)</f>
        <v>10312.7</v>
      </c>
      <c r="J84" s="378"/>
      <c r="K84" s="378"/>
      <c r="L84" s="378"/>
      <c r="M84" s="378"/>
    </row>
    <row r="85" spans="1:13" s="379" customFormat="1" ht="30">
      <c r="A85" s="375" t="s">
        <v>1375</v>
      </c>
      <c r="B85" s="375" t="s">
        <v>909</v>
      </c>
      <c r="C85" s="376" t="s">
        <v>995</v>
      </c>
      <c r="D85" s="375" t="s">
        <v>44</v>
      </c>
      <c r="E85" s="380">
        <v>1074.24</v>
      </c>
      <c r="F85" s="377">
        <f>TRUNC('MEMÓRIA DESONERADA'!F489,2)</f>
        <v>4.08</v>
      </c>
      <c r="G85" s="377">
        <f>TRUNC(F85*1.2247,2)</f>
        <v>4.99</v>
      </c>
      <c r="H85" s="377">
        <f>E85*F85</f>
        <v>4382.8992</v>
      </c>
      <c r="I85" s="377">
        <f>TRUNC((E85*G85),2)</f>
        <v>5360.45</v>
      </c>
      <c r="J85" s="378"/>
      <c r="K85" s="378"/>
      <c r="L85" s="378"/>
      <c r="M85" s="378"/>
    </row>
    <row r="86" spans="1:13" s="379" customFormat="1" ht="45">
      <c r="A86" s="375" t="s">
        <v>1376</v>
      </c>
      <c r="B86" s="375" t="s">
        <v>1122</v>
      </c>
      <c r="C86" s="376" t="s">
        <v>1123</v>
      </c>
      <c r="D86" s="375" t="s">
        <v>48</v>
      </c>
      <c r="E86" s="380">
        <v>15.46</v>
      </c>
      <c r="F86" s="377">
        <f>TRUNC('MEMÓRIA DESONERADA'!F494,2)</f>
        <v>642.73</v>
      </c>
      <c r="G86" s="377">
        <f>TRUNC(F86*1.2247,2)</f>
        <v>787.15</v>
      </c>
      <c r="H86" s="377">
        <f>E86*F86</f>
        <v>9936.605800000001</v>
      </c>
      <c r="I86" s="377">
        <f>TRUNC((E86*G86),2)</f>
        <v>12169.33</v>
      </c>
      <c r="J86" s="378"/>
      <c r="K86" s="378"/>
      <c r="L86" s="378"/>
      <c r="M86" s="378"/>
    </row>
    <row r="87" spans="1:13" s="379" customFormat="1" ht="45">
      <c r="A87" s="375" t="s">
        <v>1377</v>
      </c>
      <c r="B87" s="375" t="s">
        <v>911</v>
      </c>
      <c r="C87" s="376" t="s">
        <v>996</v>
      </c>
      <c r="D87" s="375" t="s">
        <v>17</v>
      </c>
      <c r="E87" s="380">
        <v>82.62</v>
      </c>
      <c r="F87" s="377">
        <f>TRUNC('MEMÓRIA DESONERADA'!F500,2)</f>
        <v>35.41</v>
      </c>
      <c r="G87" s="377">
        <f>TRUNC(F87*1.2247,2)</f>
        <v>43.36</v>
      </c>
      <c r="H87" s="377">
        <f>E87*F87</f>
        <v>2925.5742</v>
      </c>
      <c r="I87" s="377">
        <f>TRUNC((E87*G87),2)</f>
        <v>3582.4</v>
      </c>
      <c r="J87" s="378"/>
      <c r="K87" s="378"/>
      <c r="L87" s="378"/>
      <c r="M87" s="378"/>
    </row>
    <row r="88" spans="1:9" ht="45">
      <c r="A88" s="359" t="s">
        <v>1378</v>
      </c>
      <c r="B88" s="367" t="s">
        <v>997</v>
      </c>
      <c r="C88" s="223" t="s">
        <v>998</v>
      </c>
      <c r="D88" s="359" t="s">
        <v>17</v>
      </c>
      <c r="E88" s="89">
        <v>49.83</v>
      </c>
      <c r="F88" s="89">
        <f>TRUNC('MEMÓRIA DESONERADA'!F509,2)</f>
        <v>31.97</v>
      </c>
      <c r="G88" s="89">
        <f>TRUNC(F88*1.2882,2)</f>
        <v>41.18</v>
      </c>
      <c r="H88" s="89">
        <f>TRUNC(F88*E88,2)</f>
        <v>1593.06</v>
      </c>
      <c r="I88" s="89">
        <f>TRUNC(E88*G88,2)</f>
        <v>2051.99</v>
      </c>
    </row>
    <row r="89" spans="1:10" ht="30">
      <c r="A89" s="359" t="s">
        <v>1379</v>
      </c>
      <c r="B89" s="367" t="s">
        <v>1159</v>
      </c>
      <c r="C89" s="223" t="s">
        <v>1160</v>
      </c>
      <c r="D89" s="359" t="s">
        <v>48</v>
      </c>
      <c r="E89" s="89">
        <v>2.59</v>
      </c>
      <c r="F89" s="89">
        <f>TRUNC('MEMÓRIA DESONERADA'!F516,2)</f>
        <v>55.57</v>
      </c>
      <c r="G89" s="89">
        <f>TRUNC(F89*1.2882,2)</f>
        <v>71.58</v>
      </c>
      <c r="H89" s="89">
        <f>TRUNC(F89*E89,2)</f>
        <v>143.92</v>
      </c>
      <c r="I89" s="89">
        <f>TRUNC(E89*G89,2)</f>
        <v>185.39</v>
      </c>
      <c r="J89" s="378">
        <f>E89*1.3</f>
        <v>3.367</v>
      </c>
    </row>
    <row r="90" spans="1:10" ht="30">
      <c r="A90" s="359" t="s">
        <v>1380</v>
      </c>
      <c r="B90" s="367" t="s">
        <v>1162</v>
      </c>
      <c r="C90" s="223" t="s">
        <v>1161</v>
      </c>
      <c r="D90" s="359" t="s">
        <v>23</v>
      </c>
      <c r="E90" s="89">
        <v>48</v>
      </c>
      <c r="F90" s="89">
        <f>TRUNC('MEMÓRIA DESONERADA'!F520,2)</f>
        <v>205.4</v>
      </c>
      <c r="G90" s="89">
        <f>TRUNC(F90*1.2882,2)</f>
        <v>264.59</v>
      </c>
      <c r="H90" s="89">
        <f>TRUNC(F90*E90,2)</f>
        <v>9859.2</v>
      </c>
      <c r="I90" s="89">
        <f>TRUNC(E90*G90,2)</f>
        <v>12700.32</v>
      </c>
      <c r="J90" s="378">
        <f>E90*3.1416*0.2*0.2</f>
        <v>6.031872</v>
      </c>
    </row>
    <row r="91" spans="1:13" s="379" customFormat="1" ht="30">
      <c r="A91" s="375" t="s">
        <v>1381</v>
      </c>
      <c r="B91" s="375" t="s">
        <v>955</v>
      </c>
      <c r="C91" s="376" t="s">
        <v>890</v>
      </c>
      <c r="D91" s="375" t="s">
        <v>23</v>
      </c>
      <c r="E91" s="380">
        <v>64.57</v>
      </c>
      <c r="F91" s="377">
        <f>TRUNC('MEMÓRIA DESONERADA'!F528,2)</f>
        <v>18.31</v>
      </c>
      <c r="G91" s="377">
        <f>TRUNC(F91*1.2247,2)</f>
        <v>22.42</v>
      </c>
      <c r="H91" s="377">
        <f>E91*F91</f>
        <v>1182.2767</v>
      </c>
      <c r="I91" s="377">
        <f>TRUNC((E91*G91),2)</f>
        <v>1447.65</v>
      </c>
      <c r="J91" s="378"/>
      <c r="K91" s="378"/>
      <c r="L91" s="378"/>
      <c r="M91" s="378"/>
    </row>
    <row r="92" spans="1:9" ht="30">
      <c r="A92" s="359" t="s">
        <v>1382</v>
      </c>
      <c r="B92" s="360" t="s">
        <v>851</v>
      </c>
      <c r="C92" s="361" t="s">
        <v>852</v>
      </c>
      <c r="D92" s="362" t="s">
        <v>17</v>
      </c>
      <c r="E92" s="358">
        <v>7.92</v>
      </c>
      <c r="F92" s="357">
        <f>TRUNC('MEMÓRIA DESONERADA'!F534,2)</f>
        <v>126.42</v>
      </c>
      <c r="G92" s="357">
        <f>TRUNC(F92*1.2882,2)</f>
        <v>162.85</v>
      </c>
      <c r="H92" s="357">
        <f>TRUNC(F92*E92,2)</f>
        <v>1001.24</v>
      </c>
      <c r="I92" s="358">
        <f>TRUNC(E92*G92,2)</f>
        <v>1289.77</v>
      </c>
    </row>
    <row r="93" spans="1:9" s="374" customFormat="1" ht="15.75">
      <c r="A93" s="368" t="s">
        <v>943</v>
      </c>
      <c r="B93" s="369"/>
      <c r="C93" s="368" t="s">
        <v>1165</v>
      </c>
      <c r="D93" s="370"/>
      <c r="E93" s="371"/>
      <c r="F93" s="372"/>
      <c r="G93" s="373"/>
      <c r="H93" s="373"/>
      <c r="I93" s="373"/>
    </row>
    <row r="94" spans="1:13" s="383" customFormat="1" ht="45">
      <c r="A94" s="380" t="s">
        <v>1383</v>
      </c>
      <c r="B94" s="380" t="s">
        <v>1126</v>
      </c>
      <c r="C94" s="382" t="s">
        <v>1166</v>
      </c>
      <c r="D94" s="380" t="s">
        <v>17</v>
      </c>
      <c r="E94" s="380">
        <v>61.05</v>
      </c>
      <c r="F94" s="377">
        <f>TRUNC('MEMÓRIA DESONERADA'!F541,2)</f>
        <v>84.44</v>
      </c>
      <c r="G94" s="377">
        <f>TRUNC(F94*1.2247,2)</f>
        <v>103.41</v>
      </c>
      <c r="H94" s="377">
        <f>E94*F94</f>
        <v>5155.062</v>
      </c>
      <c r="I94" s="377">
        <f>TRUNC((E94*G94),2)</f>
        <v>6313.18</v>
      </c>
      <c r="J94" s="378"/>
      <c r="K94" s="378"/>
      <c r="L94" s="378"/>
      <c r="M94" s="378"/>
    </row>
    <row r="95" spans="1:13" s="383" customFormat="1" ht="15">
      <c r="A95" s="380" t="s">
        <v>1384</v>
      </c>
      <c r="B95" s="380" t="s">
        <v>1146</v>
      </c>
      <c r="C95" s="382" t="s">
        <v>1145</v>
      </c>
      <c r="D95" s="380" t="s">
        <v>17</v>
      </c>
      <c r="E95" s="380">
        <v>61.05</v>
      </c>
      <c r="F95" s="377">
        <f>TRUNC('MEMÓRIA DESONERADA'!F553,2)</f>
        <v>19.61</v>
      </c>
      <c r="G95" s="377">
        <f>TRUNC(F95*1.2247,2)</f>
        <v>24.01</v>
      </c>
      <c r="H95" s="377">
        <f>E95*F95</f>
        <v>1197.1905</v>
      </c>
      <c r="I95" s="377">
        <f>TRUNC((E95*G95),2)</f>
        <v>1465.81</v>
      </c>
      <c r="J95" s="378"/>
      <c r="K95" s="378"/>
      <c r="L95" s="378"/>
      <c r="M95" s="378"/>
    </row>
    <row r="96" spans="1:13" s="379" customFormat="1" ht="30">
      <c r="A96" s="375" t="s">
        <v>1385</v>
      </c>
      <c r="B96" s="375" t="s">
        <v>1147</v>
      </c>
      <c r="C96" s="376" t="s">
        <v>1148</v>
      </c>
      <c r="D96" s="375" t="s">
        <v>48</v>
      </c>
      <c r="E96" s="380">
        <v>137.24</v>
      </c>
      <c r="F96" s="377">
        <f>TRUNC('MEMÓRIA DESONERADA'!F558,2)</f>
        <v>43.68</v>
      </c>
      <c r="G96" s="377">
        <f>TRUNC(F96*1.2247,2)</f>
        <v>53.49</v>
      </c>
      <c r="H96" s="377">
        <f>E96*F96</f>
        <v>5994.6432</v>
      </c>
      <c r="I96" s="377">
        <f>TRUNC((E96*G96),2)</f>
        <v>7340.96</v>
      </c>
      <c r="J96" s="378"/>
      <c r="K96" s="378"/>
      <c r="L96" s="378"/>
      <c r="M96" s="378"/>
    </row>
    <row r="97" spans="1:9" ht="30">
      <c r="A97" s="359" t="s">
        <v>1386</v>
      </c>
      <c r="B97" s="367" t="s">
        <v>1112</v>
      </c>
      <c r="C97" s="223" t="s">
        <v>1113</v>
      </c>
      <c r="D97" s="359" t="s">
        <v>17</v>
      </c>
      <c r="E97" s="89">
        <v>91.6</v>
      </c>
      <c r="F97" s="357">
        <f>TRUNC('MEMÓRIA DESONERADA'!F566,2)</f>
        <v>193.14</v>
      </c>
      <c r="G97" s="357">
        <f>TRUNC(F97*1.2882,2)</f>
        <v>248.8</v>
      </c>
      <c r="H97" s="357">
        <f>TRUNC(F97*E97,2)</f>
        <v>17691.62</v>
      </c>
      <c r="I97" s="358">
        <f>TRUNC(E97*G97,2)</f>
        <v>22790.08</v>
      </c>
    </row>
    <row r="98" spans="1:9" ht="15.75">
      <c r="A98" s="359" t="s">
        <v>943</v>
      </c>
      <c r="B98" s="367"/>
      <c r="C98" s="224" t="s">
        <v>1167</v>
      </c>
      <c r="D98" s="359"/>
      <c r="E98" s="89"/>
      <c r="F98" s="89"/>
      <c r="G98" s="89"/>
      <c r="H98" s="89"/>
      <c r="I98" s="89"/>
    </row>
    <row r="99" spans="1:13" s="379" customFormat="1" ht="45">
      <c r="A99" s="375" t="s">
        <v>1387</v>
      </c>
      <c r="B99" s="375" t="s">
        <v>1122</v>
      </c>
      <c r="C99" s="376" t="s">
        <v>1123</v>
      </c>
      <c r="D99" s="375" t="s">
        <v>48</v>
      </c>
      <c r="E99" s="380">
        <v>2.03</v>
      </c>
      <c r="F99" s="377">
        <f>TRUNC('MEMÓRIA DESONERADA'!F576,2)</f>
        <v>642.73</v>
      </c>
      <c r="G99" s="377">
        <f>TRUNC(F99*1.2247,2)</f>
        <v>787.15</v>
      </c>
      <c r="H99" s="377">
        <f>E99*F99</f>
        <v>1304.7419</v>
      </c>
      <c r="I99" s="377">
        <f>TRUNC((E99*G99),2)</f>
        <v>1597.91</v>
      </c>
      <c r="J99" s="378"/>
      <c r="K99" s="378"/>
      <c r="L99" s="378"/>
      <c r="M99" s="378"/>
    </row>
    <row r="100" spans="1:13" s="379" customFormat="1" ht="60">
      <c r="A100" s="375" t="s">
        <v>1388</v>
      </c>
      <c r="B100" s="375" t="s">
        <v>910</v>
      </c>
      <c r="C100" s="376" t="s">
        <v>994</v>
      </c>
      <c r="D100" s="375" t="s">
        <v>44</v>
      </c>
      <c r="E100" s="380">
        <v>158</v>
      </c>
      <c r="F100" s="377">
        <f>TRUNC('MEMÓRIA DESONERADA'!F582,2)</f>
        <v>7.84</v>
      </c>
      <c r="G100" s="377">
        <f>TRUNC(F100*1.2247,2)</f>
        <v>9.6</v>
      </c>
      <c r="H100" s="377">
        <f>E100*F100</f>
        <v>1238.72</v>
      </c>
      <c r="I100" s="377">
        <f>TRUNC((E100*G100),2)</f>
        <v>1516.8</v>
      </c>
      <c r="J100" s="378"/>
      <c r="K100" s="378"/>
      <c r="L100" s="378"/>
      <c r="M100" s="378"/>
    </row>
    <row r="101" spans="1:13" s="379" customFormat="1" ht="30">
      <c r="A101" s="375" t="s">
        <v>1389</v>
      </c>
      <c r="B101" s="375" t="s">
        <v>909</v>
      </c>
      <c r="C101" s="376" t="s">
        <v>995</v>
      </c>
      <c r="D101" s="375" t="s">
        <v>44</v>
      </c>
      <c r="E101" s="380">
        <v>158</v>
      </c>
      <c r="F101" s="377">
        <f>TRUNC('MEMÓRIA DESONERADA'!F589,2)</f>
        <v>4.08</v>
      </c>
      <c r="G101" s="377">
        <f>TRUNC(F101*1.2247,2)</f>
        <v>4.99</v>
      </c>
      <c r="H101" s="377">
        <f>E101*F101</f>
        <v>644.64</v>
      </c>
      <c r="I101" s="377">
        <f>TRUNC((E101*G101),2)</f>
        <v>788.42</v>
      </c>
      <c r="J101" s="378"/>
      <c r="K101" s="378"/>
      <c r="L101" s="378"/>
      <c r="M101" s="378"/>
    </row>
    <row r="102" spans="1:13" s="379" customFormat="1" ht="45">
      <c r="A102" s="375" t="s">
        <v>1390</v>
      </c>
      <c r="B102" s="375" t="s">
        <v>911</v>
      </c>
      <c r="C102" s="376" t="s">
        <v>996</v>
      </c>
      <c r="D102" s="375" t="s">
        <v>17</v>
      </c>
      <c r="E102" s="380">
        <v>21.47</v>
      </c>
      <c r="F102" s="377">
        <f>TRUNC('MEMÓRIA DESONERADA'!F594,2)</f>
        <v>35.41</v>
      </c>
      <c r="G102" s="377">
        <f>TRUNC(F102*1.2247,2)</f>
        <v>43.36</v>
      </c>
      <c r="H102" s="377">
        <f>E102*F102</f>
        <v>760.2526999999999</v>
      </c>
      <c r="I102" s="377">
        <f>TRUNC((E102*G102),2)</f>
        <v>930.93</v>
      </c>
      <c r="J102" s="378"/>
      <c r="K102" s="378"/>
      <c r="L102" s="378"/>
      <c r="M102" s="378"/>
    </row>
    <row r="103" spans="1:9" ht="30">
      <c r="A103" s="359" t="s">
        <v>1391</v>
      </c>
      <c r="B103" s="367" t="s">
        <v>1098</v>
      </c>
      <c r="C103" s="223" t="s">
        <v>1099</v>
      </c>
      <c r="D103" s="359" t="s">
        <v>17</v>
      </c>
      <c r="E103" s="89">
        <v>37.52</v>
      </c>
      <c r="F103" s="89">
        <f>TRUNC('MEMÓRIA DESONERADA'!F604,2)</f>
        <v>196.57</v>
      </c>
      <c r="G103" s="89">
        <f>TRUNC(F103*1.2882,2)</f>
        <v>253.22</v>
      </c>
      <c r="H103" s="89">
        <f>TRUNC(F103*E103,2)</f>
        <v>7375.3</v>
      </c>
      <c r="I103" s="89">
        <f>TRUNC(E103*G103,2)</f>
        <v>9500.81</v>
      </c>
    </row>
    <row r="104" spans="1:9" s="366" customFormat="1" ht="15.75">
      <c r="A104" s="348" t="s">
        <v>18</v>
      </c>
      <c r="B104" s="364"/>
      <c r="C104" s="224"/>
      <c r="D104" s="348"/>
      <c r="E104" s="93"/>
      <c r="F104" s="365"/>
      <c r="G104" s="396" t="s">
        <v>260</v>
      </c>
      <c r="H104" s="365">
        <f>SUM(H29:H103)</f>
        <v>496015.43579999986</v>
      </c>
      <c r="I104" s="365">
        <f>SUM(I29:I103)</f>
        <v>626350.1000000002</v>
      </c>
    </row>
    <row r="105" spans="1:9" ht="14.25" customHeight="1">
      <c r="A105" s="348" t="s">
        <v>20</v>
      </c>
      <c r="B105" s="367"/>
      <c r="C105" s="516" t="s">
        <v>76</v>
      </c>
      <c r="D105" s="516"/>
      <c r="E105" s="516"/>
      <c r="F105" s="516"/>
      <c r="G105" s="516"/>
      <c r="H105" s="516"/>
      <c r="I105" s="516"/>
    </row>
    <row r="106" spans="1:9" ht="60">
      <c r="A106" s="352" t="s">
        <v>77</v>
      </c>
      <c r="B106" s="353" t="s">
        <v>1014</v>
      </c>
      <c r="C106" s="386" t="s">
        <v>1015</v>
      </c>
      <c r="D106" s="387" t="s">
        <v>17</v>
      </c>
      <c r="E106" s="387">
        <f>105.77*2.6</f>
        <v>275.002</v>
      </c>
      <c r="F106" s="357">
        <f>TRUNC('MEMÓRIA DESONERADA'!F617,2)</f>
        <v>50.01</v>
      </c>
      <c r="G106" s="357">
        <f aca="true" t="shared" si="12" ref="G106:G118">TRUNC(F106*1.2882,2)</f>
        <v>64.42</v>
      </c>
      <c r="H106" s="357">
        <f aca="true" t="shared" si="13" ref="H106:H118">TRUNC(F106*E106,2)</f>
        <v>13752.85</v>
      </c>
      <c r="I106" s="358">
        <f aca="true" t="shared" si="14" ref="I106:I118">TRUNC(E106*G106,2)</f>
        <v>17715.62</v>
      </c>
    </row>
    <row r="107" spans="1:9" ht="45">
      <c r="A107" s="359" t="s">
        <v>78</v>
      </c>
      <c r="B107" s="367" t="s">
        <v>1016</v>
      </c>
      <c r="C107" s="361" t="s">
        <v>1017</v>
      </c>
      <c r="D107" s="362" t="s">
        <v>17</v>
      </c>
      <c r="E107" s="358">
        <v>15.5</v>
      </c>
      <c r="F107" s="357">
        <f>TRUNC('MEMÓRIA DESONERADA'!F625,2)</f>
        <v>461.98</v>
      </c>
      <c r="G107" s="357">
        <f t="shared" si="12"/>
        <v>595.12</v>
      </c>
      <c r="H107" s="357">
        <f t="shared" si="13"/>
        <v>7160.69</v>
      </c>
      <c r="I107" s="358">
        <f t="shared" si="14"/>
        <v>9224.36</v>
      </c>
    </row>
    <row r="108" spans="1:9" ht="30">
      <c r="A108" s="352" t="s">
        <v>79</v>
      </c>
      <c r="B108" s="353" t="s">
        <v>1026</v>
      </c>
      <c r="C108" s="386" t="s">
        <v>1027</v>
      </c>
      <c r="D108" s="355" t="s">
        <v>17</v>
      </c>
      <c r="E108" s="356">
        <v>902.97</v>
      </c>
      <c r="F108" s="357">
        <f>TRUNC('MEMÓRIA DESONERADA'!F632,2)</f>
        <v>6.16</v>
      </c>
      <c r="G108" s="357">
        <f t="shared" si="12"/>
        <v>7.93</v>
      </c>
      <c r="H108" s="357">
        <f t="shared" si="13"/>
        <v>5562.29</v>
      </c>
      <c r="I108" s="358">
        <f t="shared" si="14"/>
        <v>7160.55</v>
      </c>
    </row>
    <row r="109" spans="1:9" ht="45">
      <c r="A109" s="352" t="s">
        <v>80</v>
      </c>
      <c r="B109" s="353" t="s">
        <v>1024</v>
      </c>
      <c r="C109" s="386" t="s">
        <v>1025</v>
      </c>
      <c r="D109" s="355" t="s">
        <v>17</v>
      </c>
      <c r="E109" s="356">
        <f>E108</f>
        <v>902.97</v>
      </c>
      <c r="F109" s="357">
        <f>TRUNC('MEMÓRIA DESONERADA'!F638,2)</f>
        <v>29.63</v>
      </c>
      <c r="G109" s="357">
        <f t="shared" si="12"/>
        <v>38.16</v>
      </c>
      <c r="H109" s="357">
        <f t="shared" si="13"/>
        <v>26755</v>
      </c>
      <c r="I109" s="358">
        <f t="shared" si="14"/>
        <v>34457.33</v>
      </c>
    </row>
    <row r="110" spans="1:9" ht="75">
      <c r="A110" s="359" t="s">
        <v>81</v>
      </c>
      <c r="B110" s="360" t="s">
        <v>1028</v>
      </c>
      <c r="C110" s="361" t="s">
        <v>1029</v>
      </c>
      <c r="D110" s="362" t="s">
        <v>17</v>
      </c>
      <c r="E110" s="358">
        <f>725.71+167.26</f>
        <v>892.97</v>
      </c>
      <c r="F110" s="357">
        <f>TRUNC('MEMÓRIA DESONERADA'!F644,2)</f>
        <v>96.54</v>
      </c>
      <c r="G110" s="357">
        <f t="shared" si="12"/>
        <v>124.36</v>
      </c>
      <c r="H110" s="357">
        <f t="shared" si="13"/>
        <v>86207.32</v>
      </c>
      <c r="I110" s="358">
        <f t="shared" si="14"/>
        <v>111049.74</v>
      </c>
    </row>
    <row r="111" spans="1:9" ht="45">
      <c r="A111" s="352" t="s">
        <v>82</v>
      </c>
      <c r="B111" s="367" t="s">
        <v>1168</v>
      </c>
      <c r="C111" s="223" t="s">
        <v>1169</v>
      </c>
      <c r="D111" s="359" t="s">
        <v>17</v>
      </c>
      <c r="E111" s="89">
        <v>31</v>
      </c>
      <c r="F111" s="89">
        <f>TRUNC('MEMÓRIA DESONERADA'!F652,2)</f>
        <v>142.84</v>
      </c>
      <c r="G111" s="89">
        <f>TRUNC(F111*1.2882,2)</f>
        <v>184</v>
      </c>
      <c r="H111" s="89">
        <f>TRUNC(F111*E111,2)</f>
        <v>4428.04</v>
      </c>
      <c r="I111" s="89">
        <f>TRUNC(E111*G111,2)</f>
        <v>5704</v>
      </c>
    </row>
    <row r="112" spans="1:9" ht="45">
      <c r="A112" s="359" t="s">
        <v>83</v>
      </c>
      <c r="B112" s="367" t="s">
        <v>1180</v>
      </c>
      <c r="C112" s="223" t="s">
        <v>1181</v>
      </c>
      <c r="D112" s="359" t="s">
        <v>17</v>
      </c>
      <c r="E112" s="89">
        <v>33</v>
      </c>
      <c r="F112" s="89">
        <f>TRUNC('MEMÓRIA DESONERADA'!F662,2)</f>
        <v>144.47</v>
      </c>
      <c r="G112" s="89">
        <f>TRUNC(F112*1.2882,2)</f>
        <v>186.1</v>
      </c>
      <c r="H112" s="89">
        <f>TRUNC(F112*E112,2)</f>
        <v>4767.51</v>
      </c>
      <c r="I112" s="89">
        <f>TRUNC(E112*G112,2)</f>
        <v>6141.3</v>
      </c>
    </row>
    <row r="113" spans="1:9" ht="60">
      <c r="A113" s="352" t="s">
        <v>86</v>
      </c>
      <c r="B113" s="353" t="s">
        <v>1521</v>
      </c>
      <c r="C113" s="386" t="s">
        <v>1522</v>
      </c>
      <c r="D113" s="387" t="s">
        <v>17</v>
      </c>
      <c r="E113" s="387">
        <v>240</v>
      </c>
      <c r="F113" s="89">
        <f>TRUNC('MEMÓRIA DESONERADA'!F672,2)</f>
        <v>76.66</v>
      </c>
      <c r="G113" s="357">
        <f t="shared" si="12"/>
        <v>98.75</v>
      </c>
      <c r="H113" s="357">
        <f t="shared" si="13"/>
        <v>18398.4</v>
      </c>
      <c r="I113" s="358">
        <f t="shared" si="14"/>
        <v>23700</v>
      </c>
    </row>
    <row r="114" spans="1:9" ht="60">
      <c r="A114" s="359" t="s">
        <v>87</v>
      </c>
      <c r="B114" s="367" t="s">
        <v>1535</v>
      </c>
      <c r="C114" s="223" t="s">
        <v>1536</v>
      </c>
      <c r="D114" s="359" t="s">
        <v>23</v>
      </c>
      <c r="E114" s="89">
        <v>355.26</v>
      </c>
      <c r="F114" s="89">
        <f>TRUNC('MEMÓRIA DESONERADA'!F684,2)</f>
        <v>23.77</v>
      </c>
      <c r="G114" s="357">
        <f t="shared" si="12"/>
        <v>30.62</v>
      </c>
      <c r="H114" s="357">
        <f t="shared" si="13"/>
        <v>8444.53</v>
      </c>
      <c r="I114" s="358">
        <f t="shared" si="14"/>
        <v>10878.06</v>
      </c>
    </row>
    <row r="115" spans="1:9" ht="30">
      <c r="A115" s="352" t="s">
        <v>88</v>
      </c>
      <c r="B115" s="367" t="s">
        <v>1537</v>
      </c>
      <c r="C115" s="223" t="s">
        <v>1538</v>
      </c>
      <c r="D115" s="359" t="s">
        <v>17</v>
      </c>
      <c r="E115" s="89">
        <v>6.88</v>
      </c>
      <c r="F115" s="89">
        <f>TRUNC('MEMÓRIA DESONERADA'!F693,2)</f>
        <v>170.43</v>
      </c>
      <c r="G115" s="357">
        <f t="shared" si="12"/>
        <v>219.54</v>
      </c>
      <c r="H115" s="357">
        <f t="shared" si="13"/>
        <v>1172.55</v>
      </c>
      <c r="I115" s="358">
        <f t="shared" si="14"/>
        <v>1510.43</v>
      </c>
    </row>
    <row r="116" spans="1:9" ht="75">
      <c r="A116" s="359" t="s">
        <v>89</v>
      </c>
      <c r="B116" s="367" t="s">
        <v>1594</v>
      </c>
      <c r="C116" s="223" t="s">
        <v>1595</v>
      </c>
      <c r="D116" s="359" t="s">
        <v>1596</v>
      </c>
      <c r="E116" s="89">
        <v>356.4</v>
      </c>
      <c r="F116" s="89">
        <f>TRUNC('MEMÓRIA DESONERADA'!F701,2)</f>
        <v>13</v>
      </c>
      <c r="G116" s="357">
        <f t="shared" si="12"/>
        <v>16.74</v>
      </c>
      <c r="H116" s="357">
        <f t="shared" si="13"/>
        <v>4633.2</v>
      </c>
      <c r="I116" s="358">
        <f t="shared" si="14"/>
        <v>5966.13</v>
      </c>
    </row>
    <row r="117" spans="1:9" ht="45">
      <c r="A117" s="352" t="s">
        <v>1545</v>
      </c>
      <c r="B117" s="367" t="s">
        <v>1599</v>
      </c>
      <c r="C117" s="223" t="s">
        <v>1600</v>
      </c>
      <c r="D117" s="359" t="s">
        <v>17</v>
      </c>
      <c r="E117" s="89">
        <v>17.8</v>
      </c>
      <c r="F117" s="89">
        <f>TRUNC('MEMÓRIA DESONERADA'!F705,2)</f>
        <v>6.31</v>
      </c>
      <c r="G117" s="357">
        <f t="shared" si="12"/>
        <v>8.12</v>
      </c>
      <c r="H117" s="357">
        <f t="shared" si="13"/>
        <v>112.31</v>
      </c>
      <c r="I117" s="358">
        <f t="shared" si="14"/>
        <v>144.53</v>
      </c>
    </row>
    <row r="118" spans="1:9" ht="30">
      <c r="A118" s="359" t="s">
        <v>90</v>
      </c>
      <c r="B118" s="367" t="s">
        <v>1603</v>
      </c>
      <c r="C118" s="223" t="s">
        <v>1604</v>
      </c>
      <c r="D118" s="359" t="s">
        <v>17</v>
      </c>
      <c r="E118" s="89">
        <v>297</v>
      </c>
      <c r="F118" s="89">
        <f>TRUNC('MEMÓRIA DESONERADA'!F709,2)</f>
        <v>6.53</v>
      </c>
      <c r="G118" s="357">
        <f t="shared" si="12"/>
        <v>8.41</v>
      </c>
      <c r="H118" s="357">
        <f t="shared" si="13"/>
        <v>1939.41</v>
      </c>
      <c r="I118" s="358">
        <f t="shared" si="14"/>
        <v>2497.77</v>
      </c>
    </row>
    <row r="119" spans="1:9" ht="15">
      <c r="A119" s="352" t="s">
        <v>91</v>
      </c>
      <c r="B119" s="367" t="s">
        <v>1605</v>
      </c>
      <c r="C119" s="223" t="s">
        <v>1606</v>
      </c>
      <c r="D119" s="359" t="s">
        <v>17</v>
      </c>
      <c r="E119" s="89">
        <v>178</v>
      </c>
      <c r="F119" s="89">
        <f>TRUNC('MEMÓRIA DESONERADA'!F713,2)</f>
        <v>0.53</v>
      </c>
      <c r="G119" s="357">
        <f>TRUNC(F119*1.2882,2)</f>
        <v>0.68</v>
      </c>
      <c r="H119" s="357">
        <f>TRUNC(F119*E119,2)</f>
        <v>94.34</v>
      </c>
      <c r="I119" s="358">
        <f>TRUNC(E119*G119,2)</f>
        <v>121.04</v>
      </c>
    </row>
    <row r="120" spans="1:9" ht="45">
      <c r="A120" s="359" t="s">
        <v>1616</v>
      </c>
      <c r="B120" s="367" t="s">
        <v>1607</v>
      </c>
      <c r="C120" s="223" t="s">
        <v>1608</v>
      </c>
      <c r="D120" s="359" t="s">
        <v>1609</v>
      </c>
      <c r="E120" s="89">
        <v>891</v>
      </c>
      <c r="F120" s="89">
        <f>TRUNC('MEMÓRIA DESONERADA'!F717,2)</f>
        <v>0.2</v>
      </c>
      <c r="G120" s="357">
        <f>TRUNC(F120*1.2882,2)</f>
        <v>0.25</v>
      </c>
      <c r="H120" s="357">
        <f>TRUNC(F120*E120,2)</f>
        <v>178.2</v>
      </c>
      <c r="I120" s="358">
        <f>TRUNC(E120*G120,2)</f>
        <v>222.75</v>
      </c>
    </row>
    <row r="121" spans="1:9" ht="30">
      <c r="A121" s="352" t="s">
        <v>1593</v>
      </c>
      <c r="B121" s="367" t="s">
        <v>1612</v>
      </c>
      <c r="C121" s="223" t="s">
        <v>1613</v>
      </c>
      <c r="D121" s="359" t="s">
        <v>17</v>
      </c>
      <c r="E121" s="89">
        <v>59.4</v>
      </c>
      <c r="F121" s="89">
        <f>TRUNC('MEMÓRIA DESONERADA'!F721,2)</f>
        <v>0.87</v>
      </c>
      <c r="G121" s="357">
        <f>TRUNC(F121*1.2882,2)</f>
        <v>1.12</v>
      </c>
      <c r="H121" s="357">
        <f>TRUNC(F121*E121,2)</f>
        <v>51.67</v>
      </c>
      <c r="I121" s="358">
        <f>TRUNC(E121*G121,2)</f>
        <v>66.52</v>
      </c>
    </row>
    <row r="122" spans="1:9" s="366" customFormat="1" ht="15.75">
      <c r="A122" s="348" t="s">
        <v>18</v>
      </c>
      <c r="B122" s="364"/>
      <c r="C122" s="224"/>
      <c r="D122" s="348"/>
      <c r="E122" s="93"/>
      <c r="F122" s="365"/>
      <c r="G122" s="396" t="s">
        <v>92</v>
      </c>
      <c r="H122" s="365">
        <f>SUM(H106:H121)</f>
        <v>183658.31000000006</v>
      </c>
      <c r="I122" s="365">
        <f>SUM(I106:I121)</f>
        <v>236560.12999999998</v>
      </c>
    </row>
    <row r="123" spans="1:9" ht="14.25" customHeight="1">
      <c r="A123" s="348" t="s">
        <v>22</v>
      </c>
      <c r="B123" s="367"/>
      <c r="C123" s="516" t="s">
        <v>25</v>
      </c>
      <c r="D123" s="516"/>
      <c r="E123" s="516"/>
      <c r="F123" s="516"/>
      <c r="G123" s="516"/>
      <c r="H123" s="516"/>
      <c r="I123" s="516"/>
    </row>
    <row r="124" spans="1:9" s="412" customFormat="1" ht="30">
      <c r="A124" s="410" t="s">
        <v>392</v>
      </c>
      <c r="B124" s="411" t="s">
        <v>248</v>
      </c>
      <c r="C124" s="223" t="s">
        <v>393</v>
      </c>
      <c r="D124" s="410" t="s">
        <v>385</v>
      </c>
      <c r="E124" s="89">
        <v>4</v>
      </c>
      <c r="F124" s="89">
        <f>TRUNC('MEMÓRIA DESONERADA'!F728,2)</f>
        <v>1892</v>
      </c>
      <c r="G124" s="89">
        <f aca="true" t="shared" si="15" ref="G124:G129">TRUNC(F124*1.2285,2)</f>
        <v>2324.32</v>
      </c>
      <c r="H124" s="89">
        <f aca="true" t="shared" si="16" ref="H124:H135">TRUNC(F124*E124,2)</f>
        <v>7568</v>
      </c>
      <c r="I124" s="89">
        <f aca="true" t="shared" si="17" ref="I124:I135">TRUNC(E124*G124,2)</f>
        <v>9297.28</v>
      </c>
    </row>
    <row r="125" spans="1:9" s="412" customFormat="1" ht="30">
      <c r="A125" s="410" t="s">
        <v>1038</v>
      </c>
      <c r="B125" s="411" t="s">
        <v>248</v>
      </c>
      <c r="C125" s="223" t="s">
        <v>394</v>
      </c>
      <c r="D125" s="410" t="s">
        <v>385</v>
      </c>
      <c r="E125" s="89">
        <v>1</v>
      </c>
      <c r="F125" s="89">
        <f>TRUNC('MEMÓRIA DESONERADA'!F738,2)</f>
        <v>1514</v>
      </c>
      <c r="G125" s="89">
        <f t="shared" si="15"/>
        <v>1859.94</v>
      </c>
      <c r="H125" s="89">
        <f t="shared" si="16"/>
        <v>1514</v>
      </c>
      <c r="I125" s="89">
        <f t="shared" si="17"/>
        <v>1859.94</v>
      </c>
    </row>
    <row r="126" spans="1:9" s="412" customFormat="1" ht="30">
      <c r="A126" s="410" t="s">
        <v>1039</v>
      </c>
      <c r="B126" s="411" t="s">
        <v>248</v>
      </c>
      <c r="C126" s="223" t="s">
        <v>395</v>
      </c>
      <c r="D126" s="410" t="s">
        <v>385</v>
      </c>
      <c r="E126" s="89">
        <v>2</v>
      </c>
      <c r="F126" s="89">
        <f>TRUNC('MEMÓRIA DESONERADA'!F748,2)</f>
        <v>1665</v>
      </c>
      <c r="G126" s="89">
        <f t="shared" si="15"/>
        <v>2045.45</v>
      </c>
      <c r="H126" s="89">
        <f t="shared" si="16"/>
        <v>3330</v>
      </c>
      <c r="I126" s="89">
        <f t="shared" si="17"/>
        <v>4090.9</v>
      </c>
    </row>
    <row r="127" spans="1:9" s="412" customFormat="1" ht="30">
      <c r="A127" s="410" t="s">
        <v>1040</v>
      </c>
      <c r="B127" s="411" t="s">
        <v>248</v>
      </c>
      <c r="C127" s="223" t="s">
        <v>396</v>
      </c>
      <c r="D127" s="410" t="s">
        <v>385</v>
      </c>
      <c r="E127" s="89">
        <v>1</v>
      </c>
      <c r="F127" s="89">
        <f>TRUNC('MEMÓRIA DESONERADA'!F758,2)</f>
        <v>530</v>
      </c>
      <c r="G127" s="89">
        <f t="shared" si="15"/>
        <v>651.1</v>
      </c>
      <c r="H127" s="89">
        <f t="shared" si="16"/>
        <v>530</v>
      </c>
      <c r="I127" s="89">
        <f t="shared" si="17"/>
        <v>651.1</v>
      </c>
    </row>
    <row r="128" spans="1:9" s="412" customFormat="1" ht="30">
      <c r="A128" s="410" t="s">
        <v>1041</v>
      </c>
      <c r="B128" s="411" t="s">
        <v>248</v>
      </c>
      <c r="C128" s="223" t="s">
        <v>397</v>
      </c>
      <c r="D128" s="410" t="s">
        <v>385</v>
      </c>
      <c r="E128" s="89">
        <v>1</v>
      </c>
      <c r="F128" s="89">
        <f>TRUNC('MEMÓRIA DESONERADA'!F768,2)</f>
        <v>600</v>
      </c>
      <c r="G128" s="89">
        <f t="shared" si="15"/>
        <v>737.1</v>
      </c>
      <c r="H128" s="89">
        <f t="shared" si="16"/>
        <v>600</v>
      </c>
      <c r="I128" s="89">
        <f t="shared" si="17"/>
        <v>737.1</v>
      </c>
    </row>
    <row r="129" spans="1:9" s="412" customFormat="1" ht="30">
      <c r="A129" s="410" t="s">
        <v>1042</v>
      </c>
      <c r="B129" s="411" t="s">
        <v>248</v>
      </c>
      <c r="C129" s="223" t="s">
        <v>559</v>
      </c>
      <c r="D129" s="410" t="s">
        <v>385</v>
      </c>
      <c r="E129" s="89">
        <v>2</v>
      </c>
      <c r="F129" s="89">
        <f>TRUNC('MEMÓRIA DESONERADA'!F778,2)</f>
        <v>2522</v>
      </c>
      <c r="G129" s="89">
        <f t="shared" si="15"/>
        <v>3098.27</v>
      </c>
      <c r="H129" s="89">
        <f t="shared" si="16"/>
        <v>5044</v>
      </c>
      <c r="I129" s="89">
        <f t="shared" si="17"/>
        <v>6196.54</v>
      </c>
    </row>
    <row r="130" spans="1:9" ht="45">
      <c r="A130" s="410" t="s">
        <v>1617</v>
      </c>
      <c r="B130" s="367" t="s">
        <v>402</v>
      </c>
      <c r="C130" s="223" t="s">
        <v>403</v>
      </c>
      <c r="D130" s="359" t="s">
        <v>7</v>
      </c>
      <c r="E130" s="89">
        <v>13</v>
      </c>
      <c r="F130" s="89">
        <f>TRUNC('MEMÓRIA DESONERADA'!F788,2)</f>
        <v>679.67</v>
      </c>
      <c r="G130" s="89">
        <f>TRUNC(F130*1.2882,2)</f>
        <v>875.55</v>
      </c>
      <c r="H130" s="89">
        <f t="shared" si="16"/>
        <v>8835.71</v>
      </c>
      <c r="I130" s="89">
        <f t="shared" si="17"/>
        <v>11382.15</v>
      </c>
    </row>
    <row r="131" spans="1:9" ht="45">
      <c r="A131" s="410" t="s">
        <v>1392</v>
      </c>
      <c r="B131" s="367" t="s">
        <v>416</v>
      </c>
      <c r="C131" s="223" t="s">
        <v>417</v>
      </c>
      <c r="D131" s="359" t="s">
        <v>7</v>
      </c>
      <c r="E131" s="89">
        <v>1</v>
      </c>
      <c r="F131" s="89">
        <f>TRUNC('MEMÓRIA DESONERADA'!F798,2)</f>
        <v>665.4</v>
      </c>
      <c r="G131" s="89">
        <f>TRUNC(F131*1.2882,2)</f>
        <v>857.16</v>
      </c>
      <c r="H131" s="89">
        <f t="shared" si="16"/>
        <v>665.4</v>
      </c>
      <c r="I131" s="89">
        <f t="shared" si="17"/>
        <v>857.16</v>
      </c>
    </row>
    <row r="132" spans="1:9" ht="30">
      <c r="A132" s="410" t="s">
        <v>1393</v>
      </c>
      <c r="B132" s="367" t="s">
        <v>420</v>
      </c>
      <c r="C132" s="223" t="s">
        <v>421</v>
      </c>
      <c r="D132" s="359" t="s">
        <v>17</v>
      </c>
      <c r="E132" s="89">
        <v>2.25</v>
      </c>
      <c r="F132" s="89">
        <f>TRUNC('MEMÓRIA DESONERADA'!F808,2)</f>
        <v>1213.5</v>
      </c>
      <c r="G132" s="89">
        <f>TRUNC(F132*1.2285,2)</f>
        <v>1490.78</v>
      </c>
      <c r="H132" s="89">
        <f t="shared" si="16"/>
        <v>2730.37</v>
      </c>
      <c r="I132" s="89">
        <f t="shared" si="17"/>
        <v>3354.25</v>
      </c>
    </row>
    <row r="133" spans="1:9" ht="30">
      <c r="A133" s="410" t="s">
        <v>1394</v>
      </c>
      <c r="B133" s="367" t="s">
        <v>422</v>
      </c>
      <c r="C133" s="223" t="s">
        <v>423</v>
      </c>
      <c r="D133" s="359" t="s">
        <v>17</v>
      </c>
      <c r="E133" s="89">
        <v>2.25</v>
      </c>
      <c r="F133" s="89">
        <f>TRUNC('MEMÓRIA DESONERADA'!F814,2)</f>
        <v>712.87</v>
      </c>
      <c r="G133" s="89">
        <f>TRUNC(F133*1.2882,2)</f>
        <v>918.31</v>
      </c>
      <c r="H133" s="89">
        <f t="shared" si="16"/>
        <v>1603.95</v>
      </c>
      <c r="I133" s="89">
        <f t="shared" si="17"/>
        <v>2066.19</v>
      </c>
    </row>
    <row r="134" spans="1:9" ht="45">
      <c r="A134" s="410" t="s">
        <v>1395</v>
      </c>
      <c r="B134" s="367" t="s">
        <v>439</v>
      </c>
      <c r="C134" s="223" t="s">
        <v>440</v>
      </c>
      <c r="D134" s="359" t="s">
        <v>7</v>
      </c>
      <c r="E134" s="89">
        <v>1</v>
      </c>
      <c r="F134" s="89">
        <f>TRUNC('MEMÓRIA DESONERADA'!F823,2)</f>
        <v>531.87</v>
      </c>
      <c r="G134" s="89">
        <f>TRUNC(F134*1.2882,2)</f>
        <v>685.15</v>
      </c>
      <c r="H134" s="89">
        <f t="shared" si="16"/>
        <v>531.87</v>
      </c>
      <c r="I134" s="89">
        <f t="shared" si="17"/>
        <v>685.15</v>
      </c>
    </row>
    <row r="135" spans="1:9" ht="75">
      <c r="A135" s="410" t="s">
        <v>1396</v>
      </c>
      <c r="B135" s="367" t="s">
        <v>441</v>
      </c>
      <c r="C135" s="223" t="s">
        <v>442</v>
      </c>
      <c r="D135" s="359" t="s">
        <v>17</v>
      </c>
      <c r="E135" s="89">
        <v>8.75</v>
      </c>
      <c r="F135" s="89">
        <f>TRUNC('MEMÓRIA DESONERADA'!F832,2)</f>
        <v>1242.23</v>
      </c>
      <c r="G135" s="89">
        <f>TRUNC(F135*1.2882,2)</f>
        <v>1600.24</v>
      </c>
      <c r="H135" s="89">
        <f t="shared" si="16"/>
        <v>10869.51</v>
      </c>
      <c r="I135" s="89">
        <f t="shared" si="17"/>
        <v>14002.1</v>
      </c>
    </row>
    <row r="136" spans="1:9" ht="60">
      <c r="A136" s="410" t="s">
        <v>1623</v>
      </c>
      <c r="B136" s="367" t="s">
        <v>1624</v>
      </c>
      <c r="C136" s="223" t="s">
        <v>1625</v>
      </c>
      <c r="D136" s="359" t="s">
        <v>17</v>
      </c>
      <c r="E136" s="89">
        <f>19.8*2*2</f>
        <v>79.2</v>
      </c>
      <c r="F136" s="89">
        <f>TRUNC('MEMÓRIA DESONERADA'!F839,2)</f>
        <v>768.97</v>
      </c>
      <c r="G136" s="89">
        <f>TRUNC(F136*1.2882,2)</f>
        <v>990.58</v>
      </c>
      <c r="H136" s="89">
        <f>TRUNC(F136*E136,2)</f>
        <v>60902.42</v>
      </c>
      <c r="I136" s="89">
        <f>TRUNC(E136*G136,2)</f>
        <v>78453.93</v>
      </c>
    </row>
    <row r="137" spans="1:9" s="366" customFormat="1" ht="15.75">
      <c r="A137" s="348" t="s">
        <v>18</v>
      </c>
      <c r="B137" s="364"/>
      <c r="C137" s="224"/>
      <c r="D137" s="348"/>
      <c r="E137" s="93"/>
      <c r="F137" s="365"/>
      <c r="G137" s="396" t="s">
        <v>93</v>
      </c>
      <c r="H137" s="365">
        <f>SUM(H124:H136)</f>
        <v>104725.23000000001</v>
      </c>
      <c r="I137" s="365">
        <f>SUM(I124:I136)</f>
        <v>133633.79</v>
      </c>
    </row>
    <row r="138" spans="1:9" ht="14.25" customHeight="1">
      <c r="A138" s="348" t="s">
        <v>24</v>
      </c>
      <c r="B138" s="367"/>
      <c r="C138" s="516" t="s">
        <v>94</v>
      </c>
      <c r="D138" s="516"/>
      <c r="E138" s="516"/>
      <c r="F138" s="516"/>
      <c r="G138" s="516"/>
      <c r="H138" s="516"/>
      <c r="I138" s="516"/>
    </row>
    <row r="139" spans="1:9" s="385" customFormat="1" ht="45">
      <c r="A139" s="359" t="s">
        <v>1234</v>
      </c>
      <c r="B139" s="367" t="s">
        <v>1229</v>
      </c>
      <c r="C139" s="223" t="s">
        <v>1230</v>
      </c>
      <c r="D139" s="359" t="s">
        <v>7</v>
      </c>
      <c r="E139" s="89">
        <v>1</v>
      </c>
      <c r="F139" s="89">
        <f>TRUNC('MEMÓRIA DESONERADA'!F847,2)</f>
        <v>554.71</v>
      </c>
      <c r="G139" s="89">
        <f aca="true" t="shared" si="18" ref="G139:G151">TRUNC(F139*1.2882,2)</f>
        <v>714.57</v>
      </c>
      <c r="H139" s="89">
        <f aca="true" t="shared" si="19" ref="H139:H151">TRUNC(F139*E139,2)</f>
        <v>554.71</v>
      </c>
      <c r="I139" s="89">
        <f aca="true" t="shared" si="20" ref="I139:I151">TRUNC(E139*G139,2)</f>
        <v>714.57</v>
      </c>
    </row>
    <row r="140" spans="1:9" ht="15">
      <c r="A140" s="359" t="s">
        <v>1399</v>
      </c>
      <c r="B140" s="367" t="s">
        <v>1244</v>
      </c>
      <c r="C140" s="223" t="s">
        <v>1245</v>
      </c>
      <c r="D140" s="359" t="s">
        <v>7</v>
      </c>
      <c r="E140" s="89">
        <v>1</v>
      </c>
      <c r="F140" s="89">
        <f>TRUNC('MEMÓRIA DESONERADA'!F852,2)</f>
        <v>83.61</v>
      </c>
      <c r="G140" s="89">
        <f t="shared" si="18"/>
        <v>107.7</v>
      </c>
      <c r="H140" s="89">
        <f t="shared" si="19"/>
        <v>83.61</v>
      </c>
      <c r="I140" s="89">
        <f t="shared" si="20"/>
        <v>107.7</v>
      </c>
    </row>
    <row r="141" spans="1:9" ht="45">
      <c r="A141" s="359" t="s">
        <v>1400</v>
      </c>
      <c r="B141" s="367" t="s">
        <v>1235</v>
      </c>
      <c r="C141" s="223" t="s">
        <v>1236</v>
      </c>
      <c r="D141" s="359" t="s">
        <v>7</v>
      </c>
      <c r="E141" s="89">
        <v>2</v>
      </c>
      <c r="F141" s="89">
        <f>TRUNC('MEMÓRIA DESONERADA'!F857,2)</f>
        <v>800.62</v>
      </c>
      <c r="G141" s="89">
        <f t="shared" si="18"/>
        <v>1031.35</v>
      </c>
      <c r="H141" s="89">
        <f t="shared" si="19"/>
        <v>1601.24</v>
      </c>
      <c r="I141" s="89">
        <f t="shared" si="20"/>
        <v>2062.7</v>
      </c>
    </row>
    <row r="142" spans="1:9" ht="30">
      <c r="A142" s="359" t="s">
        <v>1402</v>
      </c>
      <c r="B142" s="367" t="s">
        <v>1248</v>
      </c>
      <c r="C142" s="223" t="s">
        <v>1241</v>
      </c>
      <c r="D142" s="359" t="s">
        <v>7</v>
      </c>
      <c r="E142" s="89">
        <v>2</v>
      </c>
      <c r="F142" s="89">
        <f>TRUNC('MEMÓRIA DESONERADA'!F862,2)</f>
        <v>101.9</v>
      </c>
      <c r="G142" s="89">
        <f t="shared" si="18"/>
        <v>131.26</v>
      </c>
      <c r="H142" s="89">
        <f t="shared" si="19"/>
        <v>203.8</v>
      </c>
      <c r="I142" s="89">
        <f t="shared" si="20"/>
        <v>262.52</v>
      </c>
    </row>
    <row r="143" spans="1:9" ht="60">
      <c r="A143" s="359" t="s">
        <v>1403</v>
      </c>
      <c r="B143" s="367" t="s">
        <v>1249</v>
      </c>
      <c r="C143" s="223" t="s">
        <v>1250</v>
      </c>
      <c r="D143" s="359" t="s">
        <v>7</v>
      </c>
      <c r="E143" s="89">
        <v>3</v>
      </c>
      <c r="F143" s="89">
        <f>TRUNC('MEMÓRIA DESONERADA'!F867,2)</f>
        <v>788.38</v>
      </c>
      <c r="G143" s="89">
        <f t="shared" si="18"/>
        <v>1015.59</v>
      </c>
      <c r="H143" s="89">
        <f t="shared" si="19"/>
        <v>2365.14</v>
      </c>
      <c r="I143" s="89">
        <f t="shared" si="20"/>
        <v>3046.77</v>
      </c>
    </row>
    <row r="144" spans="1:9" ht="60">
      <c r="A144" s="359" t="s">
        <v>1404</v>
      </c>
      <c r="B144" s="367" t="s">
        <v>1278</v>
      </c>
      <c r="C144" s="223" t="s">
        <v>1277</v>
      </c>
      <c r="D144" s="359" t="s">
        <v>7</v>
      </c>
      <c r="E144" s="89">
        <v>3</v>
      </c>
      <c r="F144" s="89">
        <f>TRUNC('MEMÓRIA DESONERADA'!F875,2)</f>
        <v>201.53</v>
      </c>
      <c r="G144" s="89">
        <f t="shared" si="18"/>
        <v>259.61</v>
      </c>
      <c r="H144" s="89">
        <f t="shared" si="19"/>
        <v>604.59</v>
      </c>
      <c r="I144" s="89">
        <f t="shared" si="20"/>
        <v>778.83</v>
      </c>
    </row>
    <row r="145" spans="1:9" ht="30">
      <c r="A145" s="359" t="s">
        <v>1405</v>
      </c>
      <c r="B145" s="367" t="s">
        <v>1279</v>
      </c>
      <c r="C145" s="223" t="s">
        <v>1280</v>
      </c>
      <c r="D145" s="359" t="s">
        <v>7</v>
      </c>
      <c r="E145" s="89">
        <v>6</v>
      </c>
      <c r="F145" s="89">
        <f>TRUNC('MEMÓRIA DESONERADA'!F890,2)</f>
        <v>290.14</v>
      </c>
      <c r="G145" s="89">
        <f t="shared" si="18"/>
        <v>373.75</v>
      </c>
      <c r="H145" s="89">
        <f t="shared" si="19"/>
        <v>1740.84</v>
      </c>
      <c r="I145" s="89">
        <f t="shared" si="20"/>
        <v>2242.5</v>
      </c>
    </row>
    <row r="146" spans="1:9" ht="30">
      <c r="A146" s="359" t="s">
        <v>1406</v>
      </c>
      <c r="B146" s="367" t="s">
        <v>1285</v>
      </c>
      <c r="C146" s="223" t="s">
        <v>1286</v>
      </c>
      <c r="D146" s="359" t="s">
        <v>7</v>
      </c>
      <c r="E146" s="89">
        <v>2</v>
      </c>
      <c r="F146" s="89">
        <f>TRUNC('MEMÓRIA DESONERADA'!F897,2)</f>
        <v>448.79</v>
      </c>
      <c r="G146" s="89">
        <f t="shared" si="18"/>
        <v>578.13</v>
      </c>
      <c r="H146" s="89">
        <f t="shared" si="19"/>
        <v>897.58</v>
      </c>
      <c r="I146" s="89">
        <f t="shared" si="20"/>
        <v>1156.26</v>
      </c>
    </row>
    <row r="147" spans="1:9" ht="30">
      <c r="A147" s="359" t="s">
        <v>1409</v>
      </c>
      <c r="B147" s="367" t="s">
        <v>1291</v>
      </c>
      <c r="C147" s="223" t="s">
        <v>1292</v>
      </c>
      <c r="D147" s="359" t="s">
        <v>7</v>
      </c>
      <c r="E147" s="89">
        <v>2</v>
      </c>
      <c r="F147" s="89">
        <f>TRUNC('MEMÓRIA DESONERADA'!F903,2)</f>
        <v>111.71</v>
      </c>
      <c r="G147" s="89">
        <f t="shared" si="18"/>
        <v>143.9</v>
      </c>
      <c r="H147" s="89">
        <f t="shared" si="19"/>
        <v>223.42</v>
      </c>
      <c r="I147" s="89">
        <f t="shared" si="20"/>
        <v>287.8</v>
      </c>
    </row>
    <row r="148" spans="1:9" s="385" customFormat="1" ht="30">
      <c r="A148" s="359" t="s">
        <v>1410</v>
      </c>
      <c r="B148" s="367" t="s">
        <v>1317</v>
      </c>
      <c r="C148" s="223" t="s">
        <v>1321</v>
      </c>
      <c r="D148" s="359" t="s">
        <v>7</v>
      </c>
      <c r="E148" s="89">
        <v>2</v>
      </c>
      <c r="F148" s="89">
        <f>TRUNC('MEMÓRIA DESONERADA'!F910,2)</f>
        <v>61.97</v>
      </c>
      <c r="G148" s="89">
        <f t="shared" si="18"/>
        <v>79.82</v>
      </c>
      <c r="H148" s="89">
        <f t="shared" si="19"/>
        <v>123.94</v>
      </c>
      <c r="I148" s="89">
        <f t="shared" si="20"/>
        <v>159.64</v>
      </c>
    </row>
    <row r="149" spans="1:9" ht="30">
      <c r="A149" s="359" t="s">
        <v>1411</v>
      </c>
      <c r="B149" s="367" t="s">
        <v>1295</v>
      </c>
      <c r="C149" s="223" t="s">
        <v>1296</v>
      </c>
      <c r="D149" s="359" t="s">
        <v>7</v>
      </c>
      <c r="E149" s="89">
        <v>1</v>
      </c>
      <c r="F149" s="89">
        <f>TRUNC('MEMÓRIA DESONERADA'!F922,2)</f>
        <v>752.92</v>
      </c>
      <c r="G149" s="89">
        <f t="shared" si="18"/>
        <v>969.91</v>
      </c>
      <c r="H149" s="89">
        <f t="shared" si="19"/>
        <v>752.92</v>
      </c>
      <c r="I149" s="89">
        <f t="shared" si="20"/>
        <v>969.91</v>
      </c>
    </row>
    <row r="150" spans="1:9" ht="30">
      <c r="A150" s="359" t="s">
        <v>1412</v>
      </c>
      <c r="B150" s="367" t="s">
        <v>1304</v>
      </c>
      <c r="C150" s="223" t="s">
        <v>1303</v>
      </c>
      <c r="D150" s="359" t="s">
        <v>7</v>
      </c>
      <c r="E150" s="89">
        <v>3</v>
      </c>
      <c r="F150" s="89">
        <f>TRUNC('MEMÓRIA DESONERADA'!F930,2)</f>
        <v>104.03</v>
      </c>
      <c r="G150" s="89">
        <f t="shared" si="18"/>
        <v>134.01</v>
      </c>
      <c r="H150" s="89">
        <f t="shared" si="19"/>
        <v>312.09</v>
      </c>
      <c r="I150" s="89">
        <f t="shared" si="20"/>
        <v>402.03</v>
      </c>
    </row>
    <row r="151" spans="1:9" ht="45">
      <c r="A151" s="359" t="s">
        <v>1413</v>
      </c>
      <c r="B151" s="367" t="s">
        <v>1305</v>
      </c>
      <c r="C151" s="223" t="s">
        <v>1306</v>
      </c>
      <c r="D151" s="359" t="s">
        <v>17</v>
      </c>
      <c r="E151" s="89">
        <f>3.1*0.6+0.55*2.05</f>
        <v>2.9875</v>
      </c>
      <c r="F151" s="89">
        <f>TRUNC('MEMÓRIA DESONERADA'!F935,2)</f>
        <v>717.14</v>
      </c>
      <c r="G151" s="89">
        <f t="shared" si="18"/>
        <v>923.81</v>
      </c>
      <c r="H151" s="89">
        <f t="shared" si="19"/>
        <v>2142.45</v>
      </c>
      <c r="I151" s="89">
        <f t="shared" si="20"/>
        <v>2759.88</v>
      </c>
    </row>
    <row r="152" spans="1:9" s="366" customFormat="1" ht="15.75">
      <c r="A152" s="348" t="s">
        <v>18</v>
      </c>
      <c r="B152" s="364"/>
      <c r="C152" s="224"/>
      <c r="D152" s="348"/>
      <c r="E152" s="93"/>
      <c r="F152" s="365"/>
      <c r="G152" s="396" t="s">
        <v>95</v>
      </c>
      <c r="H152" s="365">
        <f>SUM(H139:H151)</f>
        <v>11606.330000000002</v>
      </c>
      <c r="I152" s="365">
        <f>SUM(I139:I151)</f>
        <v>14951.11</v>
      </c>
    </row>
    <row r="153" spans="1:9" ht="14.25" customHeight="1">
      <c r="A153" s="348" t="s">
        <v>26</v>
      </c>
      <c r="B153" s="367"/>
      <c r="C153" s="516" t="s">
        <v>96</v>
      </c>
      <c r="D153" s="516"/>
      <c r="E153" s="516"/>
      <c r="F153" s="516"/>
      <c r="G153" s="516"/>
      <c r="H153" s="516"/>
      <c r="I153" s="516"/>
    </row>
    <row r="154" spans="1:9" ht="30">
      <c r="A154" s="359" t="s">
        <v>1414</v>
      </c>
      <c r="B154" s="367" t="s">
        <v>191</v>
      </c>
      <c r="C154" s="223" t="s">
        <v>192</v>
      </c>
      <c r="D154" s="359" t="s">
        <v>23</v>
      </c>
      <c r="E154" s="89">
        <v>13</v>
      </c>
      <c r="F154" s="89">
        <f>TRUNC('MEMÓRIA DESONERADA'!F945,2)</f>
        <v>13.76</v>
      </c>
      <c r="G154" s="89">
        <f aca="true" t="shared" si="21" ref="G154:G184">TRUNC(F154*1.2882,2)</f>
        <v>17.72</v>
      </c>
      <c r="H154" s="89">
        <f aca="true" t="shared" si="22" ref="H154:H184">TRUNC(F154*E154,2)</f>
        <v>178.88</v>
      </c>
      <c r="I154" s="89">
        <f aca="true" t="shared" si="23" ref="I154:I184">TRUNC(E154*G154,2)</f>
        <v>230.36</v>
      </c>
    </row>
    <row r="155" spans="1:9" ht="30">
      <c r="A155" s="359" t="s">
        <v>1415</v>
      </c>
      <c r="B155" s="367" t="s">
        <v>187</v>
      </c>
      <c r="C155" s="223" t="s">
        <v>188</v>
      </c>
      <c r="D155" s="359" t="s">
        <v>23</v>
      </c>
      <c r="E155" s="89">
        <v>12</v>
      </c>
      <c r="F155" s="89">
        <f>TRUNC('MEMÓRIA DESONERADA'!F952,2)</f>
        <v>19.33</v>
      </c>
      <c r="G155" s="89">
        <f t="shared" si="21"/>
        <v>24.9</v>
      </c>
      <c r="H155" s="89">
        <f t="shared" si="22"/>
        <v>231.96</v>
      </c>
      <c r="I155" s="89">
        <f t="shared" si="23"/>
        <v>298.8</v>
      </c>
    </row>
    <row r="156" spans="1:9" ht="30">
      <c r="A156" s="359" t="s">
        <v>1408</v>
      </c>
      <c r="B156" s="367" t="s">
        <v>185</v>
      </c>
      <c r="C156" s="223" t="s">
        <v>186</v>
      </c>
      <c r="D156" s="359" t="s">
        <v>23</v>
      </c>
      <c r="E156" s="89">
        <v>8</v>
      </c>
      <c r="F156" s="89">
        <f>TRUNC('MEMÓRIA DESONERADA'!F959,2)</f>
        <v>27.53</v>
      </c>
      <c r="G156" s="89">
        <f t="shared" si="21"/>
        <v>35.46</v>
      </c>
      <c r="H156" s="89">
        <f t="shared" si="22"/>
        <v>220.24</v>
      </c>
      <c r="I156" s="89">
        <f t="shared" si="23"/>
        <v>283.68</v>
      </c>
    </row>
    <row r="157" spans="1:9" ht="30">
      <c r="A157" s="359" t="s">
        <v>1416</v>
      </c>
      <c r="B157" s="367" t="s">
        <v>183</v>
      </c>
      <c r="C157" s="223" t="s">
        <v>184</v>
      </c>
      <c r="D157" s="359" t="s">
        <v>23</v>
      </c>
      <c r="E157" s="89">
        <v>18</v>
      </c>
      <c r="F157" s="89">
        <f>TRUNC('MEMÓRIA DESONERADA'!F966,2)</f>
        <v>30.03</v>
      </c>
      <c r="G157" s="89">
        <f t="shared" si="21"/>
        <v>38.68</v>
      </c>
      <c r="H157" s="89">
        <f t="shared" si="22"/>
        <v>540.54</v>
      </c>
      <c r="I157" s="89">
        <f t="shared" si="23"/>
        <v>696.24</v>
      </c>
    </row>
    <row r="158" spans="1:9" ht="30">
      <c r="A158" s="359" t="s">
        <v>1401</v>
      </c>
      <c r="B158" s="367" t="s">
        <v>179</v>
      </c>
      <c r="C158" s="223" t="s">
        <v>180</v>
      </c>
      <c r="D158" s="359" t="s">
        <v>23</v>
      </c>
      <c r="E158" s="89">
        <v>12</v>
      </c>
      <c r="F158" s="89">
        <f>TRUNC('MEMÓRIA DESONERADA'!F973,2)</f>
        <v>58.23</v>
      </c>
      <c r="G158" s="89">
        <f t="shared" si="21"/>
        <v>75.01</v>
      </c>
      <c r="H158" s="89">
        <f t="shared" si="22"/>
        <v>698.76</v>
      </c>
      <c r="I158" s="89">
        <f t="shared" si="23"/>
        <v>900.12</v>
      </c>
    </row>
    <row r="159" spans="1:9" ht="30">
      <c r="A159" s="359" t="s">
        <v>1417</v>
      </c>
      <c r="B159" s="367" t="s">
        <v>1480</v>
      </c>
      <c r="C159" s="223" t="s">
        <v>291</v>
      </c>
      <c r="D159" s="359" t="s">
        <v>7</v>
      </c>
      <c r="E159" s="89">
        <v>6</v>
      </c>
      <c r="F159" s="89">
        <f>TRUNC('MEMÓRIA DESONERADA'!F980,2)</f>
        <v>26.63</v>
      </c>
      <c r="G159" s="89">
        <f t="shared" si="21"/>
        <v>34.3</v>
      </c>
      <c r="H159" s="89">
        <f t="shared" si="22"/>
        <v>159.78</v>
      </c>
      <c r="I159" s="89">
        <f t="shared" si="23"/>
        <v>205.8</v>
      </c>
    </row>
    <row r="160" spans="1:9" ht="45">
      <c r="A160" s="359" t="s">
        <v>1398</v>
      </c>
      <c r="B160" s="367" t="s">
        <v>292</v>
      </c>
      <c r="C160" s="223" t="s">
        <v>293</v>
      </c>
      <c r="D160" s="359" t="s">
        <v>7</v>
      </c>
      <c r="E160" s="89">
        <v>2</v>
      </c>
      <c r="F160" s="89">
        <f>TRUNC('MEMÓRIA DESONERADA'!F988,2)</f>
        <v>26.62</v>
      </c>
      <c r="G160" s="89">
        <f t="shared" si="21"/>
        <v>34.29</v>
      </c>
      <c r="H160" s="89">
        <f t="shared" si="22"/>
        <v>53.24</v>
      </c>
      <c r="I160" s="89">
        <f t="shared" si="23"/>
        <v>68.58</v>
      </c>
    </row>
    <row r="161" spans="1:9" ht="45">
      <c r="A161" s="359" t="s">
        <v>1407</v>
      </c>
      <c r="B161" s="367" t="s">
        <v>294</v>
      </c>
      <c r="C161" s="223" t="s">
        <v>295</v>
      </c>
      <c r="D161" s="359" t="s">
        <v>7</v>
      </c>
      <c r="E161" s="89">
        <v>6</v>
      </c>
      <c r="F161" s="89">
        <f>TRUNC('MEMÓRIA DESONERADA'!F996,2)</f>
        <v>36.02</v>
      </c>
      <c r="G161" s="89">
        <f t="shared" si="21"/>
        <v>46.4</v>
      </c>
      <c r="H161" s="89">
        <f t="shared" si="22"/>
        <v>216.12</v>
      </c>
      <c r="I161" s="89">
        <f t="shared" si="23"/>
        <v>278.4</v>
      </c>
    </row>
    <row r="162" spans="1:9" ht="30">
      <c r="A162" s="359" t="s">
        <v>1418</v>
      </c>
      <c r="B162" s="367" t="s">
        <v>296</v>
      </c>
      <c r="C162" s="223" t="s">
        <v>297</v>
      </c>
      <c r="D162" s="359" t="s">
        <v>7</v>
      </c>
      <c r="E162" s="89">
        <v>2</v>
      </c>
      <c r="F162" s="89">
        <f>TRUNC('MEMÓRIA DESONERADA'!F1004,2)</f>
        <v>96.38</v>
      </c>
      <c r="G162" s="89">
        <f t="shared" si="21"/>
        <v>124.15</v>
      </c>
      <c r="H162" s="89">
        <f t="shared" si="22"/>
        <v>192.76</v>
      </c>
      <c r="I162" s="89">
        <f t="shared" si="23"/>
        <v>248.3</v>
      </c>
    </row>
    <row r="163" spans="1:9" ht="45">
      <c r="A163" s="359" t="s">
        <v>1397</v>
      </c>
      <c r="B163" s="367" t="s">
        <v>206</v>
      </c>
      <c r="C163" s="223" t="s">
        <v>207</v>
      </c>
      <c r="D163" s="359" t="s">
        <v>7</v>
      </c>
      <c r="E163" s="89">
        <v>12</v>
      </c>
      <c r="F163" s="89">
        <f>TRUNC('MEMÓRIA DESONERADA'!F1012,2)</f>
        <v>10.93</v>
      </c>
      <c r="G163" s="89">
        <f t="shared" si="21"/>
        <v>14.08</v>
      </c>
      <c r="H163" s="89">
        <f t="shared" si="22"/>
        <v>131.16</v>
      </c>
      <c r="I163" s="89">
        <f t="shared" si="23"/>
        <v>168.96</v>
      </c>
    </row>
    <row r="164" spans="1:9" ht="45">
      <c r="A164" s="359" t="s">
        <v>1419</v>
      </c>
      <c r="B164" s="367" t="s">
        <v>301</v>
      </c>
      <c r="C164" s="223" t="s">
        <v>302</v>
      </c>
      <c r="D164" s="359" t="s">
        <v>7</v>
      </c>
      <c r="E164" s="89">
        <v>8</v>
      </c>
      <c r="F164" s="89">
        <f>TRUNC('MEMÓRIA DESONERADA'!F1021,2)</f>
        <v>11.18</v>
      </c>
      <c r="G164" s="89">
        <f t="shared" si="21"/>
        <v>14.4</v>
      </c>
      <c r="H164" s="89">
        <f t="shared" si="22"/>
        <v>89.44</v>
      </c>
      <c r="I164" s="89">
        <f t="shared" si="23"/>
        <v>115.2</v>
      </c>
    </row>
    <row r="165" spans="1:9" ht="45">
      <c r="A165" s="359" t="s">
        <v>1420</v>
      </c>
      <c r="B165" s="367" t="s">
        <v>305</v>
      </c>
      <c r="C165" s="223" t="s">
        <v>306</v>
      </c>
      <c r="D165" s="359" t="s">
        <v>7</v>
      </c>
      <c r="E165" s="89">
        <v>1</v>
      </c>
      <c r="F165" s="89">
        <f>TRUNC('MEMÓRIA DESONERADA'!F1030,2)</f>
        <v>23.99</v>
      </c>
      <c r="G165" s="89">
        <f t="shared" si="21"/>
        <v>30.9</v>
      </c>
      <c r="H165" s="89">
        <f t="shared" si="22"/>
        <v>23.99</v>
      </c>
      <c r="I165" s="89">
        <f t="shared" si="23"/>
        <v>30.9</v>
      </c>
    </row>
    <row r="166" spans="1:9" ht="45">
      <c r="A166" s="359" t="s">
        <v>1421</v>
      </c>
      <c r="B166" s="367" t="s">
        <v>309</v>
      </c>
      <c r="C166" s="223" t="s">
        <v>310</v>
      </c>
      <c r="D166" s="359" t="s">
        <v>7</v>
      </c>
      <c r="E166" s="89">
        <v>5</v>
      </c>
      <c r="F166" s="89">
        <f>TRUNC('MEMÓRIA DESONERADA'!F1038,2)</f>
        <v>24.97</v>
      </c>
      <c r="G166" s="89">
        <f t="shared" si="21"/>
        <v>32.16</v>
      </c>
      <c r="H166" s="89">
        <f t="shared" si="22"/>
        <v>124.85</v>
      </c>
      <c r="I166" s="89">
        <f t="shared" si="23"/>
        <v>160.8</v>
      </c>
    </row>
    <row r="167" spans="1:9" ht="45">
      <c r="A167" s="359" t="s">
        <v>1422</v>
      </c>
      <c r="B167" s="367" t="s">
        <v>313</v>
      </c>
      <c r="C167" s="223" t="s">
        <v>314</v>
      </c>
      <c r="D167" s="359" t="s">
        <v>7</v>
      </c>
      <c r="E167" s="89">
        <v>5</v>
      </c>
      <c r="F167" s="89">
        <f>TRUNC('MEMÓRIA DESONERADA'!F1046,2)</f>
        <v>29.25</v>
      </c>
      <c r="G167" s="89">
        <f t="shared" si="21"/>
        <v>37.67</v>
      </c>
      <c r="H167" s="89">
        <f t="shared" si="22"/>
        <v>146.25</v>
      </c>
      <c r="I167" s="89">
        <f t="shared" si="23"/>
        <v>188.35</v>
      </c>
    </row>
    <row r="168" spans="1:9" ht="45">
      <c r="A168" s="359" t="s">
        <v>1423</v>
      </c>
      <c r="B168" s="367" t="s">
        <v>317</v>
      </c>
      <c r="C168" s="223" t="s">
        <v>318</v>
      </c>
      <c r="D168" s="359" t="s">
        <v>7</v>
      </c>
      <c r="E168" s="89">
        <v>2</v>
      </c>
      <c r="F168" s="89">
        <f>TRUNC('MEMÓRIA DESONERADA'!F1054,2)</f>
        <v>30.09</v>
      </c>
      <c r="G168" s="89">
        <f t="shared" si="21"/>
        <v>38.76</v>
      </c>
      <c r="H168" s="89">
        <f t="shared" si="22"/>
        <v>60.18</v>
      </c>
      <c r="I168" s="89">
        <f t="shared" si="23"/>
        <v>77.52</v>
      </c>
    </row>
    <row r="169" spans="1:9" ht="45">
      <c r="A169" s="359" t="s">
        <v>1424</v>
      </c>
      <c r="B169" s="367" t="s">
        <v>1484</v>
      </c>
      <c r="C169" s="223" t="s">
        <v>1485</v>
      </c>
      <c r="D169" s="359" t="s">
        <v>7</v>
      </c>
      <c r="E169" s="89">
        <v>3</v>
      </c>
      <c r="F169" s="89">
        <f>TRUNC('MEMÓRIA DESONERADA'!F1062,2)</f>
        <v>44.36</v>
      </c>
      <c r="G169" s="89">
        <f t="shared" si="21"/>
        <v>57.14</v>
      </c>
      <c r="H169" s="89">
        <f t="shared" si="22"/>
        <v>133.08</v>
      </c>
      <c r="I169" s="89">
        <f t="shared" si="23"/>
        <v>171.42</v>
      </c>
    </row>
    <row r="170" spans="1:9" ht="45">
      <c r="A170" s="359" t="s">
        <v>1425</v>
      </c>
      <c r="B170" s="367" t="s">
        <v>195</v>
      </c>
      <c r="C170" s="223" t="s">
        <v>196</v>
      </c>
      <c r="D170" s="359" t="s">
        <v>7</v>
      </c>
      <c r="E170" s="89">
        <v>3</v>
      </c>
      <c r="F170" s="89">
        <f>TRUNC('MEMÓRIA DESONERADA'!F1070,2)</f>
        <v>41.66</v>
      </c>
      <c r="G170" s="89">
        <f t="shared" si="21"/>
        <v>53.66</v>
      </c>
      <c r="H170" s="89">
        <f t="shared" si="22"/>
        <v>124.98</v>
      </c>
      <c r="I170" s="89">
        <f t="shared" si="23"/>
        <v>160.98</v>
      </c>
    </row>
    <row r="171" spans="1:9" ht="30">
      <c r="A171" s="359" t="s">
        <v>1426</v>
      </c>
      <c r="B171" s="367" t="s">
        <v>321</v>
      </c>
      <c r="C171" s="223" t="s">
        <v>322</v>
      </c>
      <c r="D171" s="359" t="s">
        <v>7</v>
      </c>
      <c r="E171" s="89">
        <v>3</v>
      </c>
      <c r="F171" s="89">
        <f>TRUNC('MEMÓRIA DESONERADA'!F1078,2)</f>
        <v>109.84</v>
      </c>
      <c r="G171" s="89">
        <f t="shared" si="21"/>
        <v>141.49</v>
      </c>
      <c r="H171" s="89">
        <f t="shared" si="22"/>
        <v>329.52</v>
      </c>
      <c r="I171" s="89">
        <f t="shared" si="23"/>
        <v>424.47</v>
      </c>
    </row>
    <row r="172" spans="1:9" ht="45">
      <c r="A172" s="359" t="s">
        <v>1427</v>
      </c>
      <c r="B172" s="367" t="s">
        <v>327</v>
      </c>
      <c r="C172" s="223" t="s">
        <v>328</v>
      </c>
      <c r="D172" s="359" t="s">
        <v>7</v>
      </c>
      <c r="E172" s="89">
        <v>3</v>
      </c>
      <c r="F172" s="89">
        <f>TRUNC('MEMÓRIA DESONERADA'!F1086,2)</f>
        <v>55.55</v>
      </c>
      <c r="G172" s="89">
        <f t="shared" si="21"/>
        <v>71.55</v>
      </c>
      <c r="H172" s="89">
        <f t="shared" si="22"/>
        <v>166.65</v>
      </c>
      <c r="I172" s="89">
        <f t="shared" si="23"/>
        <v>214.65</v>
      </c>
    </row>
    <row r="173" spans="1:9" ht="45">
      <c r="A173" s="359" t="s">
        <v>1428</v>
      </c>
      <c r="B173" s="367" t="s">
        <v>333</v>
      </c>
      <c r="C173" s="223" t="s">
        <v>332</v>
      </c>
      <c r="D173" s="359" t="s">
        <v>7</v>
      </c>
      <c r="E173" s="89">
        <v>2</v>
      </c>
      <c r="F173" s="89">
        <f>TRUNC('MEMÓRIA DESONERADA'!F1094,2)</f>
        <v>50.77</v>
      </c>
      <c r="G173" s="89">
        <f t="shared" si="21"/>
        <v>65.4</v>
      </c>
      <c r="H173" s="89">
        <f t="shared" si="22"/>
        <v>101.54</v>
      </c>
      <c r="I173" s="89">
        <f t="shared" si="23"/>
        <v>130.8</v>
      </c>
    </row>
    <row r="174" spans="1:9" ht="30">
      <c r="A174" s="359" t="s">
        <v>1429</v>
      </c>
      <c r="B174" s="367" t="s">
        <v>235</v>
      </c>
      <c r="C174" s="223" t="s">
        <v>236</v>
      </c>
      <c r="D174" s="359" t="s">
        <v>7</v>
      </c>
      <c r="E174" s="89">
        <v>3</v>
      </c>
      <c r="F174" s="89">
        <f>TRUNC('MEMÓRIA DESONERADA'!F1103,2)</f>
        <v>439.69</v>
      </c>
      <c r="G174" s="89">
        <f t="shared" si="21"/>
        <v>566.4</v>
      </c>
      <c r="H174" s="89">
        <f t="shared" si="22"/>
        <v>1319.07</v>
      </c>
      <c r="I174" s="89">
        <f t="shared" si="23"/>
        <v>1699.2</v>
      </c>
    </row>
    <row r="175" spans="1:9" ht="45">
      <c r="A175" s="359" t="s">
        <v>1430</v>
      </c>
      <c r="B175" s="367" t="s">
        <v>215</v>
      </c>
      <c r="C175" s="223" t="s">
        <v>216</v>
      </c>
      <c r="D175" s="359" t="s">
        <v>7</v>
      </c>
      <c r="E175" s="89">
        <v>1</v>
      </c>
      <c r="F175" s="89">
        <f>TRUNC('MEMÓRIA DESONERADA'!F1121,2)</f>
        <v>486.61</v>
      </c>
      <c r="G175" s="89">
        <f t="shared" si="21"/>
        <v>626.85</v>
      </c>
      <c r="H175" s="89">
        <f t="shared" si="22"/>
        <v>486.61</v>
      </c>
      <c r="I175" s="89">
        <f t="shared" si="23"/>
        <v>626.85</v>
      </c>
    </row>
    <row r="176" spans="1:9" ht="45">
      <c r="A176" s="359" t="s">
        <v>1431</v>
      </c>
      <c r="B176" s="367" t="s">
        <v>264</v>
      </c>
      <c r="C176" s="223" t="s">
        <v>263</v>
      </c>
      <c r="D176" s="359" t="s">
        <v>7</v>
      </c>
      <c r="E176" s="89">
        <v>3</v>
      </c>
      <c r="F176" s="89">
        <f>TRUNC('MEMÓRIA DESONERADA'!F1138,2)</f>
        <v>141.55</v>
      </c>
      <c r="G176" s="89">
        <f t="shared" si="21"/>
        <v>182.34</v>
      </c>
      <c r="H176" s="89">
        <f t="shared" si="22"/>
        <v>424.65</v>
      </c>
      <c r="I176" s="89">
        <f t="shared" si="23"/>
        <v>547.02</v>
      </c>
    </row>
    <row r="177" spans="1:9" ht="30">
      <c r="A177" s="359" t="s">
        <v>1432</v>
      </c>
      <c r="B177" s="367" t="s">
        <v>335</v>
      </c>
      <c r="C177" s="223" t="s">
        <v>336</v>
      </c>
      <c r="D177" s="359" t="s">
        <v>7</v>
      </c>
      <c r="E177" s="89">
        <v>2</v>
      </c>
      <c r="F177" s="89">
        <f>TRUNC('MEMÓRIA DESONERADA'!F1150,2)</f>
        <v>49.62</v>
      </c>
      <c r="G177" s="89">
        <f t="shared" si="21"/>
        <v>63.92</v>
      </c>
      <c r="H177" s="89">
        <f t="shared" si="22"/>
        <v>99.24</v>
      </c>
      <c r="I177" s="89">
        <f t="shared" si="23"/>
        <v>127.84</v>
      </c>
    </row>
    <row r="178" spans="1:9" ht="30">
      <c r="A178" s="359" t="s">
        <v>1433</v>
      </c>
      <c r="B178" s="367" t="s">
        <v>465</v>
      </c>
      <c r="C178" s="223" t="s">
        <v>466</v>
      </c>
      <c r="D178" s="359" t="s">
        <v>23</v>
      </c>
      <c r="E178" s="89">
        <v>4</v>
      </c>
      <c r="F178" s="89">
        <f>TRUNC('MEMÓRIA DESONERADA'!F1159,2)</f>
        <v>22.08</v>
      </c>
      <c r="G178" s="89">
        <f t="shared" si="21"/>
        <v>28.44</v>
      </c>
      <c r="H178" s="89">
        <f t="shared" si="22"/>
        <v>88.32</v>
      </c>
      <c r="I178" s="89">
        <f t="shared" si="23"/>
        <v>113.76</v>
      </c>
    </row>
    <row r="179" spans="1:9" ht="30">
      <c r="A179" s="359" t="s">
        <v>1434</v>
      </c>
      <c r="B179" s="367" t="s">
        <v>469</v>
      </c>
      <c r="C179" s="223" t="s">
        <v>470</v>
      </c>
      <c r="D179" s="359" t="s">
        <v>23</v>
      </c>
      <c r="E179" s="89">
        <v>18</v>
      </c>
      <c r="F179" s="89">
        <f>TRUNC('MEMÓRIA DESONERADA'!F1166,2)</f>
        <v>42.46</v>
      </c>
      <c r="G179" s="89">
        <f t="shared" si="21"/>
        <v>54.69</v>
      </c>
      <c r="H179" s="89">
        <f t="shared" si="22"/>
        <v>764.28</v>
      </c>
      <c r="I179" s="89">
        <f t="shared" si="23"/>
        <v>984.42</v>
      </c>
    </row>
    <row r="180" spans="1:9" ht="30">
      <c r="A180" s="359" t="s">
        <v>1435</v>
      </c>
      <c r="B180" s="367" t="s">
        <v>447</v>
      </c>
      <c r="C180" s="223" t="s">
        <v>448</v>
      </c>
      <c r="D180" s="359" t="s">
        <v>23</v>
      </c>
      <c r="E180" s="89">
        <v>59</v>
      </c>
      <c r="F180" s="89">
        <f>TRUNC('MEMÓRIA DESONERADA'!F1174,2)</f>
        <v>20.15</v>
      </c>
      <c r="G180" s="89">
        <f t="shared" si="21"/>
        <v>25.95</v>
      </c>
      <c r="H180" s="89">
        <f t="shared" si="22"/>
        <v>1188.85</v>
      </c>
      <c r="I180" s="89">
        <f t="shared" si="23"/>
        <v>1531.05</v>
      </c>
    </row>
    <row r="181" spans="1:9" ht="30">
      <c r="A181" s="359" t="s">
        <v>1436</v>
      </c>
      <c r="B181" s="367" t="s">
        <v>453</v>
      </c>
      <c r="C181" s="223" t="s">
        <v>454</v>
      </c>
      <c r="D181" s="359" t="s">
        <v>23</v>
      </c>
      <c r="E181" s="89">
        <v>6.5</v>
      </c>
      <c r="F181" s="89">
        <f>TRUNC('MEMÓRIA DESONERADA'!F1181,2)</f>
        <v>33.78</v>
      </c>
      <c r="G181" s="89">
        <f t="shared" si="21"/>
        <v>43.51</v>
      </c>
      <c r="H181" s="89">
        <f t="shared" si="22"/>
        <v>219.57</v>
      </c>
      <c r="I181" s="89">
        <f t="shared" si="23"/>
        <v>282.81</v>
      </c>
    </row>
    <row r="182" spans="1:9" ht="30">
      <c r="A182" s="359" t="s">
        <v>1437</v>
      </c>
      <c r="B182" s="367" t="s">
        <v>457</v>
      </c>
      <c r="C182" s="223" t="s">
        <v>458</v>
      </c>
      <c r="D182" s="359" t="s">
        <v>23</v>
      </c>
      <c r="E182" s="89">
        <v>8.5</v>
      </c>
      <c r="F182" s="89">
        <f>TRUNC('MEMÓRIA DESONERADA'!F1188,2)</f>
        <v>64.47</v>
      </c>
      <c r="G182" s="89">
        <f t="shared" si="21"/>
        <v>83.05</v>
      </c>
      <c r="H182" s="89">
        <f t="shared" si="22"/>
        <v>547.99</v>
      </c>
      <c r="I182" s="89">
        <f t="shared" si="23"/>
        <v>705.92</v>
      </c>
    </row>
    <row r="183" spans="1:9" ht="30">
      <c r="A183" s="359" t="s">
        <v>1438</v>
      </c>
      <c r="B183" s="367" t="s">
        <v>475</v>
      </c>
      <c r="C183" s="223" t="s">
        <v>476</v>
      </c>
      <c r="D183" s="359" t="s">
        <v>7</v>
      </c>
      <c r="E183" s="89">
        <v>2</v>
      </c>
      <c r="F183" s="89">
        <f>TRUNC('MEMÓRIA DESONERADA'!F1196,2)</f>
        <v>6.19</v>
      </c>
      <c r="G183" s="89">
        <f t="shared" si="21"/>
        <v>7.97</v>
      </c>
      <c r="H183" s="89">
        <f t="shared" si="22"/>
        <v>12.38</v>
      </c>
      <c r="I183" s="89">
        <f t="shared" si="23"/>
        <v>15.94</v>
      </c>
    </row>
    <row r="184" spans="1:9" ht="30">
      <c r="A184" s="359" t="s">
        <v>1439</v>
      </c>
      <c r="B184" s="367" t="s">
        <v>479</v>
      </c>
      <c r="C184" s="223" t="s">
        <v>480</v>
      </c>
      <c r="D184" s="359" t="s">
        <v>7</v>
      </c>
      <c r="E184" s="89">
        <v>6</v>
      </c>
      <c r="F184" s="89">
        <f>TRUNC('MEMÓRIA DESONERADA'!F1203,2)</f>
        <v>11.43</v>
      </c>
      <c r="G184" s="89">
        <f t="shared" si="21"/>
        <v>14.72</v>
      </c>
      <c r="H184" s="89">
        <f t="shared" si="22"/>
        <v>68.58</v>
      </c>
      <c r="I184" s="89">
        <f t="shared" si="23"/>
        <v>88.32</v>
      </c>
    </row>
    <row r="185" spans="1:9" ht="30">
      <c r="A185" s="359" t="s">
        <v>1440</v>
      </c>
      <c r="B185" s="367" t="s">
        <v>483</v>
      </c>
      <c r="C185" s="223" t="s">
        <v>484</v>
      </c>
      <c r="D185" s="359" t="s">
        <v>7</v>
      </c>
      <c r="E185" s="89">
        <v>8</v>
      </c>
      <c r="F185" s="89">
        <f>TRUNC('MEMÓRIA DESONERADA'!F1210,2)</f>
        <v>8.41</v>
      </c>
      <c r="G185" s="89">
        <f aca="true" t="shared" si="24" ref="G185:G208">TRUNC(F185*1.2882,2)</f>
        <v>10.83</v>
      </c>
      <c r="H185" s="89">
        <f aca="true" t="shared" si="25" ref="H185:H208">TRUNC(F185*E185,2)</f>
        <v>67.28</v>
      </c>
      <c r="I185" s="89">
        <f aca="true" t="shared" si="26" ref="I185:I208">TRUNC(E185*G185,2)</f>
        <v>86.64</v>
      </c>
    </row>
    <row r="186" spans="1:9" ht="30">
      <c r="A186" s="359" t="s">
        <v>1441</v>
      </c>
      <c r="B186" s="367" t="s">
        <v>487</v>
      </c>
      <c r="C186" s="223" t="s">
        <v>488</v>
      </c>
      <c r="D186" s="359" t="s">
        <v>7</v>
      </c>
      <c r="E186" s="89">
        <v>2</v>
      </c>
      <c r="F186" s="89">
        <f>TRUNC('MEMÓRIA DESONERADA'!F1217,2)</f>
        <v>23.92</v>
      </c>
      <c r="G186" s="89">
        <f t="shared" si="24"/>
        <v>30.81</v>
      </c>
      <c r="H186" s="89">
        <f t="shared" si="25"/>
        <v>47.84</v>
      </c>
      <c r="I186" s="89">
        <f t="shared" si="26"/>
        <v>61.62</v>
      </c>
    </row>
    <row r="187" spans="1:9" ht="30">
      <c r="A187" s="359" t="s">
        <v>1442</v>
      </c>
      <c r="B187" s="367" t="s">
        <v>1489</v>
      </c>
      <c r="C187" s="223" t="s">
        <v>1488</v>
      </c>
      <c r="D187" s="359" t="s">
        <v>7</v>
      </c>
      <c r="E187" s="89">
        <v>6</v>
      </c>
      <c r="F187" s="89">
        <f>TRUNC('MEMÓRIA DESONERADA'!F1224,2)</f>
        <v>16.46</v>
      </c>
      <c r="G187" s="89">
        <f t="shared" si="24"/>
        <v>21.2</v>
      </c>
      <c r="H187" s="89">
        <f t="shared" si="25"/>
        <v>98.76</v>
      </c>
      <c r="I187" s="89">
        <f t="shared" si="26"/>
        <v>127.2</v>
      </c>
    </row>
    <row r="188" spans="1:9" ht="30">
      <c r="A188" s="359" t="s">
        <v>1443</v>
      </c>
      <c r="B188" s="367" t="s">
        <v>491</v>
      </c>
      <c r="C188" s="223" t="s">
        <v>492</v>
      </c>
      <c r="D188" s="359" t="s">
        <v>7</v>
      </c>
      <c r="E188" s="89">
        <v>16</v>
      </c>
      <c r="F188" s="89">
        <f>TRUNC('MEMÓRIA DESONERADA'!F1231,2)</f>
        <v>16.46</v>
      </c>
      <c r="G188" s="89">
        <f t="shared" si="24"/>
        <v>21.2</v>
      </c>
      <c r="H188" s="89">
        <f t="shared" si="25"/>
        <v>263.36</v>
      </c>
      <c r="I188" s="89">
        <f t="shared" si="26"/>
        <v>339.2</v>
      </c>
    </row>
    <row r="189" spans="1:9" ht="30">
      <c r="A189" s="359" t="s">
        <v>1444</v>
      </c>
      <c r="B189" s="367" t="s">
        <v>495</v>
      </c>
      <c r="C189" s="223" t="s">
        <v>496</v>
      </c>
      <c r="D189" s="359" t="s">
        <v>7</v>
      </c>
      <c r="E189" s="89">
        <v>10</v>
      </c>
      <c r="F189" s="89">
        <f>TRUNC('MEMÓRIA DESONERADA'!F1238,2)</f>
        <v>10.73</v>
      </c>
      <c r="G189" s="89">
        <f t="shared" si="24"/>
        <v>13.82</v>
      </c>
      <c r="H189" s="89">
        <f t="shared" si="25"/>
        <v>107.3</v>
      </c>
      <c r="I189" s="89">
        <f t="shared" si="26"/>
        <v>138.2</v>
      </c>
    </row>
    <row r="190" spans="1:9" ht="30">
      <c r="A190" s="359" t="s">
        <v>1445</v>
      </c>
      <c r="B190" s="367" t="s">
        <v>499</v>
      </c>
      <c r="C190" s="223" t="s">
        <v>500</v>
      </c>
      <c r="D190" s="359" t="s">
        <v>7</v>
      </c>
      <c r="E190" s="89">
        <v>6</v>
      </c>
      <c r="F190" s="89">
        <f>TRUNC('MEMÓRIA DESONERADA'!F1245,2)</f>
        <v>30.47</v>
      </c>
      <c r="G190" s="89">
        <f t="shared" si="24"/>
        <v>39.25</v>
      </c>
      <c r="H190" s="89">
        <f t="shared" si="25"/>
        <v>182.82</v>
      </c>
      <c r="I190" s="89">
        <f t="shared" si="26"/>
        <v>235.5</v>
      </c>
    </row>
    <row r="191" spans="1:9" ht="30">
      <c r="A191" s="359" t="s">
        <v>1446</v>
      </c>
      <c r="B191" s="367" t="s">
        <v>503</v>
      </c>
      <c r="C191" s="223" t="s">
        <v>504</v>
      </c>
      <c r="D191" s="359" t="s">
        <v>7</v>
      </c>
      <c r="E191" s="89">
        <v>4</v>
      </c>
      <c r="F191" s="89">
        <f>TRUNC('MEMÓRIA DESONERADA'!F1253,2)</f>
        <v>13.89</v>
      </c>
      <c r="G191" s="89">
        <f t="shared" si="24"/>
        <v>17.89</v>
      </c>
      <c r="H191" s="89">
        <f t="shared" si="25"/>
        <v>55.56</v>
      </c>
      <c r="I191" s="89">
        <f t="shared" si="26"/>
        <v>71.56</v>
      </c>
    </row>
    <row r="192" spans="1:9" ht="30">
      <c r="A192" s="359" t="s">
        <v>1447</v>
      </c>
      <c r="B192" s="367" t="s">
        <v>507</v>
      </c>
      <c r="C192" s="223" t="s">
        <v>508</v>
      </c>
      <c r="D192" s="359" t="s">
        <v>7</v>
      </c>
      <c r="E192" s="89">
        <v>4</v>
      </c>
      <c r="F192" s="89">
        <f>TRUNC('MEMÓRIA DESONERADA'!F1260,2)</f>
        <v>38.6</v>
      </c>
      <c r="G192" s="89">
        <f t="shared" si="24"/>
        <v>49.72</v>
      </c>
      <c r="H192" s="89">
        <f t="shared" si="25"/>
        <v>154.4</v>
      </c>
      <c r="I192" s="89">
        <f t="shared" si="26"/>
        <v>198.88</v>
      </c>
    </row>
    <row r="193" spans="1:9" ht="30">
      <c r="A193" s="359" t="s">
        <v>1448</v>
      </c>
      <c r="B193" s="367" t="s">
        <v>1490</v>
      </c>
      <c r="C193" s="223" t="s">
        <v>1491</v>
      </c>
      <c r="D193" s="359" t="s">
        <v>7</v>
      </c>
      <c r="E193" s="89">
        <v>1</v>
      </c>
      <c r="F193" s="89">
        <f>TRUNC('MEMÓRIA DESONERADA'!F1268,2)</f>
        <v>11.3</v>
      </c>
      <c r="G193" s="89">
        <f t="shared" si="24"/>
        <v>14.55</v>
      </c>
      <c r="H193" s="89">
        <f t="shared" si="25"/>
        <v>11.3</v>
      </c>
      <c r="I193" s="89">
        <f t="shared" si="26"/>
        <v>14.55</v>
      </c>
    </row>
    <row r="194" spans="1:9" ht="30">
      <c r="A194" s="359" t="s">
        <v>1449</v>
      </c>
      <c r="B194" s="367" t="s">
        <v>511</v>
      </c>
      <c r="C194" s="223" t="s">
        <v>512</v>
      </c>
      <c r="D194" s="359" t="s">
        <v>7</v>
      </c>
      <c r="E194" s="89">
        <v>4</v>
      </c>
      <c r="F194" s="89">
        <f>TRUNC('MEMÓRIA DESONERADA'!F1275,2)</f>
        <v>11.89</v>
      </c>
      <c r="G194" s="89">
        <f t="shared" si="24"/>
        <v>15.31</v>
      </c>
      <c r="H194" s="89">
        <f t="shared" si="25"/>
        <v>47.56</v>
      </c>
      <c r="I194" s="89">
        <f t="shared" si="26"/>
        <v>61.24</v>
      </c>
    </row>
    <row r="195" spans="1:9" ht="30">
      <c r="A195" s="359" t="s">
        <v>1450</v>
      </c>
      <c r="B195" s="367" t="s">
        <v>515</v>
      </c>
      <c r="C195" s="223" t="s">
        <v>516</v>
      </c>
      <c r="D195" s="359" t="s">
        <v>7</v>
      </c>
      <c r="E195" s="89">
        <v>4</v>
      </c>
      <c r="F195" s="89">
        <f>TRUNC('MEMÓRIA DESONERADA'!F1282,2)</f>
        <v>16.76</v>
      </c>
      <c r="G195" s="89">
        <f t="shared" si="24"/>
        <v>21.59</v>
      </c>
      <c r="H195" s="89">
        <f t="shared" si="25"/>
        <v>67.04</v>
      </c>
      <c r="I195" s="89">
        <f t="shared" si="26"/>
        <v>86.36</v>
      </c>
    </row>
    <row r="196" spans="1:9" ht="30">
      <c r="A196" s="359" t="s">
        <v>1451</v>
      </c>
      <c r="B196" s="367" t="s">
        <v>519</v>
      </c>
      <c r="C196" s="223" t="s">
        <v>520</v>
      </c>
      <c r="D196" s="359" t="s">
        <v>7</v>
      </c>
      <c r="E196" s="89">
        <v>4</v>
      </c>
      <c r="F196" s="89">
        <f>TRUNC('MEMÓRIA DESONERADA'!F1289,2)</f>
        <v>48.17</v>
      </c>
      <c r="G196" s="89">
        <f t="shared" si="24"/>
        <v>62.05</v>
      </c>
      <c r="H196" s="89">
        <f t="shared" si="25"/>
        <v>192.68</v>
      </c>
      <c r="I196" s="89">
        <f t="shared" si="26"/>
        <v>248.2</v>
      </c>
    </row>
    <row r="197" spans="1:9" ht="15">
      <c r="A197" s="359" t="s">
        <v>1453</v>
      </c>
      <c r="B197" s="367" t="s">
        <v>1502</v>
      </c>
      <c r="C197" s="223" t="s">
        <v>1505</v>
      </c>
      <c r="D197" s="359" t="s">
        <v>7</v>
      </c>
      <c r="E197" s="89">
        <v>8</v>
      </c>
      <c r="F197" s="89">
        <f>TRUNC('MEMÓRIA DESONERADA'!F1297,2)</f>
        <v>64.77</v>
      </c>
      <c r="G197" s="89">
        <f t="shared" si="24"/>
        <v>83.43</v>
      </c>
      <c r="H197" s="89">
        <f t="shared" si="25"/>
        <v>518.16</v>
      </c>
      <c r="I197" s="89">
        <f t="shared" si="26"/>
        <v>667.44</v>
      </c>
    </row>
    <row r="198" spans="1:9" ht="15">
      <c r="A198" s="359" t="s">
        <v>1452</v>
      </c>
      <c r="B198" s="367" t="s">
        <v>1503</v>
      </c>
      <c r="C198" s="223" t="s">
        <v>1504</v>
      </c>
      <c r="D198" s="359" t="s">
        <v>7</v>
      </c>
      <c r="E198" s="89">
        <v>4</v>
      </c>
      <c r="F198" s="89">
        <f>TRUNC('MEMÓRIA DESONERADA'!F1303,2)</f>
        <v>288.37</v>
      </c>
      <c r="G198" s="89">
        <f t="shared" si="24"/>
        <v>371.47</v>
      </c>
      <c r="H198" s="89">
        <f t="shared" si="25"/>
        <v>1153.48</v>
      </c>
      <c r="I198" s="89">
        <f t="shared" si="26"/>
        <v>1485.88</v>
      </c>
    </row>
    <row r="199" spans="1:9" ht="30">
      <c r="A199" s="359" t="s">
        <v>1454</v>
      </c>
      <c r="B199" s="367" t="s">
        <v>535</v>
      </c>
      <c r="C199" s="223" t="s">
        <v>536</v>
      </c>
      <c r="D199" s="359" t="s">
        <v>7</v>
      </c>
      <c r="E199" s="89">
        <v>6</v>
      </c>
      <c r="F199" s="89">
        <f>TRUNC('MEMÓRIA DESONERADA'!F1309,2)</f>
        <v>23.7</v>
      </c>
      <c r="G199" s="89">
        <f t="shared" si="24"/>
        <v>30.53</v>
      </c>
      <c r="H199" s="89">
        <f t="shared" si="25"/>
        <v>142.2</v>
      </c>
      <c r="I199" s="89">
        <f t="shared" si="26"/>
        <v>183.18</v>
      </c>
    </row>
    <row r="200" spans="1:9" ht="30">
      <c r="A200" s="359" t="s">
        <v>1455</v>
      </c>
      <c r="B200" s="367" t="s">
        <v>527</v>
      </c>
      <c r="C200" s="223" t="s">
        <v>528</v>
      </c>
      <c r="D200" s="384" t="s">
        <v>7</v>
      </c>
      <c r="E200" s="89">
        <v>6</v>
      </c>
      <c r="F200" s="89">
        <f>TRUNC('MEMÓRIA DESONERADA'!F1316,2)</f>
        <v>9.31</v>
      </c>
      <c r="G200" s="89">
        <f t="shared" si="24"/>
        <v>11.99</v>
      </c>
      <c r="H200" s="89">
        <f t="shared" si="25"/>
        <v>55.86</v>
      </c>
      <c r="I200" s="89">
        <f t="shared" si="26"/>
        <v>71.94</v>
      </c>
    </row>
    <row r="201" spans="1:9" ht="30">
      <c r="A201" s="359" t="s">
        <v>1456</v>
      </c>
      <c r="B201" s="367" t="s">
        <v>523</v>
      </c>
      <c r="C201" s="223" t="s">
        <v>524</v>
      </c>
      <c r="D201" s="359" t="s">
        <v>7</v>
      </c>
      <c r="E201" s="89">
        <v>6</v>
      </c>
      <c r="F201" s="89">
        <f>TRUNC('MEMÓRIA DESONERADA'!F1323,2)</f>
        <v>10.52</v>
      </c>
      <c r="G201" s="89">
        <f t="shared" si="24"/>
        <v>13.55</v>
      </c>
      <c r="H201" s="89">
        <f t="shared" si="25"/>
        <v>63.12</v>
      </c>
      <c r="I201" s="89">
        <f t="shared" si="26"/>
        <v>81.3</v>
      </c>
    </row>
    <row r="202" spans="1:9" ht="30">
      <c r="A202" s="359" t="s">
        <v>1457</v>
      </c>
      <c r="B202" s="367" t="s">
        <v>547</v>
      </c>
      <c r="C202" s="223" t="s">
        <v>548</v>
      </c>
      <c r="D202" s="359" t="s">
        <v>7</v>
      </c>
      <c r="E202" s="89">
        <v>3</v>
      </c>
      <c r="F202" s="89">
        <f>TRUNC('MEMÓRIA DESONERADA'!F1330,2)</f>
        <v>63.79</v>
      </c>
      <c r="G202" s="89">
        <f t="shared" si="24"/>
        <v>82.17</v>
      </c>
      <c r="H202" s="89">
        <f t="shared" si="25"/>
        <v>191.37</v>
      </c>
      <c r="I202" s="89">
        <f t="shared" si="26"/>
        <v>246.51</v>
      </c>
    </row>
    <row r="203" spans="1:9" ht="30">
      <c r="A203" s="359" t="s">
        <v>1458</v>
      </c>
      <c r="B203" s="367" t="s">
        <v>551</v>
      </c>
      <c r="C203" s="223" t="s">
        <v>552</v>
      </c>
      <c r="D203" s="359" t="s">
        <v>7</v>
      </c>
      <c r="E203" s="89">
        <v>1</v>
      </c>
      <c r="F203" s="89">
        <f>TRUNC('MEMÓRIA DESONERADA'!F1337,2)</f>
        <v>71.82</v>
      </c>
      <c r="G203" s="89">
        <f t="shared" si="24"/>
        <v>92.51</v>
      </c>
      <c r="H203" s="89">
        <f t="shared" si="25"/>
        <v>71.82</v>
      </c>
      <c r="I203" s="89">
        <f t="shared" si="26"/>
        <v>92.51</v>
      </c>
    </row>
    <row r="204" spans="1:9" ht="30">
      <c r="A204" s="359" t="s">
        <v>1459</v>
      </c>
      <c r="B204" s="367" t="s">
        <v>555</v>
      </c>
      <c r="C204" s="223" t="s">
        <v>556</v>
      </c>
      <c r="D204" s="359" t="s">
        <v>7</v>
      </c>
      <c r="E204" s="89">
        <v>3</v>
      </c>
      <c r="F204" s="89">
        <f>TRUNC('MEMÓRIA DESONERADA'!F1344,2)</f>
        <v>62.95</v>
      </c>
      <c r="G204" s="89">
        <f t="shared" si="24"/>
        <v>81.09</v>
      </c>
      <c r="H204" s="89">
        <f t="shared" si="25"/>
        <v>188.85</v>
      </c>
      <c r="I204" s="89">
        <f t="shared" si="26"/>
        <v>243.27</v>
      </c>
    </row>
    <row r="205" spans="1:9" ht="30">
      <c r="A205" s="359" t="s">
        <v>1460</v>
      </c>
      <c r="B205" s="367" t="s">
        <v>543</v>
      </c>
      <c r="C205" s="223" t="s">
        <v>544</v>
      </c>
      <c r="D205" s="359" t="s">
        <v>7</v>
      </c>
      <c r="E205" s="89">
        <v>3</v>
      </c>
      <c r="F205" s="89">
        <f>TRUNC('MEMÓRIA DESONERADA'!F1351,2)</f>
        <v>25.69</v>
      </c>
      <c r="G205" s="89">
        <f t="shared" si="24"/>
        <v>33.09</v>
      </c>
      <c r="H205" s="89">
        <f t="shared" si="25"/>
        <v>77.07</v>
      </c>
      <c r="I205" s="89">
        <f t="shared" si="26"/>
        <v>99.27</v>
      </c>
    </row>
    <row r="206" spans="1:9" ht="30">
      <c r="A206" s="359" t="s">
        <v>1461</v>
      </c>
      <c r="B206" s="367" t="s">
        <v>537</v>
      </c>
      <c r="C206" s="223" t="s">
        <v>538</v>
      </c>
      <c r="D206" s="359" t="s">
        <v>7</v>
      </c>
      <c r="E206" s="89">
        <v>2</v>
      </c>
      <c r="F206" s="89">
        <f>TRUNC('MEMÓRIA DESONERADA'!F1358,2)</f>
        <v>20.42</v>
      </c>
      <c r="G206" s="89">
        <f t="shared" si="24"/>
        <v>26.3</v>
      </c>
      <c r="H206" s="89">
        <f t="shared" si="25"/>
        <v>40.84</v>
      </c>
      <c r="I206" s="89">
        <f t="shared" si="26"/>
        <v>52.6</v>
      </c>
    </row>
    <row r="207" spans="1:9" ht="30">
      <c r="A207" s="359" t="s">
        <v>1462</v>
      </c>
      <c r="B207" s="367" t="s">
        <v>1222</v>
      </c>
      <c r="C207" s="223" t="s">
        <v>1223</v>
      </c>
      <c r="D207" s="359" t="s">
        <v>23</v>
      </c>
      <c r="E207" s="89">
        <v>65</v>
      </c>
      <c r="F207" s="89">
        <f>TRUNC('MEMÓRIA DESONERADA'!F1365,2)</f>
        <v>61.43</v>
      </c>
      <c r="G207" s="89">
        <f t="shared" si="24"/>
        <v>79.13</v>
      </c>
      <c r="H207" s="89">
        <f t="shared" si="25"/>
        <v>3992.95</v>
      </c>
      <c r="I207" s="89">
        <f t="shared" si="26"/>
        <v>5143.45</v>
      </c>
    </row>
    <row r="208" spans="1:9" ht="15">
      <c r="A208" s="359" t="s">
        <v>1463</v>
      </c>
      <c r="B208" s="367" t="s">
        <v>1329</v>
      </c>
      <c r="C208" s="223" t="s">
        <v>1322</v>
      </c>
      <c r="D208" s="359" t="s">
        <v>1323</v>
      </c>
      <c r="E208" s="89">
        <v>1</v>
      </c>
      <c r="F208" s="89">
        <f>TRUNC('MEMÓRIA DESONERADA'!F1371,2)</f>
        <v>3347.74</v>
      </c>
      <c r="G208" s="89">
        <f t="shared" si="24"/>
        <v>4312.55</v>
      </c>
      <c r="H208" s="89">
        <f t="shared" si="25"/>
        <v>3347.74</v>
      </c>
      <c r="I208" s="89">
        <f t="shared" si="26"/>
        <v>4312.55</v>
      </c>
    </row>
    <row r="209" spans="1:9" ht="30">
      <c r="A209" s="359" t="s">
        <v>1618</v>
      </c>
      <c r="B209" s="367" t="s">
        <v>1619</v>
      </c>
      <c r="C209" s="223" t="s">
        <v>1620</v>
      </c>
      <c r="D209" s="359" t="s">
        <v>7</v>
      </c>
      <c r="E209" s="89">
        <v>3</v>
      </c>
      <c r="F209" s="89">
        <f>TRUNC('MEMÓRIA DESONERADA'!F1382,2)</f>
        <v>973.84</v>
      </c>
      <c r="G209" s="89">
        <f>TRUNC(F209*1.2882,2)</f>
        <v>1254.5</v>
      </c>
      <c r="H209" s="89">
        <f>TRUNC(F209*E209,2)</f>
        <v>2921.52</v>
      </c>
      <c r="I209" s="89">
        <f>TRUNC(E209*G209,2)</f>
        <v>3763.5</v>
      </c>
    </row>
    <row r="210" spans="1:9" ht="30">
      <c r="A210" s="359" t="s">
        <v>1630</v>
      </c>
      <c r="B210" s="367" t="s">
        <v>1631</v>
      </c>
      <c r="C210" s="223" t="s">
        <v>1632</v>
      </c>
      <c r="D210" s="359" t="s">
        <v>23</v>
      </c>
      <c r="E210" s="89">
        <v>16</v>
      </c>
      <c r="F210" s="89">
        <f>TRUNC('MEMÓRIA DESONERADA'!F1388,2)</f>
        <v>46.64</v>
      </c>
      <c r="G210" s="89">
        <f aca="true" t="shared" si="27" ref="G210:G219">TRUNC(F210*1.2882,2)</f>
        <v>60.08</v>
      </c>
      <c r="H210" s="89">
        <f aca="true" t="shared" si="28" ref="H210:H219">TRUNC(F210*E210,2)</f>
        <v>746.24</v>
      </c>
      <c r="I210" s="89">
        <f aca="true" t="shared" si="29" ref="I210:I219">TRUNC(E210*G210,2)</f>
        <v>961.28</v>
      </c>
    </row>
    <row r="211" spans="1:9" ht="30">
      <c r="A211" s="359" t="s">
        <v>1650</v>
      </c>
      <c r="B211" s="367" t="s">
        <v>1635</v>
      </c>
      <c r="C211" s="223" t="s">
        <v>1636</v>
      </c>
      <c r="D211" s="359" t="s">
        <v>7</v>
      </c>
      <c r="E211" s="89">
        <v>1</v>
      </c>
      <c r="F211" s="89">
        <f>TRUNC('MEMÓRIA DESONERADA'!F1394,2)</f>
        <v>34.61</v>
      </c>
      <c r="G211" s="89">
        <f t="shared" si="27"/>
        <v>44.58</v>
      </c>
      <c r="H211" s="89">
        <f t="shared" si="28"/>
        <v>34.61</v>
      </c>
      <c r="I211" s="89">
        <f t="shared" si="29"/>
        <v>44.58</v>
      </c>
    </row>
    <row r="212" spans="1:9" ht="30">
      <c r="A212" s="359" t="s">
        <v>1652</v>
      </c>
      <c r="B212" s="367" t="s">
        <v>1668</v>
      </c>
      <c r="C212" s="223" t="s">
        <v>1667</v>
      </c>
      <c r="D212" s="359" t="s">
        <v>7</v>
      </c>
      <c r="E212" s="89">
        <v>2</v>
      </c>
      <c r="F212" s="89">
        <f>TRUNC('MEMÓRIA DESONERADA'!F1401,2)</f>
        <v>54.59</v>
      </c>
      <c r="G212" s="89">
        <f t="shared" si="27"/>
        <v>70.32</v>
      </c>
      <c r="H212" s="89">
        <f t="shared" si="28"/>
        <v>109.18</v>
      </c>
      <c r="I212" s="89">
        <f t="shared" si="29"/>
        <v>140.64</v>
      </c>
    </row>
    <row r="213" spans="1:9" ht="30">
      <c r="A213" s="359" t="s">
        <v>1653</v>
      </c>
      <c r="B213" s="367" t="s">
        <v>1642</v>
      </c>
      <c r="C213" s="223" t="s">
        <v>1643</v>
      </c>
      <c r="D213" s="359" t="s">
        <v>7</v>
      </c>
      <c r="E213" s="89">
        <v>5</v>
      </c>
      <c r="F213" s="89">
        <f>TRUNC('MEMÓRIA DESONERADA'!F1408,2)</f>
        <v>28.04</v>
      </c>
      <c r="G213" s="89">
        <f t="shared" si="27"/>
        <v>36.12</v>
      </c>
      <c r="H213" s="89">
        <f t="shared" si="28"/>
        <v>140.2</v>
      </c>
      <c r="I213" s="89">
        <f t="shared" si="29"/>
        <v>180.6</v>
      </c>
    </row>
    <row r="214" spans="1:9" ht="30">
      <c r="A214" s="359" t="s">
        <v>1651</v>
      </c>
      <c r="B214" s="367" t="s">
        <v>1654</v>
      </c>
      <c r="C214" s="223" t="s">
        <v>1655</v>
      </c>
      <c r="D214" s="359" t="s">
        <v>7</v>
      </c>
      <c r="E214" s="89">
        <v>8</v>
      </c>
      <c r="F214" s="89">
        <f>TRUNC('MEMÓRIA DESONERADA'!F1417,2)</f>
        <v>102.49</v>
      </c>
      <c r="G214" s="89">
        <f t="shared" si="27"/>
        <v>132.02</v>
      </c>
      <c r="H214" s="89">
        <f t="shared" si="28"/>
        <v>819.92</v>
      </c>
      <c r="I214" s="89">
        <f t="shared" si="29"/>
        <v>1056.16</v>
      </c>
    </row>
    <row r="215" spans="1:9" ht="30">
      <c r="A215" s="359" t="s">
        <v>1666</v>
      </c>
      <c r="B215" s="367" t="s">
        <v>1656</v>
      </c>
      <c r="C215" s="223" t="s">
        <v>1657</v>
      </c>
      <c r="D215" s="359" t="s">
        <v>7</v>
      </c>
      <c r="E215" s="89">
        <v>6</v>
      </c>
      <c r="F215" s="89">
        <f>TRUNC('MEMÓRIA DESONERADA'!F1425,2)</f>
        <v>62.62</v>
      </c>
      <c r="G215" s="89">
        <f t="shared" si="27"/>
        <v>80.66</v>
      </c>
      <c r="H215" s="89">
        <f t="shared" si="28"/>
        <v>375.72</v>
      </c>
      <c r="I215" s="89">
        <f t="shared" si="29"/>
        <v>483.96</v>
      </c>
    </row>
    <row r="216" spans="1:9" ht="30">
      <c r="A216" s="359" t="s">
        <v>1669</v>
      </c>
      <c r="B216" s="367" t="s">
        <v>1673</v>
      </c>
      <c r="C216" s="223" t="s">
        <v>1674</v>
      </c>
      <c r="D216" s="359" t="s">
        <v>7</v>
      </c>
      <c r="E216" s="89">
        <v>2</v>
      </c>
      <c r="F216" s="89">
        <f>TRUNC('MEMÓRIA DESONERADA'!F1433,2)</f>
        <v>25.1</v>
      </c>
      <c r="G216" s="89">
        <f t="shared" si="27"/>
        <v>32.33</v>
      </c>
      <c r="H216" s="89">
        <f t="shared" si="28"/>
        <v>50.2</v>
      </c>
      <c r="I216" s="89">
        <f t="shared" si="29"/>
        <v>64.66</v>
      </c>
    </row>
    <row r="217" spans="1:9" ht="30">
      <c r="A217" s="359" t="s">
        <v>1670</v>
      </c>
      <c r="B217" s="367" t="s">
        <v>1675</v>
      </c>
      <c r="C217" s="223" t="s">
        <v>1676</v>
      </c>
      <c r="D217" s="359" t="s">
        <v>7</v>
      </c>
      <c r="E217" s="89">
        <v>2</v>
      </c>
      <c r="F217" s="89">
        <f>TRUNC('MEMÓRIA DESONERADA'!F1440,2)</f>
        <v>16.97</v>
      </c>
      <c r="G217" s="89">
        <f t="shared" si="27"/>
        <v>21.86</v>
      </c>
      <c r="H217" s="89">
        <f t="shared" si="28"/>
        <v>33.94</v>
      </c>
      <c r="I217" s="89">
        <f t="shared" si="29"/>
        <v>43.72</v>
      </c>
    </row>
    <row r="218" spans="1:9" ht="30">
      <c r="A218" s="359" t="s">
        <v>1671</v>
      </c>
      <c r="B218" s="367" t="s">
        <v>1682</v>
      </c>
      <c r="C218" s="223" t="s">
        <v>1683</v>
      </c>
      <c r="D218" s="359"/>
      <c r="E218" s="89">
        <v>10</v>
      </c>
      <c r="F218" s="89">
        <f>TRUNC('MEMÓRIA DESONERADA'!F1447,2)</f>
        <v>25.1</v>
      </c>
      <c r="G218" s="89">
        <f t="shared" si="27"/>
        <v>32.33</v>
      </c>
      <c r="H218" s="89">
        <f t="shared" si="28"/>
        <v>251</v>
      </c>
      <c r="I218" s="89">
        <f t="shared" si="29"/>
        <v>323.3</v>
      </c>
    </row>
    <row r="219" spans="1:9" ht="30">
      <c r="A219" s="359" t="s">
        <v>1672</v>
      </c>
      <c r="B219" s="367" t="s">
        <v>1684</v>
      </c>
      <c r="C219" s="223" t="s">
        <v>1685</v>
      </c>
      <c r="D219" s="359" t="s">
        <v>7</v>
      </c>
      <c r="E219" s="89">
        <v>10</v>
      </c>
      <c r="F219" s="89">
        <f>TRUNC('MEMÓRIA DESONERADA'!F1454,2)</f>
        <v>16.97</v>
      </c>
      <c r="G219" s="89">
        <f t="shared" si="27"/>
        <v>21.86</v>
      </c>
      <c r="H219" s="89">
        <f t="shared" si="28"/>
        <v>169.7</v>
      </c>
      <c r="I219" s="89">
        <f t="shared" si="29"/>
        <v>218.6</v>
      </c>
    </row>
    <row r="220" spans="1:9" s="366" customFormat="1" ht="15.75">
      <c r="A220" s="348" t="s">
        <v>18</v>
      </c>
      <c r="B220" s="364"/>
      <c r="C220" s="224"/>
      <c r="D220" s="348"/>
      <c r="E220" s="93"/>
      <c r="F220" s="365"/>
      <c r="G220" s="396" t="s">
        <v>100</v>
      </c>
      <c r="H220" s="365">
        <f>SUM(H154:H219)</f>
        <v>25935.050000000003</v>
      </c>
      <c r="I220" s="365">
        <f>SUM(I154:I219)</f>
        <v>33407.51</v>
      </c>
    </row>
    <row r="221" spans="1:9" ht="14.25" customHeight="1">
      <c r="A221" s="348" t="s">
        <v>27</v>
      </c>
      <c r="B221" s="367"/>
      <c r="C221" s="516" t="s">
        <v>101</v>
      </c>
      <c r="D221" s="516"/>
      <c r="E221" s="516"/>
      <c r="F221" s="516"/>
      <c r="G221" s="516"/>
      <c r="H221" s="516"/>
      <c r="I221" s="516"/>
    </row>
    <row r="222" spans="1:9" ht="45">
      <c r="A222" s="359" t="s">
        <v>99</v>
      </c>
      <c r="B222" s="367" t="s">
        <v>560</v>
      </c>
      <c r="C222" s="223" t="s">
        <v>561</v>
      </c>
      <c r="D222" s="359" t="s">
        <v>23</v>
      </c>
      <c r="E222" s="89">
        <v>294.75</v>
      </c>
      <c r="F222" s="89">
        <f>TRUNC('MEMÓRIA DESONERADA'!F1463,2)</f>
        <v>2.55</v>
      </c>
      <c r="G222" s="89">
        <f aca="true" t="shared" si="30" ref="G222:G267">TRUNC(F222*1.2882,2)</f>
        <v>3.28</v>
      </c>
      <c r="H222" s="89">
        <f aca="true" t="shared" si="31" ref="H222:H267">TRUNC(F222*E222,2)</f>
        <v>751.61</v>
      </c>
      <c r="I222" s="89">
        <f aca="true" t="shared" si="32" ref="I222:I267">TRUNC(E222*G222,2)</f>
        <v>966.78</v>
      </c>
    </row>
    <row r="223" spans="1:9" ht="45">
      <c r="A223" s="359" t="s">
        <v>102</v>
      </c>
      <c r="B223" s="367" t="s">
        <v>568</v>
      </c>
      <c r="C223" s="223" t="s">
        <v>569</v>
      </c>
      <c r="D223" s="359" t="s">
        <v>23</v>
      </c>
      <c r="E223" s="89">
        <v>1800</v>
      </c>
      <c r="F223" s="89">
        <f>TRUNC('MEMÓRIA DESONERADA'!F1470,2)</f>
        <v>3.45</v>
      </c>
      <c r="G223" s="89">
        <f t="shared" si="30"/>
        <v>4.44</v>
      </c>
      <c r="H223" s="89">
        <f t="shared" si="31"/>
        <v>6210</v>
      </c>
      <c r="I223" s="89">
        <f t="shared" si="32"/>
        <v>7992</v>
      </c>
    </row>
    <row r="224" spans="1:9" ht="45">
      <c r="A224" s="359" t="s">
        <v>103</v>
      </c>
      <c r="B224" s="367" t="s">
        <v>572</v>
      </c>
      <c r="C224" s="223" t="s">
        <v>573</v>
      </c>
      <c r="D224" s="359" t="s">
        <v>23</v>
      </c>
      <c r="E224" s="89">
        <v>400</v>
      </c>
      <c r="F224" s="89">
        <f>TRUNC('MEMÓRIA DESONERADA'!F1477,2)</f>
        <v>4.82</v>
      </c>
      <c r="G224" s="89">
        <f t="shared" si="30"/>
        <v>6.2</v>
      </c>
      <c r="H224" s="89">
        <f t="shared" si="31"/>
        <v>1928</v>
      </c>
      <c r="I224" s="89">
        <f t="shared" si="32"/>
        <v>2480</v>
      </c>
    </row>
    <row r="225" spans="1:9" ht="45">
      <c r="A225" s="359" t="s">
        <v>104</v>
      </c>
      <c r="B225" s="367" t="s">
        <v>576</v>
      </c>
      <c r="C225" s="223" t="s">
        <v>577</v>
      </c>
      <c r="D225" s="359" t="s">
        <v>23</v>
      </c>
      <c r="E225" s="89">
        <v>200</v>
      </c>
      <c r="F225" s="89">
        <f>TRUNC('MEMÓRIA DESONERADA'!F1484,2)</f>
        <v>6.36</v>
      </c>
      <c r="G225" s="89">
        <f t="shared" si="30"/>
        <v>8.19</v>
      </c>
      <c r="H225" s="89">
        <f t="shared" si="31"/>
        <v>1272</v>
      </c>
      <c r="I225" s="89">
        <f t="shared" si="32"/>
        <v>1638</v>
      </c>
    </row>
    <row r="226" spans="1:9" ht="45">
      <c r="A226" s="359" t="s">
        <v>105</v>
      </c>
      <c r="B226" s="367" t="s">
        <v>580</v>
      </c>
      <c r="C226" s="223" t="s">
        <v>581</v>
      </c>
      <c r="D226" s="359" t="s">
        <v>23</v>
      </c>
      <c r="E226" s="89">
        <v>200</v>
      </c>
      <c r="F226" s="89">
        <f>TRUNC('MEMÓRIA DESONERADA'!F1491,2)</f>
        <v>9.28</v>
      </c>
      <c r="G226" s="89">
        <f t="shared" si="30"/>
        <v>11.95</v>
      </c>
      <c r="H226" s="89">
        <f t="shared" si="31"/>
        <v>1856</v>
      </c>
      <c r="I226" s="89">
        <f t="shared" si="32"/>
        <v>2390</v>
      </c>
    </row>
    <row r="227" spans="1:9" ht="45">
      <c r="A227" s="359" t="s">
        <v>106</v>
      </c>
      <c r="B227" s="367" t="s">
        <v>584</v>
      </c>
      <c r="C227" s="223" t="s">
        <v>585</v>
      </c>
      <c r="D227" s="359" t="s">
        <v>23</v>
      </c>
      <c r="E227" s="89">
        <v>100</v>
      </c>
      <c r="F227" s="89">
        <f>TRUNC('MEMÓRIA DESONERADA'!F1498,2)</f>
        <v>13.24</v>
      </c>
      <c r="G227" s="89">
        <f t="shared" si="30"/>
        <v>17.05</v>
      </c>
      <c r="H227" s="89">
        <f t="shared" si="31"/>
        <v>1324</v>
      </c>
      <c r="I227" s="89">
        <f t="shared" si="32"/>
        <v>1705</v>
      </c>
    </row>
    <row r="228" spans="1:9" ht="45">
      <c r="A228" s="359" t="s">
        <v>164</v>
      </c>
      <c r="B228" s="367" t="s">
        <v>588</v>
      </c>
      <c r="C228" s="223" t="s">
        <v>589</v>
      </c>
      <c r="D228" s="359" t="s">
        <v>23</v>
      </c>
      <c r="E228" s="89">
        <v>50</v>
      </c>
      <c r="F228" s="89">
        <f>TRUNC('MEMÓRIA DESONERADA'!F1505,2)</f>
        <v>27.16</v>
      </c>
      <c r="G228" s="89">
        <f t="shared" si="30"/>
        <v>34.98</v>
      </c>
      <c r="H228" s="89">
        <f t="shared" si="31"/>
        <v>1358</v>
      </c>
      <c r="I228" s="89">
        <f t="shared" si="32"/>
        <v>1749</v>
      </c>
    </row>
    <row r="229" spans="1:9" ht="45">
      <c r="A229" s="359" t="s">
        <v>165</v>
      </c>
      <c r="B229" s="367" t="s">
        <v>592</v>
      </c>
      <c r="C229" s="223" t="s">
        <v>593</v>
      </c>
      <c r="D229" s="359" t="s">
        <v>23</v>
      </c>
      <c r="E229" s="89">
        <v>50</v>
      </c>
      <c r="F229" s="89">
        <f>TRUNC('MEMÓRIA DESONERADA'!F1512,2)</f>
        <v>53.32</v>
      </c>
      <c r="G229" s="89">
        <f t="shared" si="30"/>
        <v>68.68</v>
      </c>
      <c r="H229" s="89">
        <f t="shared" si="31"/>
        <v>2666</v>
      </c>
      <c r="I229" s="89">
        <f t="shared" si="32"/>
        <v>3434</v>
      </c>
    </row>
    <row r="230" spans="1:9" ht="30">
      <c r="A230" s="359" t="s">
        <v>166</v>
      </c>
      <c r="B230" s="367" t="s">
        <v>596</v>
      </c>
      <c r="C230" s="223" t="s">
        <v>597</v>
      </c>
      <c r="D230" s="359" t="s">
        <v>23</v>
      </c>
      <c r="E230" s="89">
        <v>200</v>
      </c>
      <c r="F230" s="89">
        <f>TRUNC('MEMÓRIA DESONERADA'!F1519,2)</f>
        <v>6.71</v>
      </c>
      <c r="G230" s="89">
        <f t="shared" si="30"/>
        <v>8.64</v>
      </c>
      <c r="H230" s="89">
        <f t="shared" si="31"/>
        <v>1342</v>
      </c>
      <c r="I230" s="89">
        <f t="shared" si="32"/>
        <v>1728</v>
      </c>
    </row>
    <row r="231" spans="1:9" ht="30">
      <c r="A231" s="359" t="s">
        <v>167</v>
      </c>
      <c r="B231" s="367" t="s">
        <v>606</v>
      </c>
      <c r="C231" s="223" t="s">
        <v>607</v>
      </c>
      <c r="D231" s="359" t="s">
        <v>23</v>
      </c>
      <c r="E231" s="89">
        <v>600</v>
      </c>
      <c r="F231" s="89">
        <f>TRUNC('MEMÓRIA DESONERADA'!F1526,2)</f>
        <v>7.77</v>
      </c>
      <c r="G231" s="89">
        <f t="shared" si="30"/>
        <v>10</v>
      </c>
      <c r="H231" s="89">
        <f t="shared" si="31"/>
        <v>4662</v>
      </c>
      <c r="I231" s="89">
        <f t="shared" si="32"/>
        <v>6000</v>
      </c>
    </row>
    <row r="232" spans="1:9" ht="30">
      <c r="A232" s="359" t="s">
        <v>168</v>
      </c>
      <c r="B232" s="367" t="s">
        <v>610</v>
      </c>
      <c r="C232" s="223" t="s">
        <v>611</v>
      </c>
      <c r="D232" s="359" t="s">
        <v>23</v>
      </c>
      <c r="E232" s="89">
        <v>200</v>
      </c>
      <c r="F232" s="89">
        <f>TRUNC('MEMÓRIA DESONERADA'!F1533,2)</f>
        <v>10.96</v>
      </c>
      <c r="G232" s="89">
        <f t="shared" si="30"/>
        <v>14.11</v>
      </c>
      <c r="H232" s="89">
        <f t="shared" si="31"/>
        <v>2192</v>
      </c>
      <c r="I232" s="89">
        <f t="shared" si="32"/>
        <v>2822</v>
      </c>
    </row>
    <row r="233" spans="1:9" ht="30">
      <c r="A233" s="359" t="s">
        <v>169</v>
      </c>
      <c r="B233" s="367" t="s">
        <v>614</v>
      </c>
      <c r="C233" s="223" t="s">
        <v>615</v>
      </c>
      <c r="D233" s="359" t="s">
        <v>23</v>
      </c>
      <c r="E233" s="89">
        <v>50</v>
      </c>
      <c r="F233" s="89">
        <f>TRUNC('MEMÓRIA DESONERADA'!F1540,2)</f>
        <v>14.77</v>
      </c>
      <c r="G233" s="89">
        <f t="shared" si="30"/>
        <v>19.02</v>
      </c>
      <c r="H233" s="89">
        <f t="shared" si="31"/>
        <v>738.5</v>
      </c>
      <c r="I233" s="89">
        <f t="shared" si="32"/>
        <v>951</v>
      </c>
    </row>
    <row r="234" spans="1:9" ht="30">
      <c r="A234" s="359" t="s">
        <v>170</v>
      </c>
      <c r="B234" s="367" t="s">
        <v>618</v>
      </c>
      <c r="C234" s="223" t="s">
        <v>619</v>
      </c>
      <c r="D234" s="359" t="s">
        <v>23</v>
      </c>
      <c r="E234" s="89">
        <v>50</v>
      </c>
      <c r="F234" s="89">
        <f>TRUNC('MEMÓRIA DESONERADA'!F1547,2)</f>
        <v>12.29</v>
      </c>
      <c r="G234" s="89">
        <f t="shared" si="30"/>
        <v>15.83</v>
      </c>
      <c r="H234" s="89">
        <f t="shared" si="31"/>
        <v>614.5</v>
      </c>
      <c r="I234" s="89">
        <f t="shared" si="32"/>
        <v>791.5</v>
      </c>
    </row>
    <row r="235" spans="1:9" ht="45">
      <c r="A235" s="359" t="s">
        <v>622</v>
      </c>
      <c r="B235" s="367" t="s">
        <v>623</v>
      </c>
      <c r="C235" s="223" t="s">
        <v>624</v>
      </c>
      <c r="D235" s="359" t="s">
        <v>7</v>
      </c>
      <c r="E235" s="89">
        <v>76</v>
      </c>
      <c r="F235" s="89">
        <f>TRUNC('MEMÓRIA DESONERADA'!F1553,2)</f>
        <v>90.28</v>
      </c>
      <c r="G235" s="89">
        <f t="shared" si="30"/>
        <v>116.29</v>
      </c>
      <c r="H235" s="89">
        <f t="shared" si="31"/>
        <v>6861.28</v>
      </c>
      <c r="I235" s="89">
        <f t="shared" si="32"/>
        <v>8838.04</v>
      </c>
    </row>
    <row r="236" spans="1:9" ht="45">
      <c r="A236" s="359" t="s">
        <v>637</v>
      </c>
      <c r="B236" s="367" t="s">
        <v>633</v>
      </c>
      <c r="C236" s="223" t="s">
        <v>634</v>
      </c>
      <c r="D236" s="359" t="s">
        <v>7</v>
      </c>
      <c r="E236" s="89">
        <v>2</v>
      </c>
      <c r="F236" s="89">
        <f>TRUNC('MEMÓRIA DESONERADA'!F1562,2)</f>
        <v>127.01</v>
      </c>
      <c r="G236" s="89">
        <f t="shared" si="30"/>
        <v>163.61</v>
      </c>
      <c r="H236" s="89">
        <f t="shared" si="31"/>
        <v>254.02</v>
      </c>
      <c r="I236" s="89">
        <f t="shared" si="32"/>
        <v>327.22</v>
      </c>
    </row>
    <row r="237" spans="1:9" ht="30">
      <c r="A237" s="359" t="s">
        <v>638</v>
      </c>
      <c r="B237" s="367" t="s">
        <v>1506</v>
      </c>
      <c r="C237" s="223" t="s">
        <v>1507</v>
      </c>
      <c r="D237" s="359" t="s">
        <v>7</v>
      </c>
      <c r="E237" s="89">
        <v>4</v>
      </c>
      <c r="F237" s="89">
        <f>TRUNC('MEMÓRIA DESONERADA'!F1571,2)</f>
        <v>109.77</v>
      </c>
      <c r="G237" s="89">
        <f t="shared" si="30"/>
        <v>141.4</v>
      </c>
      <c r="H237" s="89">
        <f t="shared" si="31"/>
        <v>439.08</v>
      </c>
      <c r="I237" s="89">
        <f t="shared" si="32"/>
        <v>565.6</v>
      </c>
    </row>
    <row r="238" spans="1:9" ht="30">
      <c r="A238" s="359" t="s">
        <v>639</v>
      </c>
      <c r="B238" s="367" t="s">
        <v>640</v>
      </c>
      <c r="C238" s="223" t="s">
        <v>641</v>
      </c>
      <c r="D238" s="359" t="s">
        <v>7</v>
      </c>
      <c r="E238" s="89">
        <v>10</v>
      </c>
      <c r="F238" s="89">
        <f>TRUNC('MEMÓRIA DESONERADA'!F1578,2)</f>
        <v>27</v>
      </c>
      <c r="G238" s="89">
        <f t="shared" si="30"/>
        <v>34.78</v>
      </c>
      <c r="H238" s="89">
        <f t="shared" si="31"/>
        <v>270</v>
      </c>
      <c r="I238" s="89">
        <f t="shared" si="32"/>
        <v>347.8</v>
      </c>
    </row>
    <row r="239" spans="1:9" ht="30">
      <c r="A239" s="359" t="s">
        <v>646</v>
      </c>
      <c r="B239" s="367" t="s">
        <v>648</v>
      </c>
      <c r="C239" s="223" t="s">
        <v>649</v>
      </c>
      <c r="D239" s="359" t="s">
        <v>7</v>
      </c>
      <c r="E239" s="89">
        <v>8</v>
      </c>
      <c r="F239" s="89">
        <f>TRUNC('MEMÓRIA DESONERADA'!F1583,2)</f>
        <v>33.58</v>
      </c>
      <c r="G239" s="89">
        <f t="shared" si="30"/>
        <v>43.25</v>
      </c>
      <c r="H239" s="89">
        <f t="shared" si="31"/>
        <v>268.64</v>
      </c>
      <c r="I239" s="89">
        <f t="shared" si="32"/>
        <v>346</v>
      </c>
    </row>
    <row r="240" spans="1:9" ht="30">
      <c r="A240" s="359" t="s">
        <v>647</v>
      </c>
      <c r="B240" s="367" t="s">
        <v>652</v>
      </c>
      <c r="C240" s="223" t="s">
        <v>653</v>
      </c>
      <c r="D240" s="359" t="s">
        <v>7</v>
      </c>
      <c r="E240" s="89">
        <v>26</v>
      </c>
      <c r="F240" s="89">
        <f>TRUNC('MEMÓRIA DESONERADA'!F1588,2)</f>
        <v>224.98</v>
      </c>
      <c r="G240" s="89">
        <f t="shared" si="30"/>
        <v>289.81</v>
      </c>
      <c r="H240" s="89">
        <f t="shared" si="31"/>
        <v>5849.48</v>
      </c>
      <c r="I240" s="89">
        <f t="shared" si="32"/>
        <v>7535.06</v>
      </c>
    </row>
    <row r="241" spans="1:9" ht="30">
      <c r="A241" s="359" t="s">
        <v>658</v>
      </c>
      <c r="B241" s="367" t="s">
        <v>659</v>
      </c>
      <c r="C241" s="223" t="s">
        <v>660</v>
      </c>
      <c r="D241" s="359" t="s">
        <v>7</v>
      </c>
      <c r="E241" s="89">
        <v>43</v>
      </c>
      <c r="F241" s="89">
        <f>TRUNC('MEMÓRIA DESONERADA'!F1594,2)</f>
        <v>28.47</v>
      </c>
      <c r="G241" s="89">
        <f t="shared" si="30"/>
        <v>36.67</v>
      </c>
      <c r="H241" s="89">
        <f t="shared" si="31"/>
        <v>1224.21</v>
      </c>
      <c r="I241" s="89">
        <f t="shared" si="32"/>
        <v>1576.81</v>
      </c>
    </row>
    <row r="242" spans="1:9" ht="30">
      <c r="A242" s="359" t="s">
        <v>667</v>
      </c>
      <c r="B242" s="367" t="s">
        <v>668</v>
      </c>
      <c r="C242" s="223" t="s">
        <v>669</v>
      </c>
      <c r="D242" s="359" t="s">
        <v>7</v>
      </c>
      <c r="E242" s="89">
        <v>4</v>
      </c>
      <c r="F242" s="89">
        <f>TRUNC('MEMÓRIA DESONERADA'!F1599,2)</f>
        <v>34.59</v>
      </c>
      <c r="G242" s="89">
        <f t="shared" si="30"/>
        <v>44.55</v>
      </c>
      <c r="H242" s="89">
        <f t="shared" si="31"/>
        <v>138.36</v>
      </c>
      <c r="I242" s="89">
        <f t="shared" si="32"/>
        <v>178.2</v>
      </c>
    </row>
    <row r="243" spans="1:9" ht="30">
      <c r="A243" s="359" t="s">
        <v>672</v>
      </c>
      <c r="B243" s="367" t="s">
        <v>663</v>
      </c>
      <c r="C243" s="223" t="s">
        <v>664</v>
      </c>
      <c r="D243" s="359" t="s">
        <v>7</v>
      </c>
      <c r="E243" s="89">
        <v>19</v>
      </c>
      <c r="F243" s="89">
        <f>TRUNC('MEMÓRIA DESONERADA'!F1604,2)</f>
        <v>32.5</v>
      </c>
      <c r="G243" s="89">
        <f t="shared" si="30"/>
        <v>41.86</v>
      </c>
      <c r="H243" s="89">
        <f t="shared" si="31"/>
        <v>617.5</v>
      </c>
      <c r="I243" s="89">
        <f t="shared" si="32"/>
        <v>795.34</v>
      </c>
    </row>
    <row r="244" spans="1:9" ht="30">
      <c r="A244" s="359" t="s">
        <v>673</v>
      </c>
      <c r="B244" s="367" t="s">
        <v>668</v>
      </c>
      <c r="C244" s="223" t="s">
        <v>669</v>
      </c>
      <c r="D244" s="359" t="s">
        <v>7</v>
      </c>
      <c r="E244" s="89">
        <v>4</v>
      </c>
      <c r="F244" s="89">
        <f>TRUNC('MEMÓRIA DESONERADA'!F1609,2)</f>
        <v>34.59</v>
      </c>
      <c r="G244" s="89">
        <f t="shared" si="30"/>
        <v>44.55</v>
      </c>
      <c r="H244" s="89">
        <f t="shared" si="31"/>
        <v>138.36</v>
      </c>
      <c r="I244" s="89">
        <f t="shared" si="32"/>
        <v>178.2</v>
      </c>
    </row>
    <row r="245" spans="1:9" ht="15">
      <c r="A245" s="359" t="s">
        <v>674</v>
      </c>
      <c r="B245" s="367" t="s">
        <v>1517</v>
      </c>
      <c r="C245" s="223" t="s">
        <v>1518</v>
      </c>
      <c r="D245" s="359" t="s">
        <v>7</v>
      </c>
      <c r="E245" s="89">
        <v>45</v>
      </c>
      <c r="F245" s="89">
        <f>TRUNC('MEMÓRIA DESONERADA'!F1614,2)</f>
        <v>14.95</v>
      </c>
      <c r="G245" s="89">
        <f t="shared" si="30"/>
        <v>19.25</v>
      </c>
      <c r="H245" s="89">
        <f t="shared" si="31"/>
        <v>672.75</v>
      </c>
      <c r="I245" s="89">
        <f t="shared" si="32"/>
        <v>866.25</v>
      </c>
    </row>
    <row r="246" spans="1:9" ht="30">
      <c r="A246" s="359" t="s">
        <v>675</v>
      </c>
      <c r="B246" s="367" t="s">
        <v>676</v>
      </c>
      <c r="C246" s="223" t="s">
        <v>677</v>
      </c>
      <c r="D246" s="359" t="s">
        <v>7</v>
      </c>
      <c r="E246" s="89">
        <v>134</v>
      </c>
      <c r="F246" s="89">
        <f>TRUNC('MEMÓRIA DESONERADA'!F1620,2)</f>
        <v>9.42</v>
      </c>
      <c r="G246" s="89">
        <f t="shared" si="30"/>
        <v>12.13</v>
      </c>
      <c r="H246" s="89">
        <f t="shared" si="31"/>
        <v>1262.28</v>
      </c>
      <c r="I246" s="89">
        <f t="shared" si="32"/>
        <v>1625.42</v>
      </c>
    </row>
    <row r="247" spans="1:9" ht="30">
      <c r="A247" s="359" t="s">
        <v>680</v>
      </c>
      <c r="B247" s="367" t="s">
        <v>681</v>
      </c>
      <c r="C247" s="223" t="s">
        <v>682</v>
      </c>
      <c r="D247" s="359" t="s">
        <v>7</v>
      </c>
      <c r="E247" s="89">
        <v>15</v>
      </c>
      <c r="F247" s="89">
        <f>TRUNC('MEMÓRIA DESONERADA'!F1626,2)</f>
        <v>22.11</v>
      </c>
      <c r="G247" s="89">
        <f t="shared" si="30"/>
        <v>28.48</v>
      </c>
      <c r="H247" s="89">
        <f t="shared" si="31"/>
        <v>331.65</v>
      </c>
      <c r="I247" s="89">
        <f t="shared" si="32"/>
        <v>427.2</v>
      </c>
    </row>
    <row r="248" spans="1:9" ht="45">
      <c r="A248" s="359" t="s">
        <v>687</v>
      </c>
      <c r="B248" s="367" t="s">
        <v>688</v>
      </c>
      <c r="C248" s="223" t="s">
        <v>689</v>
      </c>
      <c r="D248" s="359" t="s">
        <v>7</v>
      </c>
      <c r="E248" s="89">
        <v>1</v>
      </c>
      <c r="F248" s="89">
        <f>TRUNC('MEMÓRIA DESONERADA'!F1633,2)</f>
        <v>390.84</v>
      </c>
      <c r="G248" s="89">
        <f t="shared" si="30"/>
        <v>503.48</v>
      </c>
      <c r="H248" s="89">
        <f t="shared" si="31"/>
        <v>390.84</v>
      </c>
      <c r="I248" s="89">
        <f t="shared" si="32"/>
        <v>503.48</v>
      </c>
    </row>
    <row r="249" spans="1:9" ht="45">
      <c r="A249" s="359" t="s">
        <v>694</v>
      </c>
      <c r="B249" s="367" t="s">
        <v>696</v>
      </c>
      <c r="C249" s="223" t="s">
        <v>697</v>
      </c>
      <c r="D249" s="359" t="s">
        <v>7</v>
      </c>
      <c r="E249" s="89">
        <v>2</v>
      </c>
      <c r="F249" s="89">
        <f>TRUNC('MEMÓRIA DESONERADA'!F1640,2)</f>
        <v>546.25</v>
      </c>
      <c r="G249" s="89">
        <f t="shared" si="30"/>
        <v>703.67</v>
      </c>
      <c r="H249" s="89">
        <f t="shared" si="31"/>
        <v>1092.5</v>
      </c>
      <c r="I249" s="89">
        <f t="shared" si="32"/>
        <v>1407.34</v>
      </c>
    </row>
    <row r="250" spans="1:9" ht="45">
      <c r="A250" s="359" t="s">
        <v>695</v>
      </c>
      <c r="B250" s="367" t="s">
        <v>700</v>
      </c>
      <c r="C250" s="223" t="s">
        <v>701</v>
      </c>
      <c r="D250" s="359" t="s">
        <v>7</v>
      </c>
      <c r="E250" s="89">
        <v>2</v>
      </c>
      <c r="F250" s="89">
        <f>TRUNC('MEMÓRIA DESONERADA'!F1646,2)</f>
        <v>564.04</v>
      </c>
      <c r="G250" s="89">
        <f t="shared" si="30"/>
        <v>726.59</v>
      </c>
      <c r="H250" s="89">
        <f t="shared" si="31"/>
        <v>1128.08</v>
      </c>
      <c r="I250" s="89">
        <f t="shared" si="32"/>
        <v>1453.18</v>
      </c>
    </row>
    <row r="251" spans="1:9" ht="75">
      <c r="A251" s="359" t="s">
        <v>745</v>
      </c>
      <c r="B251" s="367" t="s">
        <v>705</v>
      </c>
      <c r="C251" s="223" t="s">
        <v>706</v>
      </c>
      <c r="D251" s="359" t="s">
        <v>7</v>
      </c>
      <c r="E251" s="89">
        <v>1</v>
      </c>
      <c r="F251" s="89">
        <f>TRUNC('MEMÓRIA DESONERADA'!F1653,2)</f>
        <v>1165.5</v>
      </c>
      <c r="G251" s="89">
        <f t="shared" si="30"/>
        <v>1501.39</v>
      </c>
      <c r="H251" s="89">
        <f t="shared" si="31"/>
        <v>1165.5</v>
      </c>
      <c r="I251" s="89">
        <f t="shared" si="32"/>
        <v>1501.39</v>
      </c>
    </row>
    <row r="252" spans="1:9" ht="45">
      <c r="A252" s="359" t="s">
        <v>758</v>
      </c>
      <c r="B252" s="367" t="s">
        <v>746</v>
      </c>
      <c r="C252" s="223" t="s">
        <v>747</v>
      </c>
      <c r="D252" s="359" t="s">
        <v>7</v>
      </c>
      <c r="E252" s="89">
        <v>1</v>
      </c>
      <c r="F252" s="89">
        <f>TRUNC('MEMÓRIA DESONERADA'!F1677,2)</f>
        <v>956.03</v>
      </c>
      <c r="G252" s="89">
        <f t="shared" si="30"/>
        <v>1231.55</v>
      </c>
      <c r="H252" s="89">
        <f t="shared" si="31"/>
        <v>956.03</v>
      </c>
      <c r="I252" s="89">
        <f t="shared" si="32"/>
        <v>1231.55</v>
      </c>
    </row>
    <row r="253" spans="1:9" ht="30">
      <c r="A253" s="359" t="s">
        <v>759</v>
      </c>
      <c r="B253" s="367" t="s">
        <v>760</v>
      </c>
      <c r="C253" s="223" t="s">
        <v>761</v>
      </c>
      <c r="D253" s="359" t="s">
        <v>7</v>
      </c>
      <c r="E253" s="89">
        <v>4</v>
      </c>
      <c r="F253" s="89">
        <f>TRUNC('MEMÓRIA DESONERADA'!F1686,2)</f>
        <v>11.39</v>
      </c>
      <c r="G253" s="89">
        <f t="shared" si="30"/>
        <v>14.67</v>
      </c>
      <c r="H253" s="89">
        <f t="shared" si="31"/>
        <v>45.56</v>
      </c>
      <c r="I253" s="89">
        <f t="shared" si="32"/>
        <v>58.68</v>
      </c>
    </row>
    <row r="254" spans="1:9" ht="30">
      <c r="A254" s="359" t="s">
        <v>1464</v>
      </c>
      <c r="B254" s="367" t="s">
        <v>766</v>
      </c>
      <c r="C254" s="223" t="s">
        <v>767</v>
      </c>
      <c r="D254" s="359" t="s">
        <v>7</v>
      </c>
      <c r="E254" s="89">
        <v>3</v>
      </c>
      <c r="F254" s="89">
        <f>TRUNC('MEMÓRIA DESONERADA'!F1693,2)</f>
        <v>12.08</v>
      </c>
      <c r="G254" s="89">
        <f t="shared" si="30"/>
        <v>15.56</v>
      </c>
      <c r="H254" s="89">
        <f t="shared" si="31"/>
        <v>36.24</v>
      </c>
      <c r="I254" s="89">
        <f t="shared" si="32"/>
        <v>46.68</v>
      </c>
    </row>
    <row r="255" spans="1:9" ht="30">
      <c r="A255" s="359" t="s">
        <v>1465</v>
      </c>
      <c r="B255" s="367" t="s">
        <v>768</v>
      </c>
      <c r="C255" s="223" t="s">
        <v>769</v>
      </c>
      <c r="D255" s="359" t="s">
        <v>7</v>
      </c>
      <c r="E255" s="89">
        <v>2</v>
      </c>
      <c r="F255" s="89">
        <f>TRUNC('MEMÓRIA DESONERADA'!F1700,2)</f>
        <v>13.42</v>
      </c>
      <c r="G255" s="89">
        <f t="shared" si="30"/>
        <v>17.28</v>
      </c>
      <c r="H255" s="89">
        <f t="shared" si="31"/>
        <v>26.84</v>
      </c>
      <c r="I255" s="89">
        <f t="shared" si="32"/>
        <v>34.56</v>
      </c>
    </row>
    <row r="256" spans="1:9" ht="30">
      <c r="A256" s="359" t="s">
        <v>1466</v>
      </c>
      <c r="B256" s="367" t="s">
        <v>772</v>
      </c>
      <c r="C256" s="223" t="s">
        <v>773</v>
      </c>
      <c r="D256" s="359" t="s">
        <v>7</v>
      </c>
      <c r="E256" s="89">
        <v>1</v>
      </c>
      <c r="F256" s="89">
        <f>TRUNC('MEMÓRIA DESONERADA'!F1707,2)</f>
        <v>55.58</v>
      </c>
      <c r="G256" s="89">
        <f t="shared" si="30"/>
        <v>71.59</v>
      </c>
      <c r="H256" s="89">
        <f t="shared" si="31"/>
        <v>55.58</v>
      </c>
      <c r="I256" s="89">
        <f t="shared" si="32"/>
        <v>71.59</v>
      </c>
    </row>
    <row r="257" spans="1:9" ht="30">
      <c r="A257" s="359" t="s">
        <v>1467</v>
      </c>
      <c r="B257" s="367" t="s">
        <v>776</v>
      </c>
      <c r="C257" s="223" t="s">
        <v>777</v>
      </c>
      <c r="D257" s="359" t="s">
        <v>7</v>
      </c>
      <c r="E257" s="89">
        <v>19</v>
      </c>
      <c r="F257" s="89">
        <f>TRUNC('MEMÓRIA DESONERADA'!F1714,2)</f>
        <v>58.27</v>
      </c>
      <c r="G257" s="89">
        <f t="shared" si="30"/>
        <v>75.06</v>
      </c>
      <c r="H257" s="89">
        <f t="shared" si="31"/>
        <v>1107.13</v>
      </c>
      <c r="I257" s="89">
        <f t="shared" si="32"/>
        <v>1426.14</v>
      </c>
    </row>
    <row r="258" spans="1:9" ht="30">
      <c r="A258" s="359" t="s">
        <v>1468</v>
      </c>
      <c r="B258" s="367" t="s">
        <v>778</v>
      </c>
      <c r="C258" s="223" t="s">
        <v>779</v>
      </c>
      <c r="D258" s="359" t="s">
        <v>7</v>
      </c>
      <c r="E258" s="89">
        <v>1</v>
      </c>
      <c r="F258" s="89">
        <f>TRUNC('MEMÓRIA DESONERADA'!F1721,2)</f>
        <v>61.54</v>
      </c>
      <c r="G258" s="89">
        <f t="shared" si="30"/>
        <v>79.27</v>
      </c>
      <c r="H258" s="89">
        <f t="shared" si="31"/>
        <v>61.54</v>
      </c>
      <c r="I258" s="89">
        <f t="shared" si="32"/>
        <v>79.27</v>
      </c>
    </row>
    <row r="259" spans="1:9" ht="30">
      <c r="A259" s="359" t="s">
        <v>1469</v>
      </c>
      <c r="B259" s="367" t="s">
        <v>782</v>
      </c>
      <c r="C259" s="223" t="s">
        <v>783</v>
      </c>
      <c r="D259" s="359" t="s">
        <v>7</v>
      </c>
      <c r="E259" s="89">
        <v>2</v>
      </c>
      <c r="F259" s="89">
        <f>TRUNC('MEMÓRIA DESONERADA'!F1728,2)</f>
        <v>86.76</v>
      </c>
      <c r="G259" s="89">
        <f t="shared" si="30"/>
        <v>111.76</v>
      </c>
      <c r="H259" s="89">
        <f t="shared" si="31"/>
        <v>173.52</v>
      </c>
      <c r="I259" s="89">
        <f t="shared" si="32"/>
        <v>223.52</v>
      </c>
    </row>
    <row r="260" spans="1:9" ht="30">
      <c r="A260" s="359" t="s">
        <v>1470</v>
      </c>
      <c r="B260" s="367" t="s">
        <v>704</v>
      </c>
      <c r="C260" s="223" t="s">
        <v>788</v>
      </c>
      <c r="D260" s="359" t="s">
        <v>7</v>
      </c>
      <c r="E260" s="89">
        <v>1</v>
      </c>
      <c r="F260" s="89">
        <f>TRUNC('MEMÓRIA DESONERADA'!F1735,2)</f>
        <v>96.72</v>
      </c>
      <c r="G260" s="89">
        <f t="shared" si="30"/>
        <v>124.59</v>
      </c>
      <c r="H260" s="89">
        <f t="shared" si="31"/>
        <v>96.72</v>
      </c>
      <c r="I260" s="89">
        <f t="shared" si="32"/>
        <v>124.59</v>
      </c>
    </row>
    <row r="261" spans="1:9" ht="30">
      <c r="A261" s="359" t="s">
        <v>1471</v>
      </c>
      <c r="B261" s="367" t="s">
        <v>791</v>
      </c>
      <c r="C261" s="223" t="s">
        <v>792</v>
      </c>
      <c r="D261" s="359" t="s">
        <v>7</v>
      </c>
      <c r="E261" s="89">
        <v>1</v>
      </c>
      <c r="F261" s="89">
        <f>TRUNC('MEMÓRIA DESONERADA'!F1742,2)</f>
        <v>51.43</v>
      </c>
      <c r="G261" s="89">
        <f t="shared" si="30"/>
        <v>66.25</v>
      </c>
      <c r="H261" s="89">
        <f t="shared" si="31"/>
        <v>51.43</v>
      </c>
      <c r="I261" s="89">
        <f t="shared" si="32"/>
        <v>66.25</v>
      </c>
    </row>
    <row r="262" spans="1:9" ht="30">
      <c r="A262" s="359" t="s">
        <v>1472</v>
      </c>
      <c r="B262" s="367" t="s">
        <v>795</v>
      </c>
      <c r="C262" s="223" t="s">
        <v>796</v>
      </c>
      <c r="D262" s="359" t="s">
        <v>7</v>
      </c>
      <c r="E262" s="89">
        <v>2</v>
      </c>
      <c r="F262" s="89">
        <f>TRUNC('MEMÓRIA DESONERADA'!F1748,2)</f>
        <v>131.6</v>
      </c>
      <c r="G262" s="89">
        <f t="shared" si="30"/>
        <v>169.52</v>
      </c>
      <c r="H262" s="89">
        <f t="shared" si="31"/>
        <v>263.2</v>
      </c>
      <c r="I262" s="89">
        <f t="shared" si="32"/>
        <v>339.04</v>
      </c>
    </row>
    <row r="263" spans="1:9" ht="30">
      <c r="A263" s="359" t="s">
        <v>1473</v>
      </c>
      <c r="B263" s="367" t="s">
        <v>799</v>
      </c>
      <c r="C263" s="223" t="s">
        <v>800</v>
      </c>
      <c r="D263" s="359" t="s">
        <v>7</v>
      </c>
      <c r="E263" s="89">
        <v>2</v>
      </c>
      <c r="F263" s="89">
        <f>TRUNC('MEMÓRIA DESONERADA'!F1754,2)</f>
        <v>332.76</v>
      </c>
      <c r="G263" s="89">
        <f t="shared" si="30"/>
        <v>428.66</v>
      </c>
      <c r="H263" s="89">
        <f t="shared" si="31"/>
        <v>665.52</v>
      </c>
      <c r="I263" s="89">
        <f t="shared" si="32"/>
        <v>857.32</v>
      </c>
    </row>
    <row r="264" spans="1:9" ht="45">
      <c r="A264" s="359" t="s">
        <v>1474</v>
      </c>
      <c r="B264" s="367" t="s">
        <v>819</v>
      </c>
      <c r="C264" s="223" t="s">
        <v>818</v>
      </c>
      <c r="D264" s="359" t="s">
        <v>7</v>
      </c>
      <c r="E264" s="89">
        <v>4</v>
      </c>
      <c r="F264" s="89">
        <f>TRUNC('MEMÓRIA DESONERADA'!F1760,2)</f>
        <v>113.63</v>
      </c>
      <c r="G264" s="89">
        <f t="shared" si="30"/>
        <v>146.37</v>
      </c>
      <c r="H264" s="89">
        <f t="shared" si="31"/>
        <v>454.52</v>
      </c>
      <c r="I264" s="89">
        <f t="shared" si="32"/>
        <v>585.48</v>
      </c>
    </row>
    <row r="265" spans="1:9" ht="45">
      <c r="A265" s="359" t="s">
        <v>1475</v>
      </c>
      <c r="B265" s="367" t="s">
        <v>813</v>
      </c>
      <c r="C265" s="223" t="s">
        <v>814</v>
      </c>
      <c r="D265" s="359" t="s">
        <v>7</v>
      </c>
      <c r="E265" s="89">
        <v>2</v>
      </c>
      <c r="F265" s="89">
        <f>TRUNC('MEMÓRIA DESONERADA'!F1766,2)</f>
        <v>190.6</v>
      </c>
      <c r="G265" s="89">
        <f t="shared" si="30"/>
        <v>245.53</v>
      </c>
      <c r="H265" s="89">
        <f t="shared" si="31"/>
        <v>381.2</v>
      </c>
      <c r="I265" s="89">
        <f t="shared" si="32"/>
        <v>491.06</v>
      </c>
    </row>
    <row r="266" spans="1:9" ht="45">
      <c r="A266" s="359" t="s">
        <v>1476</v>
      </c>
      <c r="B266" s="367" t="s">
        <v>822</v>
      </c>
      <c r="C266" s="223" t="s">
        <v>823</v>
      </c>
      <c r="D266" s="359" t="s">
        <v>7</v>
      </c>
      <c r="E266" s="89">
        <v>1</v>
      </c>
      <c r="F266" s="89">
        <f>TRUNC('MEMÓRIA DESONERADA'!F1772,2)</f>
        <v>818</v>
      </c>
      <c r="G266" s="89">
        <f t="shared" si="30"/>
        <v>1053.74</v>
      </c>
      <c r="H266" s="89">
        <f t="shared" si="31"/>
        <v>818</v>
      </c>
      <c r="I266" s="89">
        <f t="shared" si="32"/>
        <v>1053.74</v>
      </c>
    </row>
    <row r="267" spans="1:9" ht="45">
      <c r="A267" s="359" t="s">
        <v>1477</v>
      </c>
      <c r="B267" s="367" t="s">
        <v>803</v>
      </c>
      <c r="C267" s="223" t="s">
        <v>804</v>
      </c>
      <c r="D267" s="359" t="s">
        <v>7</v>
      </c>
      <c r="E267" s="89">
        <v>1</v>
      </c>
      <c r="F267" s="89">
        <f>TRUNC('MEMÓRIA DESONERADA'!F1778,2)</f>
        <v>156.34</v>
      </c>
      <c r="G267" s="89">
        <f t="shared" si="30"/>
        <v>201.39</v>
      </c>
      <c r="H267" s="89">
        <f t="shared" si="31"/>
        <v>156.34</v>
      </c>
      <c r="I267" s="89">
        <f t="shared" si="32"/>
        <v>201.39</v>
      </c>
    </row>
    <row r="268" spans="1:9" s="366" customFormat="1" ht="15.75">
      <c r="A268" s="348" t="s">
        <v>18</v>
      </c>
      <c r="B268" s="364"/>
      <c r="C268" s="224"/>
      <c r="D268" s="348"/>
      <c r="E268" s="93"/>
      <c r="F268" s="365"/>
      <c r="G268" s="396" t="s">
        <v>109</v>
      </c>
      <c r="H268" s="365">
        <f>SUM(H222:H267)</f>
        <v>54368.50999999997</v>
      </c>
      <c r="I268" s="365">
        <f>SUM(I222:I267)</f>
        <v>70010.66999999998</v>
      </c>
    </row>
    <row r="269" spans="1:9" s="385" customFormat="1" ht="14.25" customHeight="1">
      <c r="A269" s="348" t="s">
        <v>107</v>
      </c>
      <c r="B269" s="367"/>
      <c r="C269" s="516" t="s">
        <v>108</v>
      </c>
      <c r="D269" s="516"/>
      <c r="E269" s="516"/>
      <c r="F269" s="516"/>
      <c r="G269" s="516"/>
      <c r="H269" s="516"/>
      <c r="I269" s="516"/>
    </row>
    <row r="270" spans="1:9" s="385" customFormat="1" ht="30">
      <c r="A270" s="359" t="s">
        <v>110</v>
      </c>
      <c r="B270" s="367" t="s">
        <v>1554</v>
      </c>
      <c r="C270" s="223" t="s">
        <v>1549</v>
      </c>
      <c r="D270" s="359" t="s">
        <v>17</v>
      </c>
      <c r="E270" s="89">
        <v>576</v>
      </c>
      <c r="F270" s="89">
        <f>TRUNC('MEMÓRIA DESONERADA'!F1786,2)</f>
        <v>227.23</v>
      </c>
      <c r="G270" s="89">
        <f aca="true" t="shared" si="33" ref="G270:G275">TRUNC(F270*1.2882,2)</f>
        <v>292.71</v>
      </c>
      <c r="H270" s="89">
        <f aca="true" t="shared" si="34" ref="H270:H275">TRUNC(F270*E270,2)</f>
        <v>130884.48</v>
      </c>
      <c r="I270" s="89">
        <f aca="true" t="shared" si="35" ref="I270:I275">TRUNC(E270*G270,2)</f>
        <v>168600.96</v>
      </c>
    </row>
    <row r="271" spans="1:9" s="385" customFormat="1" ht="45">
      <c r="A271" s="359" t="s">
        <v>111</v>
      </c>
      <c r="B271" s="367" t="s">
        <v>1562</v>
      </c>
      <c r="C271" s="223" t="s">
        <v>1628</v>
      </c>
      <c r="D271" s="359" t="s">
        <v>44</v>
      </c>
      <c r="E271" s="89">
        <v>3844.6</v>
      </c>
      <c r="F271" s="89">
        <f>TRUNC('MEMÓRIA DESONERADA'!F1795,2)</f>
        <v>15.81</v>
      </c>
      <c r="G271" s="89">
        <f t="shared" si="33"/>
        <v>20.36</v>
      </c>
      <c r="H271" s="89">
        <f t="shared" si="34"/>
        <v>60783.12</v>
      </c>
      <c r="I271" s="89">
        <f t="shared" si="35"/>
        <v>78276.05</v>
      </c>
    </row>
    <row r="272" spans="1:9" s="397" customFormat="1" ht="30">
      <c r="A272" s="359" t="s">
        <v>112</v>
      </c>
      <c r="B272" s="367" t="s">
        <v>1571</v>
      </c>
      <c r="C272" s="223" t="s">
        <v>1572</v>
      </c>
      <c r="D272" s="359" t="s">
        <v>23</v>
      </c>
      <c r="E272" s="89">
        <v>95.77777777777777</v>
      </c>
      <c r="F272" s="89">
        <f>TRUNC('MEMÓRIA DESONERADA'!F1802,2)</f>
        <v>60.33</v>
      </c>
      <c r="G272" s="89">
        <f t="shared" si="33"/>
        <v>77.71</v>
      </c>
      <c r="H272" s="89">
        <f t="shared" si="34"/>
        <v>5778.27</v>
      </c>
      <c r="I272" s="89">
        <f t="shared" si="35"/>
        <v>7442.89</v>
      </c>
    </row>
    <row r="273" spans="1:9" s="397" customFormat="1" ht="30">
      <c r="A273" s="359" t="s">
        <v>113</v>
      </c>
      <c r="B273" s="367" t="s">
        <v>1581</v>
      </c>
      <c r="C273" s="223" t="s">
        <v>1582</v>
      </c>
      <c r="D273" s="359" t="s">
        <v>23</v>
      </c>
      <c r="E273" s="89">
        <v>52</v>
      </c>
      <c r="F273" s="89">
        <f>TRUNC('MEMÓRIA DESONERADA'!F1814,2)</f>
        <v>90.34</v>
      </c>
      <c r="G273" s="89">
        <f t="shared" si="33"/>
        <v>116.37</v>
      </c>
      <c r="H273" s="89">
        <f t="shared" si="34"/>
        <v>4697.68</v>
      </c>
      <c r="I273" s="89">
        <f t="shared" si="35"/>
        <v>6051.24</v>
      </c>
    </row>
    <row r="274" spans="1:9" s="397" customFormat="1" ht="30">
      <c r="A274" s="359" t="s">
        <v>114</v>
      </c>
      <c r="B274" s="367" t="s">
        <v>1585</v>
      </c>
      <c r="C274" s="223" t="s">
        <v>1586</v>
      </c>
      <c r="D274" s="359" t="s">
        <v>23</v>
      </c>
      <c r="E274" s="89">
        <v>41.666666666666664</v>
      </c>
      <c r="F274" s="89">
        <f>TRUNC('MEMÓRIA DESONERADA'!F1826,2)</f>
        <v>102.89</v>
      </c>
      <c r="G274" s="89">
        <f t="shared" si="33"/>
        <v>132.54</v>
      </c>
      <c r="H274" s="89">
        <f t="shared" si="34"/>
        <v>4287.08</v>
      </c>
      <c r="I274" s="89">
        <f t="shared" si="35"/>
        <v>5522.5</v>
      </c>
    </row>
    <row r="275" spans="1:9" s="397" customFormat="1" ht="30">
      <c r="A275" s="359" t="s">
        <v>1570</v>
      </c>
      <c r="B275" s="367" t="s">
        <v>1589</v>
      </c>
      <c r="C275" s="223" t="s">
        <v>1590</v>
      </c>
      <c r="D275" s="359" t="s">
        <v>23</v>
      </c>
      <c r="E275" s="89">
        <v>36</v>
      </c>
      <c r="F275" s="89">
        <f>TRUNC('MEMÓRIA DESONERADA'!F1833,2)</f>
        <v>33.35</v>
      </c>
      <c r="G275" s="89">
        <f t="shared" si="33"/>
        <v>42.96</v>
      </c>
      <c r="H275" s="89">
        <f t="shared" si="34"/>
        <v>1200.6</v>
      </c>
      <c r="I275" s="89">
        <f t="shared" si="35"/>
        <v>1546.56</v>
      </c>
    </row>
    <row r="276" spans="1:9" s="413" customFormat="1" ht="15.75">
      <c r="A276" s="348" t="s">
        <v>18</v>
      </c>
      <c r="B276" s="364"/>
      <c r="C276" s="224"/>
      <c r="D276" s="348"/>
      <c r="E276" s="93"/>
      <c r="F276" s="365"/>
      <c r="G276" s="396" t="s">
        <v>120</v>
      </c>
      <c r="H276" s="365">
        <f>SUM(H270:H275)</f>
        <v>207631.22999999998</v>
      </c>
      <c r="I276" s="365">
        <f>SUM(I270:I275)</f>
        <v>267440.2</v>
      </c>
    </row>
    <row r="277" spans="1:9" ht="14.25" customHeight="1">
      <c r="A277" s="348" t="s">
        <v>119</v>
      </c>
      <c r="B277" s="367"/>
      <c r="C277" s="516" t="s">
        <v>21</v>
      </c>
      <c r="D277" s="516"/>
      <c r="E277" s="516"/>
      <c r="F277" s="516"/>
      <c r="G277" s="516"/>
      <c r="H277" s="516"/>
      <c r="I277" s="516"/>
    </row>
    <row r="278" spans="1:9" ht="75">
      <c r="A278" s="359" t="s">
        <v>121</v>
      </c>
      <c r="B278" s="367" t="s">
        <v>1043</v>
      </c>
      <c r="C278" s="223" t="s">
        <v>1044</v>
      </c>
      <c r="D278" s="359" t="s">
        <v>17</v>
      </c>
      <c r="E278" s="89">
        <v>1363.6</v>
      </c>
      <c r="F278" s="89">
        <f>TRUNC('MEMÓRIA DESONERADA'!F1842,2)</f>
        <v>16.25</v>
      </c>
      <c r="G278" s="89">
        <f aca="true" t="shared" si="36" ref="G278:G284">TRUNC(F278*1.2882,2)</f>
        <v>20.93</v>
      </c>
      <c r="H278" s="89">
        <f aca="true" t="shared" si="37" ref="H278:H284">TRUNC(F278*E278,2)</f>
        <v>22158.5</v>
      </c>
      <c r="I278" s="89">
        <f aca="true" t="shared" si="38" ref="I278:I284">TRUNC(E278*G278,2)</f>
        <v>28540.14</v>
      </c>
    </row>
    <row r="279" spans="1:10" ht="45">
      <c r="A279" s="359" t="s">
        <v>122</v>
      </c>
      <c r="B279" s="367" t="s">
        <v>1054</v>
      </c>
      <c r="C279" s="223" t="s">
        <v>1055</v>
      </c>
      <c r="D279" s="359" t="s">
        <v>17</v>
      </c>
      <c r="E279" s="89">
        <f>1363.6+311.16</f>
        <v>1674.76</v>
      </c>
      <c r="F279" s="89">
        <f>TRUNC('MEMÓRIA DESONERADA'!F1850,2)</f>
        <v>19.47</v>
      </c>
      <c r="G279" s="89">
        <f t="shared" si="36"/>
        <v>25.08</v>
      </c>
      <c r="H279" s="89">
        <f t="shared" si="37"/>
        <v>32607.57</v>
      </c>
      <c r="I279" s="89">
        <f t="shared" si="38"/>
        <v>42002.98</v>
      </c>
      <c r="J279" s="388"/>
    </row>
    <row r="280" spans="1:9" ht="45">
      <c r="A280" s="359" t="s">
        <v>123</v>
      </c>
      <c r="B280" s="367" t="s">
        <v>1058</v>
      </c>
      <c r="C280" s="223" t="s">
        <v>1059</v>
      </c>
      <c r="D280" s="359" t="s">
        <v>17</v>
      </c>
      <c r="E280" s="89">
        <f>230.8+80.36</f>
        <v>311.16</v>
      </c>
      <c r="F280" s="89">
        <f>TRUNC('MEMÓRIA DESONERADA'!F1858,2)</f>
        <v>30.7</v>
      </c>
      <c r="G280" s="89">
        <f t="shared" si="36"/>
        <v>39.54</v>
      </c>
      <c r="H280" s="89">
        <f t="shared" si="37"/>
        <v>9552.61</v>
      </c>
      <c r="I280" s="89">
        <f t="shared" si="38"/>
        <v>12303.26</v>
      </c>
    </row>
    <row r="281" spans="1:9" ht="45">
      <c r="A281" s="359" t="s">
        <v>124</v>
      </c>
      <c r="B281" s="367" t="s">
        <v>1062</v>
      </c>
      <c r="C281" s="223" t="s">
        <v>1063</v>
      </c>
      <c r="D281" s="359" t="s">
        <v>17</v>
      </c>
      <c r="E281" s="89">
        <v>8.75</v>
      </c>
      <c r="F281" s="89">
        <f>TRUNC('MEMÓRIA DESONERADA'!F1866,2)</f>
        <v>19.86</v>
      </c>
      <c r="G281" s="89">
        <f t="shared" si="36"/>
        <v>25.58</v>
      </c>
      <c r="H281" s="89">
        <f t="shared" si="37"/>
        <v>173.77</v>
      </c>
      <c r="I281" s="89">
        <f t="shared" si="38"/>
        <v>223.82</v>
      </c>
    </row>
    <row r="282" spans="1:9" ht="45">
      <c r="A282" s="359" t="s">
        <v>125</v>
      </c>
      <c r="B282" s="367" t="s">
        <v>1072</v>
      </c>
      <c r="C282" s="223" t="s">
        <v>1073</v>
      </c>
      <c r="D282" s="359" t="s">
        <v>17</v>
      </c>
      <c r="E282" s="89">
        <f>13*0.8*2.1*3+0.7*2.1*3+0.9*2.1*3</f>
        <v>75.60000000000001</v>
      </c>
      <c r="F282" s="89">
        <f>TRUNC('MEMÓRIA DESONERADA'!F1874,2)</f>
        <v>45.5</v>
      </c>
      <c r="G282" s="89">
        <f t="shared" si="36"/>
        <v>58.61</v>
      </c>
      <c r="H282" s="89">
        <f t="shared" si="37"/>
        <v>3439.8</v>
      </c>
      <c r="I282" s="89">
        <f t="shared" si="38"/>
        <v>4430.91</v>
      </c>
    </row>
    <row r="283" spans="1:9" ht="45">
      <c r="A283" s="359" t="s">
        <v>126</v>
      </c>
      <c r="B283" s="367" t="s">
        <v>1070</v>
      </c>
      <c r="C283" s="223" t="s">
        <v>1071</v>
      </c>
      <c r="D283" s="359" t="s">
        <v>17</v>
      </c>
      <c r="E283" s="89">
        <f>13*0.8*2.1*3+0.7*2.1*3+0.9*2.1*3</f>
        <v>75.60000000000001</v>
      </c>
      <c r="F283" s="89">
        <f>TRUNC('MEMÓRIA DESONERADA'!F1883,2)</f>
        <v>9.47</v>
      </c>
      <c r="G283" s="89">
        <f t="shared" si="36"/>
        <v>12.19</v>
      </c>
      <c r="H283" s="89">
        <f t="shared" si="37"/>
        <v>715.93</v>
      </c>
      <c r="I283" s="89">
        <f t="shared" si="38"/>
        <v>921.56</v>
      </c>
    </row>
    <row r="284" spans="1:9" ht="45">
      <c r="A284" s="359" t="s">
        <v>265</v>
      </c>
      <c r="B284" s="367" t="s">
        <v>1082</v>
      </c>
      <c r="C284" s="223" t="s">
        <v>1083</v>
      </c>
      <c r="D284" s="359" t="s">
        <v>17</v>
      </c>
      <c r="E284" s="89">
        <v>62</v>
      </c>
      <c r="F284" s="89">
        <f>TRUNC('MEMÓRIA DESONERADA'!F1889,2)</f>
        <v>118.39</v>
      </c>
      <c r="G284" s="89">
        <f t="shared" si="36"/>
        <v>152.5</v>
      </c>
      <c r="H284" s="89">
        <f t="shared" si="37"/>
        <v>7340.18</v>
      </c>
      <c r="I284" s="89">
        <f t="shared" si="38"/>
        <v>9455</v>
      </c>
    </row>
    <row r="285" spans="1:9" s="366" customFormat="1" ht="15.75">
      <c r="A285" s="348" t="s">
        <v>18</v>
      </c>
      <c r="B285" s="364"/>
      <c r="C285" s="224"/>
      <c r="D285" s="348"/>
      <c r="E285" s="93"/>
      <c r="F285" s="365"/>
      <c r="G285" s="396" t="s">
        <v>128</v>
      </c>
      <c r="H285" s="365">
        <f>SUM(H278:H284)</f>
        <v>75988.35999999999</v>
      </c>
      <c r="I285" s="365">
        <f>SUM(I278:I284)</f>
        <v>97877.67</v>
      </c>
    </row>
    <row r="286" spans="1:9" ht="14.25" customHeight="1">
      <c r="A286" s="348" t="s">
        <v>129</v>
      </c>
      <c r="B286" s="367"/>
      <c r="C286" s="516" t="s">
        <v>130</v>
      </c>
      <c r="D286" s="516"/>
      <c r="E286" s="516"/>
      <c r="F286" s="516"/>
      <c r="G286" s="516"/>
      <c r="H286" s="516"/>
      <c r="I286" s="516"/>
    </row>
    <row r="287" spans="1:9" ht="75">
      <c r="A287" s="359" t="s">
        <v>1478</v>
      </c>
      <c r="B287" s="367" t="s">
        <v>339</v>
      </c>
      <c r="C287" s="223" t="s">
        <v>340</v>
      </c>
      <c r="D287" s="359" t="s">
        <v>23</v>
      </c>
      <c r="E287" s="89">
        <v>19.5</v>
      </c>
      <c r="F287" s="89">
        <f>TRUNC('MEMÓRIA DESONERADA'!F1898,2)</f>
        <v>257.79</v>
      </c>
      <c r="G287" s="89">
        <f>TRUNC(F287*1.2882,2)</f>
        <v>332.08</v>
      </c>
      <c r="H287" s="89">
        <f>TRUNC(F287*E287,2)</f>
        <v>5026.9</v>
      </c>
      <c r="I287" s="89">
        <f>TRUNC(E287*G287,2)</f>
        <v>6475.56</v>
      </c>
    </row>
    <row r="288" spans="1:9" s="366" customFormat="1" ht="15.75">
      <c r="A288" s="348" t="s">
        <v>18</v>
      </c>
      <c r="B288" s="364"/>
      <c r="C288" s="224"/>
      <c r="D288" s="348"/>
      <c r="E288" s="93"/>
      <c r="F288" s="365"/>
      <c r="G288" s="396" t="s">
        <v>131</v>
      </c>
      <c r="H288" s="365">
        <f>SUM(H287)</f>
        <v>5026.9</v>
      </c>
      <c r="I288" s="365">
        <f>SUM(I287)</f>
        <v>6475.56</v>
      </c>
    </row>
    <row r="289" spans="1:9" ht="14.25" customHeight="1">
      <c r="A289" s="348" t="s">
        <v>132</v>
      </c>
      <c r="B289" s="367"/>
      <c r="C289" s="516" t="s">
        <v>133</v>
      </c>
      <c r="D289" s="516"/>
      <c r="E289" s="516"/>
      <c r="F289" s="516"/>
      <c r="G289" s="516"/>
      <c r="H289" s="516"/>
      <c r="I289" s="516"/>
    </row>
    <row r="290" spans="1:9" ht="75">
      <c r="A290" s="359" t="s">
        <v>134</v>
      </c>
      <c r="B290" s="367" t="s">
        <v>145</v>
      </c>
      <c r="C290" s="223" t="s">
        <v>258</v>
      </c>
      <c r="D290" s="359" t="s">
        <v>136</v>
      </c>
      <c r="E290" s="89">
        <v>584.33</v>
      </c>
      <c r="F290" s="89">
        <f>TRUNC('MEMÓRIA DESONERADA'!F1916,2)</f>
        <v>14.25</v>
      </c>
      <c r="G290" s="89">
        <f>TRUNC(F290*1.2882,2)</f>
        <v>18.35</v>
      </c>
      <c r="H290" s="89">
        <f>TRUNC(F290*E290,2)</f>
        <v>8326.7</v>
      </c>
      <c r="I290" s="89">
        <f>TRUNC(E290*G290,2)</f>
        <v>10722.45</v>
      </c>
    </row>
    <row r="291" spans="1:9" ht="60.75">
      <c r="A291" s="359" t="s">
        <v>135</v>
      </c>
      <c r="B291" s="367" t="s">
        <v>147</v>
      </c>
      <c r="C291" s="223" t="s">
        <v>1519</v>
      </c>
      <c r="D291" s="359" t="s">
        <v>149</v>
      </c>
      <c r="E291" s="89">
        <f>E290*5.5</f>
        <v>3213.815</v>
      </c>
      <c r="F291" s="89">
        <f>TRUNC('MEMÓRIA DESONERADA'!F1923,2)</f>
        <v>1.71</v>
      </c>
      <c r="G291" s="89">
        <f>TRUNC(F291*1.2882,2)</f>
        <v>2.2</v>
      </c>
      <c r="H291" s="89">
        <f>TRUNC(F291*E291,2)</f>
        <v>5495.62</v>
      </c>
      <c r="I291" s="89">
        <f>TRUNC(E291*G291,2)</f>
        <v>7070.39</v>
      </c>
    </row>
    <row r="292" spans="1:9" ht="15">
      <c r="A292" s="359" t="s">
        <v>150</v>
      </c>
      <c r="B292" s="367" t="s">
        <v>255</v>
      </c>
      <c r="C292" s="223" t="s">
        <v>152</v>
      </c>
      <c r="D292" s="359" t="s">
        <v>163</v>
      </c>
      <c r="E292" s="89">
        <f>E290</f>
        <v>584.33</v>
      </c>
      <c r="F292" s="89">
        <f>TRUNC('MEMÓRIA DESONERADA'!F1927,2)</f>
        <v>30</v>
      </c>
      <c r="G292" s="89">
        <f>TRUNC(F292*1.2285,2)</f>
        <v>36.85</v>
      </c>
      <c r="H292" s="89">
        <f>TRUNC(F292*E292,2)</f>
        <v>17529.9</v>
      </c>
      <c r="I292" s="89">
        <f>TRUNC(E292*G292,2)</f>
        <v>21532.56</v>
      </c>
    </row>
    <row r="293" spans="1:9" ht="60">
      <c r="A293" s="359" t="s">
        <v>151</v>
      </c>
      <c r="B293" s="367" t="s">
        <v>153</v>
      </c>
      <c r="C293" s="223" t="s">
        <v>154</v>
      </c>
      <c r="D293" s="359" t="s">
        <v>136</v>
      </c>
      <c r="E293" s="89">
        <v>45</v>
      </c>
      <c r="F293" s="89">
        <f>TRUNC('MEMÓRIA DESONERADA'!F1930,2)</f>
        <v>91.47</v>
      </c>
      <c r="G293" s="89">
        <f>TRUNC(F293*1.2882,2)</f>
        <v>117.83</v>
      </c>
      <c r="H293" s="89">
        <f>TRUNC(F293*E293,2)</f>
        <v>4116.15</v>
      </c>
      <c r="I293" s="89">
        <f>TRUNC(E293*G293,2)</f>
        <v>5302.35</v>
      </c>
    </row>
    <row r="294" spans="1:9" ht="60.75">
      <c r="A294" s="359" t="s">
        <v>159</v>
      </c>
      <c r="B294" s="367" t="s">
        <v>160</v>
      </c>
      <c r="C294" s="223" t="s">
        <v>1520</v>
      </c>
      <c r="D294" s="359" t="s">
        <v>149</v>
      </c>
      <c r="E294" s="89">
        <f>45*6.3</f>
        <v>283.5</v>
      </c>
      <c r="F294" s="89">
        <f>TRUNC('MEMÓRIA DESONERADA'!F1936,2)</f>
        <v>1.48</v>
      </c>
      <c r="G294" s="89">
        <f>TRUNC(F294*1.2882,2)</f>
        <v>1.9</v>
      </c>
      <c r="H294" s="89">
        <f>TRUNC(F294*E294,2)</f>
        <v>419.58</v>
      </c>
      <c r="I294" s="89">
        <f>TRUNC(E294*G294,2)</f>
        <v>538.65</v>
      </c>
    </row>
    <row r="295" spans="1:9" s="366" customFormat="1" ht="15.75">
      <c r="A295" s="348" t="s">
        <v>18</v>
      </c>
      <c r="B295" s="364"/>
      <c r="C295" s="224"/>
      <c r="D295" s="348"/>
      <c r="E295" s="93"/>
      <c r="F295" s="365"/>
      <c r="G295" s="396" t="s">
        <v>162</v>
      </c>
      <c r="H295" s="365">
        <f>SUM(H290:H294)</f>
        <v>35887.950000000004</v>
      </c>
      <c r="I295" s="365">
        <f>SUM(I290:I294)</f>
        <v>45166.4</v>
      </c>
    </row>
    <row r="296" spans="1:9" s="366" customFormat="1" ht="15.75">
      <c r="A296" s="348" t="s">
        <v>18</v>
      </c>
      <c r="B296" s="364"/>
      <c r="C296" s="224"/>
      <c r="D296" s="348"/>
      <c r="E296" s="93"/>
      <c r="F296" s="365"/>
      <c r="G296" s="396" t="s">
        <v>275</v>
      </c>
      <c r="H296" s="365">
        <f>H27+H104+H122+H137+H152+H220+H268+H276+H285+H288+H295</f>
        <v>1254489.4758</v>
      </c>
      <c r="I296" s="365">
        <f>I27+I104+I122+I137+I152+I220+I268+I276+I285+I288+I295</f>
        <v>1600975.77</v>
      </c>
    </row>
  </sheetData>
  <sheetProtection/>
  <mergeCells count="29">
    <mergeCell ref="C105:I105"/>
    <mergeCell ref="C123:I123"/>
    <mergeCell ref="C138:I138"/>
    <mergeCell ref="C153:I153"/>
    <mergeCell ref="C221:I221"/>
    <mergeCell ref="C289:I289"/>
    <mergeCell ref="C269:I269"/>
    <mergeCell ref="C277:I277"/>
    <mergeCell ref="C286:I286"/>
    <mergeCell ref="F8:I8"/>
    <mergeCell ref="A9:I9"/>
    <mergeCell ref="A10:A11"/>
    <mergeCell ref="B10:B11"/>
    <mergeCell ref="C10:C11"/>
    <mergeCell ref="D10:D11"/>
    <mergeCell ref="E10:E11"/>
    <mergeCell ref="F10:I10"/>
    <mergeCell ref="C5:E5"/>
    <mergeCell ref="F5:I5"/>
    <mergeCell ref="C6:E6"/>
    <mergeCell ref="F6:I6"/>
    <mergeCell ref="C7:E7"/>
    <mergeCell ref="F7:I7"/>
    <mergeCell ref="C1:E1"/>
    <mergeCell ref="C2:E2"/>
    <mergeCell ref="C3:E3"/>
    <mergeCell ref="F3:I3"/>
    <mergeCell ref="C4:E4"/>
    <mergeCell ref="F4:I4"/>
  </mergeCells>
  <printOptions horizontalCentered="1"/>
  <pageMargins left="0.984251968503937" right="0.984251968503937" top="0.7874015748031497" bottom="0.7874015748031497" header="0.5118110236220472" footer="0.5118110236220472"/>
  <pageSetup fitToHeight="1000" fitToWidth="1" horizontalDpi="600" verticalDpi="600" orientation="landscape" paperSize="9" scale="47" r:id="rId2"/>
  <headerFooter alignWithMargins="0">
    <oddFooter>&amp;C&amp;A&amp;RPágina &amp;P</oddFooter>
  </headerFooter>
  <rowBreaks count="1" manualBreakCount="1">
    <brk id="251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7"/>
  <sheetViews>
    <sheetView tabSelected="1" view="pageBreakPreview" zoomScale="50" zoomScaleNormal="50" zoomScaleSheetLayoutView="50" zoomScalePageLayoutView="0" workbookViewId="0" topLeftCell="A13">
      <selection activeCell="R21" sqref="R21"/>
    </sheetView>
  </sheetViews>
  <sheetFormatPr defaultColWidth="9.140625" defaultRowHeight="15"/>
  <cols>
    <col min="1" max="1" width="10.8515625" style="64" bestFit="1" customWidth="1"/>
    <col min="2" max="2" width="75.28125" style="64" bestFit="1" customWidth="1"/>
    <col min="3" max="3" width="19.140625" style="64" bestFit="1" customWidth="1"/>
    <col min="4" max="4" width="14.8515625" style="64" bestFit="1" customWidth="1"/>
    <col min="5" max="5" width="19.140625" style="64" bestFit="1" customWidth="1"/>
    <col min="6" max="6" width="14.8515625" style="64" bestFit="1" customWidth="1"/>
    <col min="7" max="7" width="21.28125" style="64" bestFit="1" customWidth="1"/>
    <col min="8" max="8" width="14.8515625" style="64" bestFit="1" customWidth="1"/>
    <col min="9" max="9" width="21.28125" style="64" bestFit="1" customWidth="1"/>
    <col min="10" max="10" width="14.8515625" style="64" bestFit="1" customWidth="1"/>
    <col min="11" max="11" width="21.28125" style="64" bestFit="1" customWidth="1"/>
    <col min="12" max="12" width="14.8515625" style="64" bestFit="1" customWidth="1"/>
    <col min="13" max="13" width="19.140625" style="64" bestFit="1" customWidth="1"/>
    <col min="14" max="14" width="14.8515625" style="64" bestFit="1" customWidth="1"/>
    <col min="15" max="15" width="19.140625" style="64" bestFit="1" customWidth="1"/>
    <col min="16" max="16" width="14.8515625" style="64" bestFit="1" customWidth="1"/>
    <col min="17" max="17" width="19.140625" style="64" bestFit="1" customWidth="1"/>
    <col min="18" max="18" width="14.8515625" style="64" bestFit="1" customWidth="1"/>
    <col min="19" max="19" width="19.140625" style="64" bestFit="1" customWidth="1"/>
    <col min="20" max="20" width="14.8515625" style="64" bestFit="1" customWidth="1"/>
    <col min="21" max="21" width="19.140625" style="64" bestFit="1" customWidth="1"/>
    <col min="22" max="22" width="14.8515625" style="64" bestFit="1" customWidth="1"/>
    <col min="23" max="23" width="19.140625" style="64" bestFit="1" customWidth="1"/>
    <col min="24" max="24" width="14.8515625" style="64" bestFit="1" customWidth="1"/>
    <col min="25" max="25" width="19.140625" style="64" bestFit="1" customWidth="1"/>
    <col min="26" max="26" width="17.00390625" style="64" bestFit="1" customWidth="1"/>
    <col min="27" max="27" width="24.7109375" style="64" bestFit="1" customWidth="1"/>
    <col min="28" max="28" width="21.28125" style="64" bestFit="1" customWidth="1"/>
    <col min="29" max="29" width="16.8515625" style="64" bestFit="1" customWidth="1"/>
    <col min="30" max="16384" width="9.140625" style="64" customWidth="1"/>
  </cols>
  <sheetData>
    <row r="1" spans="1:29" s="49" customFormat="1" ht="63" customHeight="1">
      <c r="A1" s="538" t="s">
        <v>0</v>
      </c>
      <c r="B1" s="539"/>
      <c r="C1" s="539"/>
      <c r="D1" s="539"/>
      <c r="E1" s="539"/>
      <c r="F1" s="539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7"/>
      <c r="AB1" s="48"/>
      <c r="AC1" s="48"/>
    </row>
    <row r="2" spans="1:29" s="49" customFormat="1" ht="63" customHeight="1">
      <c r="A2" s="540" t="s">
        <v>1</v>
      </c>
      <c r="B2" s="541"/>
      <c r="C2" s="541"/>
      <c r="D2" s="541"/>
      <c r="E2" s="541"/>
      <c r="F2" s="541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1"/>
      <c r="AB2" s="48"/>
      <c r="AC2" s="48"/>
    </row>
    <row r="3" spans="1:29" s="49" customFormat="1" ht="63" customHeight="1">
      <c r="A3" s="540" t="s">
        <v>279</v>
      </c>
      <c r="B3" s="541"/>
      <c r="C3" s="541"/>
      <c r="D3" s="541"/>
      <c r="E3" s="541"/>
      <c r="F3" s="541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1"/>
      <c r="AB3" s="48"/>
      <c r="AC3" s="48"/>
    </row>
    <row r="4" spans="1:29" s="49" customFormat="1" ht="63" customHeight="1">
      <c r="A4" s="542" t="s">
        <v>1007</v>
      </c>
      <c r="B4" s="543"/>
      <c r="C4" s="543"/>
      <c r="D4" s="543"/>
      <c r="E4" s="543"/>
      <c r="F4" s="543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3"/>
      <c r="AB4" s="48"/>
      <c r="AC4" s="48"/>
    </row>
    <row r="5" spans="1:29" s="49" customFormat="1" ht="63" customHeight="1">
      <c r="A5" s="544" t="s">
        <v>1006</v>
      </c>
      <c r="B5" s="545"/>
      <c r="C5" s="545"/>
      <c r="D5" s="545"/>
      <c r="E5" s="545"/>
      <c r="F5" s="545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5"/>
      <c r="AB5" s="48"/>
      <c r="AC5" s="48"/>
    </row>
    <row r="6" spans="1:29" s="49" customFormat="1" ht="63" customHeight="1">
      <c r="A6" s="534" t="s">
        <v>28</v>
      </c>
      <c r="B6" s="535"/>
      <c r="C6" s="535"/>
      <c r="D6" s="535"/>
      <c r="E6" s="535"/>
      <c r="F6" s="535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7"/>
      <c r="AB6" s="48"/>
      <c r="AC6" s="48"/>
    </row>
    <row r="7" spans="1:29" s="49" customFormat="1" ht="63" customHeight="1">
      <c r="A7" s="536" t="s">
        <v>280</v>
      </c>
      <c r="B7" s="537"/>
      <c r="C7" s="537"/>
      <c r="D7" s="537"/>
      <c r="E7" s="537"/>
      <c r="F7" s="537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9"/>
      <c r="AB7" s="48"/>
      <c r="AC7" s="48"/>
    </row>
    <row r="8" spans="1:29" s="49" customFormat="1" ht="63" customHeight="1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2"/>
      <c r="AB8" s="48"/>
      <c r="AC8" s="48"/>
    </row>
    <row r="9" spans="1:29" s="49" customFormat="1" ht="63" customHeight="1">
      <c r="A9" s="546" t="s">
        <v>29</v>
      </c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546"/>
      <c r="T9" s="546"/>
      <c r="U9" s="546"/>
      <c r="V9" s="546"/>
      <c r="W9" s="546"/>
      <c r="X9" s="546"/>
      <c r="Y9" s="546"/>
      <c r="Z9" s="546"/>
      <c r="AA9" s="546"/>
      <c r="AB9" s="1"/>
      <c r="AC9" s="48"/>
    </row>
    <row r="10" spans="1:46" ht="63" customHeight="1">
      <c r="A10" s="528" t="s">
        <v>4</v>
      </c>
      <c r="B10" s="528" t="s">
        <v>30</v>
      </c>
      <c r="C10" s="530" t="s">
        <v>31</v>
      </c>
      <c r="D10" s="527"/>
      <c r="E10" s="526" t="s">
        <v>32</v>
      </c>
      <c r="F10" s="527"/>
      <c r="G10" s="526" t="s">
        <v>40</v>
      </c>
      <c r="H10" s="527"/>
      <c r="I10" s="530" t="s">
        <v>249</v>
      </c>
      <c r="J10" s="527"/>
      <c r="K10" s="526" t="s">
        <v>250</v>
      </c>
      <c r="L10" s="527"/>
      <c r="M10" s="526" t="s">
        <v>251</v>
      </c>
      <c r="N10" s="527"/>
      <c r="O10" s="530" t="s">
        <v>252</v>
      </c>
      <c r="P10" s="527"/>
      <c r="Q10" s="526" t="s">
        <v>253</v>
      </c>
      <c r="R10" s="527"/>
      <c r="S10" s="526" t="s">
        <v>254</v>
      </c>
      <c r="T10" s="527"/>
      <c r="U10" s="526" t="s">
        <v>276</v>
      </c>
      <c r="V10" s="527"/>
      <c r="W10" s="526" t="s">
        <v>277</v>
      </c>
      <c r="X10" s="527"/>
      <c r="Y10" s="526" t="s">
        <v>278</v>
      </c>
      <c r="Z10" s="527"/>
      <c r="AA10" s="528" t="s">
        <v>33</v>
      </c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</row>
    <row r="11" spans="1:46" ht="63" customHeight="1">
      <c r="A11" s="529"/>
      <c r="B11" s="529"/>
      <c r="C11" s="65" t="s">
        <v>34</v>
      </c>
      <c r="D11" s="66" t="s">
        <v>35</v>
      </c>
      <c r="E11" s="66" t="s">
        <v>34</v>
      </c>
      <c r="F11" s="66" t="s">
        <v>35</v>
      </c>
      <c r="G11" s="66" t="s">
        <v>34</v>
      </c>
      <c r="H11" s="66" t="s">
        <v>35</v>
      </c>
      <c r="I11" s="66" t="s">
        <v>34</v>
      </c>
      <c r="J11" s="66" t="s">
        <v>35</v>
      </c>
      <c r="K11" s="66" t="s">
        <v>34</v>
      </c>
      <c r="L11" s="66" t="s">
        <v>35</v>
      </c>
      <c r="M11" s="66" t="s">
        <v>34</v>
      </c>
      <c r="N11" s="66" t="s">
        <v>35</v>
      </c>
      <c r="O11" s="66" t="s">
        <v>34</v>
      </c>
      <c r="P11" s="66" t="s">
        <v>35</v>
      </c>
      <c r="Q11" s="66" t="s">
        <v>34</v>
      </c>
      <c r="R11" s="66" t="s">
        <v>35</v>
      </c>
      <c r="S11" s="66" t="s">
        <v>34</v>
      </c>
      <c r="T11" s="66" t="s">
        <v>35</v>
      </c>
      <c r="U11" s="66" t="s">
        <v>34</v>
      </c>
      <c r="V11" s="66" t="s">
        <v>35</v>
      </c>
      <c r="W11" s="66" t="s">
        <v>34</v>
      </c>
      <c r="X11" s="66" t="s">
        <v>35</v>
      </c>
      <c r="Y11" s="66" t="s">
        <v>34</v>
      </c>
      <c r="Z11" s="66" t="s">
        <v>35</v>
      </c>
      <c r="AA11" s="529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</row>
    <row r="12" spans="1:46" ht="63" customHeight="1">
      <c r="A12" s="67" t="s">
        <v>14</v>
      </c>
      <c r="B12" s="68" t="s">
        <v>15</v>
      </c>
      <c r="C12" s="69">
        <f>D12*AA12</f>
        <v>55282.10400000001</v>
      </c>
      <c r="D12" s="70">
        <v>0.8</v>
      </c>
      <c r="E12" s="71">
        <f>F12*AA12</f>
        <v>6910.263000000001</v>
      </c>
      <c r="F12" s="70">
        <v>0.1</v>
      </c>
      <c r="G12" s="71">
        <f>H12*AA12</f>
        <v>6910.263000000001</v>
      </c>
      <c r="H12" s="70">
        <v>0.1</v>
      </c>
      <c r="I12" s="414"/>
      <c r="J12" s="415"/>
      <c r="K12" s="414"/>
      <c r="L12" s="415"/>
      <c r="M12" s="414"/>
      <c r="N12" s="415"/>
      <c r="O12" s="414"/>
      <c r="P12" s="415"/>
      <c r="Q12" s="414"/>
      <c r="R12" s="415"/>
      <c r="S12" s="414"/>
      <c r="T12" s="415"/>
      <c r="U12" s="415"/>
      <c r="V12" s="415"/>
      <c r="W12" s="415"/>
      <c r="X12" s="415"/>
      <c r="Y12" s="415"/>
      <c r="Z12" s="415"/>
      <c r="AA12" s="72">
        <f>'PLANILHA ORÇAMENTÁRIA'!I27</f>
        <v>69102.63</v>
      </c>
      <c r="AB12" s="73">
        <f>C12+E12+G12+I12+K12+M12+O12+Q12+S12+U12+W12+Y12</f>
        <v>69102.63</v>
      </c>
      <c r="AC12" s="73">
        <f>AA12-AB12</f>
        <v>0</v>
      </c>
      <c r="AD12" s="7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</row>
    <row r="13" spans="1:46" ht="63" customHeight="1">
      <c r="A13" s="74" t="s">
        <v>19</v>
      </c>
      <c r="B13" s="75" t="s">
        <v>73</v>
      </c>
      <c r="C13" s="417"/>
      <c r="D13" s="415"/>
      <c r="E13" s="71">
        <f>F13*AA13</f>
        <v>62635.010000000024</v>
      </c>
      <c r="F13" s="70">
        <v>0.1</v>
      </c>
      <c r="G13" s="71">
        <f aca="true" t="shared" si="0" ref="G13:G22">H13*AA13</f>
        <v>125270.02000000005</v>
      </c>
      <c r="H13" s="70">
        <v>0.2</v>
      </c>
      <c r="I13" s="71">
        <f>J13*AA13</f>
        <v>125270.02000000005</v>
      </c>
      <c r="J13" s="70">
        <v>0.2</v>
      </c>
      <c r="K13" s="71">
        <f>L13*AA13</f>
        <v>125270.02000000005</v>
      </c>
      <c r="L13" s="70">
        <v>0.2</v>
      </c>
      <c r="M13" s="71">
        <f>N13*AA13</f>
        <v>62635.010000000024</v>
      </c>
      <c r="N13" s="70">
        <v>0.1</v>
      </c>
      <c r="O13" s="71">
        <f>P13*AA13</f>
        <v>62635.010000000024</v>
      </c>
      <c r="P13" s="70">
        <v>0.1</v>
      </c>
      <c r="Q13" s="71">
        <f>R13*AA13</f>
        <v>37581.00600000001</v>
      </c>
      <c r="R13" s="70">
        <v>0.06</v>
      </c>
      <c r="S13" s="71">
        <f>T13*AA13</f>
        <v>25054.004000000008</v>
      </c>
      <c r="T13" s="70">
        <v>0.04</v>
      </c>
      <c r="U13" s="415"/>
      <c r="V13" s="415"/>
      <c r="W13" s="415"/>
      <c r="X13" s="415"/>
      <c r="Y13" s="415"/>
      <c r="Z13" s="415"/>
      <c r="AA13" s="72">
        <f>'PLANILHA ORÇAMENTÁRIA'!I104</f>
        <v>626350.1000000002</v>
      </c>
      <c r="AB13" s="73">
        <f aca="true" t="shared" si="1" ref="AB13:AB22">C13+E13+G13+I13+K13+M13+O13+Q13+S13+U13+W13+Y13</f>
        <v>626350.1000000002</v>
      </c>
      <c r="AC13" s="73">
        <f aca="true" t="shared" si="2" ref="AC13:AC22">AA13-AB13</f>
        <v>0</v>
      </c>
      <c r="AD13" s="7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</row>
    <row r="14" spans="1:46" ht="63" customHeight="1">
      <c r="A14" s="74" t="s">
        <v>20</v>
      </c>
      <c r="B14" s="75" t="s">
        <v>76</v>
      </c>
      <c r="C14" s="417"/>
      <c r="D14" s="415"/>
      <c r="E14" s="414"/>
      <c r="F14" s="415"/>
      <c r="G14" s="71">
        <f t="shared" si="0"/>
        <v>23656.013</v>
      </c>
      <c r="H14" s="70">
        <v>0.1</v>
      </c>
      <c r="I14" s="71">
        <f aca="true" t="shared" si="3" ref="I14:I22">J14*AA14</f>
        <v>47312.026</v>
      </c>
      <c r="J14" s="70">
        <v>0.2</v>
      </c>
      <c r="K14" s="71">
        <f>L14*AA14</f>
        <v>47312.026</v>
      </c>
      <c r="L14" s="70">
        <v>0.2</v>
      </c>
      <c r="M14" s="71">
        <f aca="true" t="shared" si="4" ref="M14:M22">N14*AA14</f>
        <v>23656.013</v>
      </c>
      <c r="N14" s="70">
        <v>0.1</v>
      </c>
      <c r="O14" s="71">
        <f aca="true" t="shared" si="5" ref="O14:O22">P14*AA14</f>
        <v>23656.013</v>
      </c>
      <c r="P14" s="70">
        <v>0.1</v>
      </c>
      <c r="Q14" s="71">
        <f aca="true" t="shared" si="6" ref="Q14:Q20">R14*AA14</f>
        <v>23656.013</v>
      </c>
      <c r="R14" s="70">
        <v>0.1</v>
      </c>
      <c r="S14" s="71">
        <f aca="true" t="shared" si="7" ref="S14:S20">T14*AA14</f>
        <v>23656.013</v>
      </c>
      <c r="T14" s="70">
        <v>0.1</v>
      </c>
      <c r="U14" s="76">
        <f>V14*AA14</f>
        <v>23656.013</v>
      </c>
      <c r="V14" s="70">
        <v>0.1</v>
      </c>
      <c r="W14" s="416"/>
      <c r="X14" s="415"/>
      <c r="Y14" s="416"/>
      <c r="Z14" s="415"/>
      <c r="AA14" s="72">
        <f>'PLANILHA ORÇAMENTÁRIA'!I122</f>
        <v>236560.12999999998</v>
      </c>
      <c r="AB14" s="73">
        <f t="shared" si="1"/>
        <v>236560.13</v>
      </c>
      <c r="AC14" s="73">
        <f t="shared" si="2"/>
        <v>0</v>
      </c>
      <c r="AD14" s="7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</row>
    <row r="15" spans="1:46" ht="63" customHeight="1">
      <c r="A15" s="74" t="s">
        <v>22</v>
      </c>
      <c r="B15" s="75" t="s">
        <v>25</v>
      </c>
      <c r="C15" s="417"/>
      <c r="D15" s="415"/>
      <c r="E15" s="414"/>
      <c r="F15" s="415"/>
      <c r="G15" s="414"/>
      <c r="H15" s="415"/>
      <c r="I15" s="414"/>
      <c r="J15" s="415"/>
      <c r="K15" s="414"/>
      <c r="L15" s="415"/>
      <c r="M15" s="71">
        <f t="shared" si="4"/>
        <v>13363.379</v>
      </c>
      <c r="N15" s="70">
        <v>0.1</v>
      </c>
      <c r="O15" s="71">
        <f t="shared" si="5"/>
        <v>26726.758</v>
      </c>
      <c r="P15" s="70">
        <v>0.2</v>
      </c>
      <c r="Q15" s="71">
        <f t="shared" si="6"/>
        <v>26726.758</v>
      </c>
      <c r="R15" s="70">
        <v>0.2</v>
      </c>
      <c r="S15" s="71">
        <f t="shared" si="7"/>
        <v>13363.379</v>
      </c>
      <c r="T15" s="70">
        <v>0.1</v>
      </c>
      <c r="U15" s="76">
        <f aca="true" t="shared" si="8" ref="U15:U22">V15*AA15</f>
        <v>20045.0685</v>
      </c>
      <c r="V15" s="70">
        <v>0.15</v>
      </c>
      <c r="W15" s="76">
        <f aca="true" t="shared" si="9" ref="W15:W22">X15*AA15</f>
        <v>13363.379</v>
      </c>
      <c r="X15" s="70">
        <v>0.1</v>
      </c>
      <c r="Y15" s="76">
        <f aca="true" t="shared" si="10" ref="Y15:Y21">Z15*AA15</f>
        <v>20045.0685</v>
      </c>
      <c r="Z15" s="70">
        <v>0.15</v>
      </c>
      <c r="AA15" s="72">
        <f>'PLANILHA ORÇAMENTÁRIA'!I137</f>
        <v>133633.79</v>
      </c>
      <c r="AB15" s="73">
        <f t="shared" si="1"/>
        <v>133633.79</v>
      </c>
      <c r="AC15" s="73">
        <f t="shared" si="2"/>
        <v>0</v>
      </c>
      <c r="AD15" s="7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</row>
    <row r="16" spans="1:46" ht="63" customHeight="1">
      <c r="A16" s="74" t="s">
        <v>24</v>
      </c>
      <c r="B16" s="75" t="s">
        <v>94</v>
      </c>
      <c r="C16" s="417"/>
      <c r="D16" s="415"/>
      <c r="E16" s="414"/>
      <c r="F16" s="415"/>
      <c r="G16" s="414"/>
      <c r="H16" s="415"/>
      <c r="I16" s="414"/>
      <c r="J16" s="415"/>
      <c r="K16" s="71">
        <f>L16*AA16</f>
        <v>747.5555</v>
      </c>
      <c r="L16" s="70">
        <v>0.05</v>
      </c>
      <c r="M16" s="71">
        <f t="shared" si="4"/>
        <v>1495.111</v>
      </c>
      <c r="N16" s="70">
        <v>0.1</v>
      </c>
      <c r="O16" s="71">
        <f t="shared" si="5"/>
        <v>2990.222</v>
      </c>
      <c r="P16" s="70">
        <v>0.2</v>
      </c>
      <c r="Q16" s="71">
        <f t="shared" si="6"/>
        <v>2990.222</v>
      </c>
      <c r="R16" s="70">
        <v>0.2</v>
      </c>
      <c r="S16" s="71">
        <f t="shared" si="7"/>
        <v>1495.111</v>
      </c>
      <c r="T16" s="70">
        <v>0.1</v>
      </c>
      <c r="U16" s="76">
        <f t="shared" si="8"/>
        <v>2242.6665</v>
      </c>
      <c r="V16" s="70">
        <v>0.15</v>
      </c>
      <c r="W16" s="76">
        <f t="shared" si="9"/>
        <v>1495.111</v>
      </c>
      <c r="X16" s="70">
        <v>0.1</v>
      </c>
      <c r="Y16" s="76">
        <f t="shared" si="10"/>
        <v>1495.111</v>
      </c>
      <c r="Z16" s="70">
        <v>0.1</v>
      </c>
      <c r="AA16" s="72">
        <f>'PLANILHA ORÇAMENTÁRIA'!I152</f>
        <v>14951.11</v>
      </c>
      <c r="AB16" s="73">
        <f t="shared" si="1"/>
        <v>14951.110000000002</v>
      </c>
      <c r="AC16" s="73">
        <f t="shared" si="2"/>
        <v>0</v>
      </c>
      <c r="AD16" s="7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</row>
    <row r="17" spans="1:46" ht="63" customHeight="1">
      <c r="A17" s="74" t="s">
        <v>26</v>
      </c>
      <c r="B17" s="75" t="s">
        <v>96</v>
      </c>
      <c r="C17" s="417"/>
      <c r="D17" s="415"/>
      <c r="E17" s="71">
        <f>F17*AA17</f>
        <v>1670.3755</v>
      </c>
      <c r="F17" s="70">
        <v>0.05</v>
      </c>
      <c r="G17" s="71">
        <f t="shared" si="0"/>
        <v>3340.751</v>
      </c>
      <c r="H17" s="70">
        <v>0.1</v>
      </c>
      <c r="I17" s="71">
        <f t="shared" si="3"/>
        <v>3340.751</v>
      </c>
      <c r="J17" s="70">
        <v>0.1</v>
      </c>
      <c r="K17" s="71">
        <f>L17*AA17</f>
        <v>3340.751</v>
      </c>
      <c r="L17" s="70">
        <v>0.1</v>
      </c>
      <c r="M17" s="71">
        <f t="shared" si="4"/>
        <v>6681.502</v>
      </c>
      <c r="N17" s="70">
        <v>0.2</v>
      </c>
      <c r="O17" s="71">
        <f t="shared" si="5"/>
        <v>3340.751</v>
      </c>
      <c r="P17" s="70">
        <v>0.1</v>
      </c>
      <c r="Q17" s="71">
        <f t="shared" si="6"/>
        <v>3340.751</v>
      </c>
      <c r="R17" s="70">
        <v>0.1</v>
      </c>
      <c r="S17" s="71">
        <f t="shared" si="7"/>
        <v>3340.751</v>
      </c>
      <c r="T17" s="70">
        <v>0.1</v>
      </c>
      <c r="U17" s="76">
        <f t="shared" si="8"/>
        <v>3340.751</v>
      </c>
      <c r="V17" s="70">
        <v>0.1</v>
      </c>
      <c r="W17" s="76">
        <f t="shared" si="9"/>
        <v>1670.3755</v>
      </c>
      <c r="X17" s="70">
        <v>0.05</v>
      </c>
      <c r="Y17" s="416"/>
      <c r="Z17" s="415"/>
      <c r="AA17" s="72">
        <f>'PLANILHA ORÇAMENTÁRIA'!I220</f>
        <v>33407.51</v>
      </c>
      <c r="AB17" s="73">
        <f t="shared" si="1"/>
        <v>33407.51</v>
      </c>
      <c r="AC17" s="73">
        <f t="shared" si="2"/>
        <v>0</v>
      </c>
      <c r="AD17" s="7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</row>
    <row r="18" spans="1:46" ht="63" customHeight="1">
      <c r="A18" s="74" t="s">
        <v>27</v>
      </c>
      <c r="B18" s="75" t="s">
        <v>101</v>
      </c>
      <c r="C18" s="417"/>
      <c r="D18" s="415"/>
      <c r="E18" s="71">
        <f>F18*AA18</f>
        <v>3500.5334999999995</v>
      </c>
      <c r="F18" s="70">
        <v>0.05</v>
      </c>
      <c r="G18" s="71">
        <f t="shared" si="0"/>
        <v>7001.066999999999</v>
      </c>
      <c r="H18" s="70">
        <v>0.1</v>
      </c>
      <c r="I18" s="71">
        <f t="shared" si="3"/>
        <v>7001.066999999999</v>
      </c>
      <c r="J18" s="70">
        <v>0.1</v>
      </c>
      <c r="K18" s="71">
        <f>L18*AA18</f>
        <v>7001.066999999999</v>
      </c>
      <c r="L18" s="70">
        <v>0.1</v>
      </c>
      <c r="M18" s="71">
        <f t="shared" si="4"/>
        <v>14002.133999999998</v>
      </c>
      <c r="N18" s="70">
        <v>0.2</v>
      </c>
      <c r="O18" s="71">
        <f t="shared" si="5"/>
        <v>7001.066999999999</v>
      </c>
      <c r="P18" s="70">
        <v>0.1</v>
      </c>
      <c r="Q18" s="71">
        <f t="shared" si="6"/>
        <v>7001.066999999999</v>
      </c>
      <c r="R18" s="70">
        <v>0.1</v>
      </c>
      <c r="S18" s="71">
        <f t="shared" si="7"/>
        <v>7001.066999999999</v>
      </c>
      <c r="T18" s="70">
        <v>0.1</v>
      </c>
      <c r="U18" s="76">
        <f>V18*AA18</f>
        <v>7001.066999999999</v>
      </c>
      <c r="V18" s="70">
        <v>0.1</v>
      </c>
      <c r="W18" s="76">
        <f>X18*AA18</f>
        <v>3500.5334999999995</v>
      </c>
      <c r="X18" s="70">
        <v>0.05</v>
      </c>
      <c r="Y18" s="416"/>
      <c r="Z18" s="415"/>
      <c r="AA18" s="72">
        <f>'PLANILHA ORÇAMENTÁRIA'!I268</f>
        <v>70010.66999999998</v>
      </c>
      <c r="AB18" s="73">
        <f t="shared" si="1"/>
        <v>70010.66999999998</v>
      </c>
      <c r="AC18" s="73">
        <f t="shared" si="2"/>
        <v>0</v>
      </c>
      <c r="AD18" s="7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</row>
    <row r="19" spans="1:46" ht="63" customHeight="1">
      <c r="A19" s="74" t="s">
        <v>107</v>
      </c>
      <c r="B19" s="75" t="s">
        <v>108</v>
      </c>
      <c r="C19" s="417"/>
      <c r="D19" s="415"/>
      <c r="E19" s="414"/>
      <c r="F19" s="415"/>
      <c r="G19" s="414"/>
      <c r="H19" s="415"/>
      <c r="I19" s="414"/>
      <c r="J19" s="415"/>
      <c r="K19" s="414"/>
      <c r="L19" s="415"/>
      <c r="M19" s="71">
        <f t="shared" si="4"/>
        <v>26744.020000000004</v>
      </c>
      <c r="N19" s="70">
        <v>0.1</v>
      </c>
      <c r="O19" s="71">
        <f t="shared" si="5"/>
        <v>26744.020000000004</v>
      </c>
      <c r="P19" s="70">
        <v>0.1</v>
      </c>
      <c r="Q19" s="71">
        <f t="shared" si="6"/>
        <v>53488.04000000001</v>
      </c>
      <c r="R19" s="70">
        <v>0.2</v>
      </c>
      <c r="S19" s="71">
        <f t="shared" si="7"/>
        <v>53488.04000000001</v>
      </c>
      <c r="T19" s="70">
        <v>0.2</v>
      </c>
      <c r="U19" s="76">
        <f t="shared" si="8"/>
        <v>40116.03</v>
      </c>
      <c r="V19" s="70">
        <v>0.15</v>
      </c>
      <c r="W19" s="76">
        <f t="shared" si="9"/>
        <v>40116.03</v>
      </c>
      <c r="X19" s="70">
        <v>0.15</v>
      </c>
      <c r="Y19" s="76">
        <f t="shared" si="10"/>
        <v>26744.020000000004</v>
      </c>
      <c r="Z19" s="70">
        <v>0.1</v>
      </c>
      <c r="AA19" s="72">
        <f>'PLANILHA ORÇAMENTÁRIA'!I276</f>
        <v>267440.2</v>
      </c>
      <c r="AB19" s="73">
        <f t="shared" si="1"/>
        <v>267440.2</v>
      </c>
      <c r="AC19" s="73">
        <f t="shared" si="2"/>
        <v>0</v>
      </c>
      <c r="AD19" s="7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</row>
    <row r="20" spans="1:46" ht="63" customHeight="1">
      <c r="A20" s="74" t="s">
        <v>119</v>
      </c>
      <c r="B20" s="75" t="s">
        <v>21</v>
      </c>
      <c r="C20" s="417"/>
      <c r="D20" s="415"/>
      <c r="E20" s="414"/>
      <c r="F20" s="415"/>
      <c r="G20" s="414"/>
      <c r="H20" s="415"/>
      <c r="I20" s="414"/>
      <c r="J20" s="415"/>
      <c r="K20" s="414"/>
      <c r="L20" s="415"/>
      <c r="M20" s="414"/>
      <c r="N20" s="415"/>
      <c r="O20" s="71">
        <f t="shared" si="5"/>
        <v>4893.8835</v>
      </c>
      <c r="P20" s="70">
        <v>0.05</v>
      </c>
      <c r="Q20" s="71">
        <f t="shared" si="6"/>
        <v>4893.8835</v>
      </c>
      <c r="R20" s="70">
        <v>0.05</v>
      </c>
      <c r="S20" s="71">
        <f t="shared" si="7"/>
        <v>9787.767</v>
      </c>
      <c r="T20" s="70">
        <v>0.1</v>
      </c>
      <c r="U20" s="76">
        <f t="shared" si="8"/>
        <v>29363.301</v>
      </c>
      <c r="V20" s="70">
        <v>0.3</v>
      </c>
      <c r="W20" s="76">
        <f t="shared" si="9"/>
        <v>29363.301</v>
      </c>
      <c r="X20" s="70">
        <v>0.3</v>
      </c>
      <c r="Y20" s="76">
        <f t="shared" si="10"/>
        <v>19575.534</v>
      </c>
      <c r="Z20" s="70">
        <v>0.2</v>
      </c>
      <c r="AA20" s="72">
        <f>'PLANILHA ORÇAMENTÁRIA'!I285</f>
        <v>97877.67</v>
      </c>
      <c r="AB20" s="73">
        <f t="shared" si="1"/>
        <v>97877.67</v>
      </c>
      <c r="AC20" s="73">
        <f t="shared" si="2"/>
        <v>0</v>
      </c>
      <c r="AD20" s="7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</row>
    <row r="21" spans="1:46" ht="63" customHeight="1">
      <c r="A21" s="74" t="s">
        <v>129</v>
      </c>
      <c r="B21" s="75" t="s">
        <v>130</v>
      </c>
      <c r="C21" s="417"/>
      <c r="D21" s="415"/>
      <c r="E21" s="414"/>
      <c r="F21" s="415"/>
      <c r="G21" s="414"/>
      <c r="H21" s="415"/>
      <c r="I21" s="414"/>
      <c r="J21" s="415"/>
      <c r="K21" s="414"/>
      <c r="L21" s="415"/>
      <c r="M21" s="414"/>
      <c r="N21" s="415"/>
      <c r="O21" s="414"/>
      <c r="P21" s="415"/>
      <c r="Q21" s="414"/>
      <c r="R21" s="415"/>
      <c r="S21" s="414"/>
      <c r="T21" s="415"/>
      <c r="U21" s="416"/>
      <c r="V21" s="415"/>
      <c r="W21" s="416"/>
      <c r="X21" s="415"/>
      <c r="Y21" s="76">
        <f t="shared" si="10"/>
        <v>6475.56</v>
      </c>
      <c r="Z21" s="70">
        <v>1</v>
      </c>
      <c r="AA21" s="72">
        <f>'PLANILHA ORÇAMENTÁRIA'!I288</f>
        <v>6475.56</v>
      </c>
      <c r="AB21" s="73">
        <f t="shared" si="1"/>
        <v>6475.56</v>
      </c>
      <c r="AC21" s="73">
        <f t="shared" si="2"/>
        <v>0</v>
      </c>
      <c r="AD21" s="7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</row>
    <row r="22" spans="1:46" ht="63" customHeight="1">
      <c r="A22" s="74" t="s">
        <v>132</v>
      </c>
      <c r="B22" s="75" t="s">
        <v>133</v>
      </c>
      <c r="C22" s="69">
        <f>D22*AA22</f>
        <v>24841.520000000004</v>
      </c>
      <c r="D22" s="70">
        <v>0.55</v>
      </c>
      <c r="E22" s="71">
        <f>F22*AA22</f>
        <v>2258.32</v>
      </c>
      <c r="F22" s="70">
        <v>0.05</v>
      </c>
      <c r="G22" s="71">
        <f t="shared" si="0"/>
        <v>2258.32</v>
      </c>
      <c r="H22" s="70">
        <v>0.05</v>
      </c>
      <c r="I22" s="71">
        <f t="shared" si="3"/>
        <v>1806.6560000000002</v>
      </c>
      <c r="J22" s="70">
        <v>0.04</v>
      </c>
      <c r="K22" s="71">
        <f>L22*AA22</f>
        <v>1806.6560000000002</v>
      </c>
      <c r="L22" s="70">
        <v>0.04</v>
      </c>
      <c r="M22" s="71">
        <f t="shared" si="4"/>
        <v>1806.6560000000002</v>
      </c>
      <c r="N22" s="70">
        <v>0.04</v>
      </c>
      <c r="O22" s="77">
        <f t="shared" si="5"/>
        <v>1806.6560000000002</v>
      </c>
      <c r="P22" s="78">
        <v>0.04</v>
      </c>
      <c r="Q22" s="71">
        <f>R22*AA22</f>
        <v>1806.6560000000002</v>
      </c>
      <c r="R22" s="70">
        <v>0.04</v>
      </c>
      <c r="S22" s="71">
        <f>T22*AA22</f>
        <v>1806.6560000000002</v>
      </c>
      <c r="T22" s="70">
        <v>0.04</v>
      </c>
      <c r="U22" s="76">
        <f t="shared" si="8"/>
        <v>1806.6560000000002</v>
      </c>
      <c r="V22" s="78">
        <v>0.04</v>
      </c>
      <c r="W22" s="76">
        <f t="shared" si="9"/>
        <v>1806.6560000000002</v>
      </c>
      <c r="X22" s="78">
        <v>0.04</v>
      </c>
      <c r="Y22" s="76">
        <f>Z22*AA22</f>
        <v>1354.992</v>
      </c>
      <c r="Z22" s="70">
        <v>0.03</v>
      </c>
      <c r="AA22" s="72">
        <f>'PLANILHA ORÇAMENTÁRIA'!I295</f>
        <v>45166.4</v>
      </c>
      <c r="AB22" s="73">
        <f t="shared" si="1"/>
        <v>45166.400000000016</v>
      </c>
      <c r="AC22" s="73">
        <f t="shared" si="2"/>
        <v>0</v>
      </c>
      <c r="AD22" s="7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</row>
    <row r="23" spans="1:46" ht="63" customHeight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72">
        <f>SUM(AA12:AA22)</f>
        <v>1600975.77</v>
      </c>
      <c r="AB23" s="73"/>
      <c r="AC23" s="73"/>
      <c r="AD23" s="7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</row>
    <row r="24" spans="1:46" ht="63" customHeight="1">
      <c r="A24" s="520" t="s">
        <v>36</v>
      </c>
      <c r="B24" s="520"/>
      <c r="C24" s="521">
        <f>SUM(C12:C22)</f>
        <v>80123.62400000001</v>
      </c>
      <c r="D24" s="522"/>
      <c r="E24" s="521">
        <f>SUM(E12:E22)</f>
        <v>76974.50200000004</v>
      </c>
      <c r="F24" s="522"/>
      <c r="G24" s="521">
        <f>SUM(G12:G22)</f>
        <v>168436.43400000007</v>
      </c>
      <c r="H24" s="522"/>
      <c r="I24" s="521">
        <f>SUM(I12:I22)</f>
        <v>184730.52000000002</v>
      </c>
      <c r="J24" s="522"/>
      <c r="K24" s="521">
        <f>SUM(K12:K22)</f>
        <v>185478.0755</v>
      </c>
      <c r="L24" s="522"/>
      <c r="M24" s="521">
        <f>SUM(M12:M22)</f>
        <v>150383.82499999998</v>
      </c>
      <c r="N24" s="522"/>
      <c r="O24" s="521">
        <f>SUM(O12:O22)</f>
        <v>159794.3805</v>
      </c>
      <c r="P24" s="522"/>
      <c r="Q24" s="521">
        <f>SUM(Q12:Q22)</f>
        <v>161484.3965</v>
      </c>
      <c r="R24" s="522"/>
      <c r="S24" s="521">
        <f>SUM(S12:S22)</f>
        <v>138992.788</v>
      </c>
      <c r="T24" s="522"/>
      <c r="U24" s="521">
        <f>SUM(U12:U22)</f>
        <v>127571.553</v>
      </c>
      <c r="V24" s="522"/>
      <c r="W24" s="521">
        <f>SUM(W12:W22)</f>
        <v>91315.386</v>
      </c>
      <c r="X24" s="522"/>
      <c r="Y24" s="521">
        <f>SUM(Y12:Y22)</f>
        <v>75690.2855</v>
      </c>
      <c r="Z24" s="522"/>
      <c r="AA24" s="531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</row>
    <row r="25" spans="1:46" ht="63" customHeight="1">
      <c r="A25" s="525" t="s">
        <v>37</v>
      </c>
      <c r="B25" s="525"/>
      <c r="C25" s="523">
        <f>C24</f>
        <v>80123.62400000001</v>
      </c>
      <c r="D25" s="524"/>
      <c r="E25" s="523">
        <f>C25+E24</f>
        <v>157098.12600000005</v>
      </c>
      <c r="F25" s="524"/>
      <c r="G25" s="523">
        <f>E25+G24</f>
        <v>325534.5600000001</v>
      </c>
      <c r="H25" s="524"/>
      <c r="I25" s="523">
        <f>G25+I24</f>
        <v>510265.08000000013</v>
      </c>
      <c r="J25" s="524"/>
      <c r="K25" s="523">
        <f>I25+K24</f>
        <v>695743.1555000001</v>
      </c>
      <c r="L25" s="524"/>
      <c r="M25" s="523">
        <f>K25+M24</f>
        <v>846126.9805000001</v>
      </c>
      <c r="N25" s="524"/>
      <c r="O25" s="523">
        <f>M25+O24</f>
        <v>1005921.361</v>
      </c>
      <c r="P25" s="524"/>
      <c r="Q25" s="523">
        <f>O25+Q24</f>
        <v>1167405.7575</v>
      </c>
      <c r="R25" s="524"/>
      <c r="S25" s="523">
        <f>Q25+S24</f>
        <v>1306398.5455</v>
      </c>
      <c r="T25" s="524"/>
      <c r="U25" s="523">
        <f>S25+U24</f>
        <v>1433970.0985</v>
      </c>
      <c r="V25" s="524"/>
      <c r="W25" s="523">
        <f>U25+W24</f>
        <v>1525285.4845</v>
      </c>
      <c r="X25" s="524"/>
      <c r="Y25" s="523">
        <f>W25+Y24</f>
        <v>1600975.77</v>
      </c>
      <c r="Z25" s="524"/>
      <c r="AA25" s="532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</row>
    <row r="26" spans="1:46" ht="63" customHeight="1">
      <c r="A26" s="517" t="s">
        <v>38</v>
      </c>
      <c r="B26" s="517"/>
      <c r="C26" s="518">
        <f>C24/AA23</f>
        <v>0.05004674368057426</v>
      </c>
      <c r="D26" s="519"/>
      <c r="E26" s="518">
        <f>E24/$AA$23</f>
        <v>0.04807974201883145</v>
      </c>
      <c r="F26" s="519"/>
      <c r="G26" s="518">
        <f>G24/$AA$23</f>
        <v>0.10520860912217307</v>
      </c>
      <c r="H26" s="519"/>
      <c r="I26" s="518">
        <f>I24/$AA$23</f>
        <v>0.11538620600110645</v>
      </c>
      <c r="J26" s="519"/>
      <c r="K26" s="518">
        <f>K24/$AA$23</f>
        <v>0.1158531434239008</v>
      </c>
      <c r="L26" s="519"/>
      <c r="M26" s="518">
        <f>M24/$AA$23</f>
        <v>0.09393260523861643</v>
      </c>
      <c r="N26" s="519"/>
      <c r="O26" s="518">
        <f>O24/$AA$23</f>
        <v>0.09981061768348937</v>
      </c>
      <c r="P26" s="519"/>
      <c r="Q26" s="518">
        <f>Q24/$AA$23</f>
        <v>0.10086623390933643</v>
      </c>
      <c r="R26" s="519"/>
      <c r="S26" s="518">
        <f>S24/$AA$23</f>
        <v>0.08681754627679343</v>
      </c>
      <c r="T26" s="519"/>
      <c r="U26" s="518">
        <f>U24/$AA$23</f>
        <v>0.07968362506822949</v>
      </c>
      <c r="V26" s="519"/>
      <c r="W26" s="518">
        <f>W24/$AA$23</f>
        <v>0.05703733167679358</v>
      </c>
      <c r="X26" s="519"/>
      <c r="Y26" s="518">
        <f>Y24/$AA$23</f>
        <v>0.04727759590015532</v>
      </c>
      <c r="Z26" s="519"/>
      <c r="AA26" s="532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</row>
    <row r="27" spans="1:46" ht="63" customHeight="1">
      <c r="A27" s="517" t="s">
        <v>39</v>
      </c>
      <c r="B27" s="517"/>
      <c r="C27" s="518">
        <f>C26</f>
        <v>0.05004674368057426</v>
      </c>
      <c r="D27" s="519"/>
      <c r="E27" s="518">
        <f>C27+E26</f>
        <v>0.09812648569940571</v>
      </c>
      <c r="F27" s="519"/>
      <c r="G27" s="518">
        <f>E27+G26</f>
        <v>0.2033350948215788</v>
      </c>
      <c r="H27" s="519"/>
      <c r="I27" s="518">
        <f>G27+I26</f>
        <v>0.31872130082268524</v>
      </c>
      <c r="J27" s="519"/>
      <c r="K27" s="518">
        <f>I27+K26</f>
        <v>0.43457444424658603</v>
      </c>
      <c r="L27" s="519"/>
      <c r="M27" s="518">
        <f>K27+M26</f>
        <v>0.5285070494852024</v>
      </c>
      <c r="N27" s="519"/>
      <c r="O27" s="518">
        <f>M27+O26</f>
        <v>0.6283176671686919</v>
      </c>
      <c r="P27" s="519"/>
      <c r="Q27" s="518">
        <f>O27+Q26</f>
        <v>0.7291839010780283</v>
      </c>
      <c r="R27" s="519"/>
      <c r="S27" s="518">
        <f>Q27+S26</f>
        <v>0.8160014473548217</v>
      </c>
      <c r="T27" s="519"/>
      <c r="U27" s="518">
        <f>S27+U26</f>
        <v>0.8956850724230512</v>
      </c>
      <c r="V27" s="519"/>
      <c r="W27" s="518">
        <f>U27+W26</f>
        <v>0.9527224040998448</v>
      </c>
      <c r="X27" s="519"/>
      <c r="Y27" s="518">
        <f>W27+Y26</f>
        <v>1</v>
      </c>
      <c r="Z27" s="519"/>
      <c r="AA27" s="53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</row>
  </sheetData>
  <sheetProtection/>
  <mergeCells count="76">
    <mergeCell ref="Y27:Z27"/>
    <mergeCell ref="W10:X10"/>
    <mergeCell ref="Y10:Z10"/>
    <mergeCell ref="U24:V24"/>
    <mergeCell ref="W24:X24"/>
    <mergeCell ref="Y24:Z24"/>
    <mergeCell ref="U25:V25"/>
    <mergeCell ref="W25:X25"/>
    <mergeCell ref="Y25:Z25"/>
    <mergeCell ref="Y26:Z26"/>
    <mergeCell ref="O26:P26"/>
    <mergeCell ref="O27:P27"/>
    <mergeCell ref="Q25:R25"/>
    <mergeCell ref="Q26:R26"/>
    <mergeCell ref="Q27:R27"/>
    <mergeCell ref="W26:X26"/>
    <mergeCell ref="U27:V27"/>
    <mergeCell ref="W27:X27"/>
    <mergeCell ref="U10:V10"/>
    <mergeCell ref="U26:V26"/>
    <mergeCell ref="I27:J27"/>
    <mergeCell ref="K24:L24"/>
    <mergeCell ref="K25:L25"/>
    <mergeCell ref="K26:L26"/>
    <mergeCell ref="K27:L27"/>
    <mergeCell ref="M25:N25"/>
    <mergeCell ref="M26:N26"/>
    <mergeCell ref="M27:N27"/>
    <mergeCell ref="A1:F1"/>
    <mergeCell ref="A2:F2"/>
    <mergeCell ref="A3:F3"/>
    <mergeCell ref="A4:F4"/>
    <mergeCell ref="A5:F5"/>
    <mergeCell ref="G25:H25"/>
    <mergeCell ref="A9:AA9"/>
    <mergeCell ref="A10:A11"/>
    <mergeCell ref="B10:B11"/>
    <mergeCell ref="C10:D10"/>
    <mergeCell ref="K10:L10"/>
    <mergeCell ref="M10:N10"/>
    <mergeCell ref="O10:P10"/>
    <mergeCell ref="Q10:R10"/>
    <mergeCell ref="G24:H24"/>
    <mergeCell ref="A6:F6"/>
    <mergeCell ref="I24:J24"/>
    <mergeCell ref="M24:N24"/>
    <mergeCell ref="Q24:R24"/>
    <mergeCell ref="A7:F7"/>
    <mergeCell ref="E10:F10"/>
    <mergeCell ref="AA10:AA11"/>
    <mergeCell ref="S10:T10"/>
    <mergeCell ref="G10:H10"/>
    <mergeCell ref="I10:J10"/>
    <mergeCell ref="E27:F27"/>
    <mergeCell ref="G27:H27"/>
    <mergeCell ref="S27:T27"/>
    <mergeCell ref="AA24:AA27"/>
    <mergeCell ref="E25:F25"/>
    <mergeCell ref="S24:T24"/>
    <mergeCell ref="S25:T25"/>
    <mergeCell ref="S26:T26"/>
    <mergeCell ref="G26:H26"/>
    <mergeCell ref="I25:J25"/>
    <mergeCell ref="A25:B25"/>
    <mergeCell ref="C25:D25"/>
    <mergeCell ref="I26:J26"/>
    <mergeCell ref="O24:P24"/>
    <mergeCell ref="O25:P25"/>
    <mergeCell ref="A26:B26"/>
    <mergeCell ref="C26:D26"/>
    <mergeCell ref="E26:F26"/>
    <mergeCell ref="A27:B27"/>
    <mergeCell ref="C27:D27"/>
    <mergeCell ref="A24:B24"/>
    <mergeCell ref="C24:D24"/>
    <mergeCell ref="E24:F24"/>
  </mergeCells>
  <printOptions/>
  <pageMargins left="1.5748031496062993" right="0.7874015748031497" top="0.7874015748031497" bottom="0.7874015748031497" header="0.31496062992125984" footer="0.31496062992125984"/>
  <pageSetup fitToHeight="1000" horizontalDpi="600" verticalDpi="600" orientation="landscape" paperSize="9" scale="22" r:id="rId2"/>
  <headerFooter>
    <oddFooter>&amp;C&amp;22&amp;A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Helia Carla de A. Calhau Ganem</dc:creator>
  <cp:keywords/>
  <dc:description/>
  <cp:lastModifiedBy>Alfredo Antonio Nicolau Macedo Cunha</cp:lastModifiedBy>
  <cp:lastPrinted>2023-06-12T16:44:55Z</cp:lastPrinted>
  <dcterms:created xsi:type="dcterms:W3CDTF">2021-11-11T16:53:32Z</dcterms:created>
  <dcterms:modified xsi:type="dcterms:W3CDTF">2023-06-12T16:46:07Z</dcterms:modified>
  <cp:category/>
  <cp:version/>
  <cp:contentType/>
  <cp:contentStatus/>
</cp:coreProperties>
</file>